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K:\Dept\Water\Divisions\Water Treatment\Binney\Operations\BWPF Operating Reports\BWPF Cost Reports and Query Tool\Previous Years BWPF Cost Reports\"/>
    </mc:Choice>
  </mc:AlternateContent>
  <bookViews>
    <workbookView xWindow="7065" yWindow="1140" windowWidth="19320" windowHeight="12120" tabRatio="599" activeTab="1"/>
  </bookViews>
  <sheets>
    <sheet name="Instructions" sheetId="29" r:id="rId1"/>
    <sheet name="Yearly Summary " sheetId="27" r:id="rId2"/>
    <sheet name="Projection Instructions" sheetId="30" r:id="rId3"/>
    <sheet name="Projection" sheetId="28" r:id="rId4"/>
    <sheet name="JANUARY" sheetId="22" r:id="rId5"/>
    <sheet name="FEBRUARY" sheetId="21" r:id="rId6"/>
    <sheet name="MARCH" sheetId="20" r:id="rId7"/>
    <sheet name="APRIL" sheetId="19" r:id="rId8"/>
    <sheet name="MAY" sheetId="18" r:id="rId9"/>
    <sheet name="JUNE" sheetId="17" r:id="rId10"/>
    <sheet name="JULY" sheetId="24" r:id="rId11"/>
    <sheet name="AUGUST" sheetId="23" r:id="rId12"/>
    <sheet name="SEPTEMBER" sheetId="16" r:id="rId13"/>
    <sheet name="OCTOBER" sheetId="6" r:id="rId14"/>
    <sheet name="NOVEMBER" sheetId="25" r:id="rId15"/>
    <sheet name="DECEMBER" sheetId="26" r:id="rId16"/>
  </sheets>
  <externalReferences>
    <externalReference r:id="rId17"/>
  </externalReferences>
  <definedNames>
    <definedName name="_xlnm.Print_Area" localSheetId="7">APRIL!$A$42:$K$54</definedName>
    <definedName name="_xlnm.Print_Area" localSheetId="11">AUGUST!$A$42:$K$54</definedName>
    <definedName name="_xlnm.Print_Area" localSheetId="15">DECEMBER!$A$42:$K$54</definedName>
    <definedName name="_xlnm.Print_Area" localSheetId="5">FEBRUARY!$A$41:$K$53</definedName>
    <definedName name="_xlnm.Print_Area" localSheetId="4">JANUARY!$A$42:$K$54</definedName>
    <definedName name="_xlnm.Print_Area" localSheetId="10">JULY!$A$42:$K$54</definedName>
    <definedName name="_xlnm.Print_Area" localSheetId="9">JUNE!$A$42:$K$54</definedName>
    <definedName name="_xlnm.Print_Area" localSheetId="6">MARCH!$A$42:$K$54</definedName>
    <definedName name="_xlnm.Print_Area" localSheetId="8">MAY!$A$42:$K$54</definedName>
    <definedName name="_xlnm.Print_Area" localSheetId="14">NOVEMBER!$A$42:$K$54</definedName>
    <definedName name="_xlnm.Print_Area" localSheetId="13">OCTOBER!$A$42:$K$54</definedName>
    <definedName name="_xlnm.Print_Area" localSheetId="12">SEPTEMBER!$A$41:$K$53</definedName>
  </definedNames>
  <calcPr calcId="152511"/>
</workbook>
</file>

<file path=xl/calcChain.xml><?xml version="1.0" encoding="utf-8"?>
<calcChain xmlns="http://schemas.openxmlformats.org/spreadsheetml/2006/main">
  <c r="C56" i="27" l="1"/>
  <c r="E50" i="27"/>
  <c r="D50" i="27"/>
  <c r="C50" i="27"/>
  <c r="C48" i="27" l="1"/>
  <c r="C51" i="27"/>
  <c r="AG40" i="22" l="1"/>
  <c r="E41" i="27" l="1"/>
  <c r="AH39" i="26" l="1"/>
  <c r="AQ39" i="24"/>
  <c r="AP39" i="24"/>
  <c r="AO39" i="24"/>
  <c r="AN39" i="24"/>
  <c r="AM39" i="24"/>
  <c r="AL39" i="24"/>
  <c r="AK39" i="24"/>
  <c r="AJ39" i="24"/>
  <c r="AI39" i="24"/>
  <c r="AH39" i="24"/>
  <c r="F51" i="26" l="1"/>
  <c r="I51" i="26"/>
  <c r="F51" i="25" l="1"/>
  <c r="I51" i="25"/>
  <c r="F51" i="6" l="1"/>
  <c r="I51" i="6"/>
  <c r="AI22" i="28" l="1"/>
  <c r="AH22" i="28"/>
  <c r="AG22" i="28"/>
  <c r="AF22" i="28"/>
  <c r="AB28" i="28" l="1"/>
  <c r="S40" i="17" s="1"/>
  <c r="J40" i="19" l="1"/>
  <c r="T40" i="19"/>
  <c r="J40" i="18"/>
  <c r="T40" i="18"/>
  <c r="J40" i="17"/>
  <c r="T40" i="17"/>
  <c r="C40" i="19"/>
  <c r="S40" i="19"/>
  <c r="C40" i="18"/>
  <c r="S40" i="18"/>
  <c r="C40" i="17"/>
  <c r="AH19" i="28"/>
  <c r="AF19" i="28"/>
  <c r="AI10" i="28"/>
  <c r="AG10" i="28"/>
  <c r="AF40" i="24" l="1"/>
  <c r="E49" i="24" s="1"/>
  <c r="AE40" i="24"/>
  <c r="AD40" i="24"/>
  <c r="B49" i="24" s="1"/>
  <c r="H48" i="26"/>
  <c r="E48" i="26"/>
  <c r="B48" i="26"/>
  <c r="H47" i="26"/>
  <c r="E47" i="26"/>
  <c r="B47" i="26"/>
  <c r="B46" i="26"/>
  <c r="AQ40" i="26"/>
  <c r="AP40" i="26"/>
  <c r="AO40" i="26"/>
  <c r="AN40" i="26"/>
  <c r="AM40" i="26"/>
  <c r="AL40" i="26"/>
  <c r="AK40" i="26"/>
  <c r="AJ40" i="26"/>
  <c r="AI40" i="26"/>
  <c r="L39" i="26"/>
  <c r="B39" i="26"/>
  <c r="H48" i="25"/>
  <c r="E48" i="25"/>
  <c r="B48" i="25"/>
  <c r="H47" i="25"/>
  <c r="E47" i="25"/>
  <c r="B47" i="25"/>
  <c r="B46" i="25"/>
  <c r="AQ40" i="25"/>
  <c r="AP40" i="25"/>
  <c r="AO40" i="25"/>
  <c r="AN40" i="25"/>
  <c r="AM40" i="25"/>
  <c r="AL40" i="25"/>
  <c r="AK40" i="25"/>
  <c r="AJ40" i="25"/>
  <c r="AI40" i="25"/>
  <c r="AF40" i="25"/>
  <c r="E49" i="25" s="1"/>
  <c r="AE40" i="25"/>
  <c r="AD40" i="25"/>
  <c r="B49" i="25" s="1"/>
  <c r="AQ39" i="25"/>
  <c r="AP39" i="25"/>
  <c r="AO39" i="25"/>
  <c r="AN39" i="25"/>
  <c r="AM39" i="25"/>
  <c r="AL39" i="25"/>
  <c r="AK39" i="25"/>
  <c r="AJ39" i="25"/>
  <c r="AI39" i="25"/>
  <c r="AH39" i="25"/>
  <c r="AH41" i="25" s="1"/>
  <c r="AC39" i="25"/>
  <c r="AB39" i="25"/>
  <c r="AA39" i="25"/>
  <c r="AA41" i="25" s="1"/>
  <c r="Z39" i="25"/>
  <c r="Y39" i="25"/>
  <c r="X39" i="25"/>
  <c r="W39" i="25"/>
  <c r="V39" i="25"/>
  <c r="U39" i="25"/>
  <c r="T39" i="25"/>
  <c r="S39" i="25"/>
  <c r="R39" i="25"/>
  <c r="R41" i="25" s="1"/>
  <c r="Q39" i="25"/>
  <c r="Q41" i="25" s="1"/>
  <c r="P39" i="25"/>
  <c r="P41" i="25" s="1"/>
  <c r="O39" i="25"/>
  <c r="O41" i="25" s="1"/>
  <c r="N39" i="25"/>
  <c r="M39" i="25"/>
  <c r="L39" i="25"/>
  <c r="K39" i="25"/>
  <c r="J39" i="25"/>
  <c r="I39" i="25"/>
  <c r="H39" i="25"/>
  <c r="T52" i="25" s="1"/>
  <c r="U52" i="25" s="1"/>
  <c r="G39" i="25"/>
  <c r="T47" i="25" s="1"/>
  <c r="U47" i="25" s="1"/>
  <c r="F39" i="25"/>
  <c r="E39" i="25"/>
  <c r="D39" i="25"/>
  <c r="C39" i="25"/>
  <c r="B39" i="25"/>
  <c r="H48" i="6"/>
  <c r="E48" i="6"/>
  <c r="B48" i="6"/>
  <c r="H47" i="6"/>
  <c r="E47" i="6"/>
  <c r="B47" i="6"/>
  <c r="B46" i="6"/>
  <c r="AQ40" i="6"/>
  <c r="AP40" i="6"/>
  <c r="AO40" i="6"/>
  <c r="AN40" i="6"/>
  <c r="AM40" i="6"/>
  <c r="AL40" i="6"/>
  <c r="AK40" i="6"/>
  <c r="AJ40" i="6"/>
  <c r="AI40" i="6"/>
  <c r="AF40" i="6"/>
  <c r="E49" i="6" s="1"/>
  <c r="AE40" i="6"/>
  <c r="AD40" i="6"/>
  <c r="B49" i="6" s="1"/>
  <c r="AQ39" i="6"/>
  <c r="AP39" i="6"/>
  <c r="AO39" i="6"/>
  <c r="AN39" i="6"/>
  <c r="AM39" i="6"/>
  <c r="AL39" i="6"/>
  <c r="AK39" i="6"/>
  <c r="AJ39" i="6"/>
  <c r="AI39" i="6"/>
  <c r="AH39" i="6"/>
  <c r="AH41" i="6" s="1"/>
  <c r="AC39" i="6"/>
  <c r="AB39" i="6"/>
  <c r="AA39" i="6"/>
  <c r="AA41" i="6" s="1"/>
  <c r="Z39" i="6"/>
  <c r="Y39" i="6"/>
  <c r="X39" i="6"/>
  <c r="W39" i="6"/>
  <c r="V39" i="6"/>
  <c r="U39" i="6"/>
  <c r="T39" i="6"/>
  <c r="S39" i="6"/>
  <c r="R39" i="6"/>
  <c r="R41" i="6" s="1"/>
  <c r="Q39" i="6"/>
  <c r="Q41" i="6" s="1"/>
  <c r="P39" i="6"/>
  <c r="P41" i="6" s="1"/>
  <c r="O39" i="6"/>
  <c r="O41" i="6" s="1"/>
  <c r="N39" i="6"/>
  <c r="M39" i="6"/>
  <c r="L39" i="6"/>
  <c r="K39" i="6"/>
  <c r="J39" i="6"/>
  <c r="I39" i="6"/>
  <c r="H39" i="6"/>
  <c r="T52" i="6" s="1"/>
  <c r="U52" i="6" s="1"/>
  <c r="G39" i="6"/>
  <c r="T47" i="6" s="1"/>
  <c r="U47" i="6" s="1"/>
  <c r="F39" i="6"/>
  <c r="E39" i="6"/>
  <c r="D39" i="6"/>
  <c r="C39" i="6"/>
  <c r="B39" i="6"/>
  <c r="AF40" i="23"/>
  <c r="E49" i="23" s="1"/>
  <c r="AE40" i="23"/>
  <c r="H49" i="23" s="1"/>
  <c r="AD40" i="23"/>
  <c r="B49" i="23" s="1"/>
  <c r="H48" i="23"/>
  <c r="E48" i="23"/>
  <c r="B48" i="23"/>
  <c r="H47" i="23"/>
  <c r="E47" i="23"/>
  <c r="B47" i="23"/>
  <c r="B46" i="23"/>
  <c r="AQ40" i="23"/>
  <c r="AP40" i="23"/>
  <c r="AO40" i="23"/>
  <c r="AN40" i="23"/>
  <c r="AM40" i="23"/>
  <c r="AL40" i="23"/>
  <c r="AK40" i="23"/>
  <c r="AJ40" i="23"/>
  <c r="AI40" i="23"/>
  <c r="AQ39" i="23"/>
  <c r="AP39" i="23"/>
  <c r="AO39" i="23"/>
  <c r="AN39" i="23"/>
  <c r="AM39" i="23"/>
  <c r="AL39" i="23"/>
  <c r="AK39" i="23"/>
  <c r="AJ39" i="23"/>
  <c r="AI39" i="23"/>
  <c r="AH39" i="23"/>
  <c r="AH41" i="23" s="1"/>
  <c r="AC39" i="23"/>
  <c r="AB39" i="23"/>
  <c r="AA39" i="23"/>
  <c r="AA41" i="23" s="1"/>
  <c r="Z39" i="23"/>
  <c r="Y39" i="23"/>
  <c r="X39" i="23"/>
  <c r="W39" i="23"/>
  <c r="V39" i="23"/>
  <c r="U39" i="23"/>
  <c r="T39" i="23"/>
  <c r="S39" i="23"/>
  <c r="R39" i="23"/>
  <c r="R41" i="23" s="1"/>
  <c r="Q39" i="23"/>
  <c r="Q41" i="23" s="1"/>
  <c r="P39" i="23"/>
  <c r="P41" i="23" s="1"/>
  <c r="O39" i="23"/>
  <c r="O41" i="23" s="1"/>
  <c r="N39" i="23"/>
  <c r="M39" i="23"/>
  <c r="L39" i="23"/>
  <c r="K39" i="23"/>
  <c r="J39" i="23"/>
  <c r="I39" i="23"/>
  <c r="H39" i="23"/>
  <c r="T52" i="23" s="1"/>
  <c r="U52" i="23" s="1"/>
  <c r="G39" i="23"/>
  <c r="T47" i="23" s="1"/>
  <c r="U47" i="23" s="1"/>
  <c r="F39" i="23"/>
  <c r="E39" i="23"/>
  <c r="D39" i="23"/>
  <c r="C39" i="23"/>
  <c r="B39" i="23"/>
  <c r="H48" i="24"/>
  <c r="E48" i="24"/>
  <c r="B48" i="24"/>
  <c r="H47" i="24"/>
  <c r="E47" i="24"/>
  <c r="B47" i="24"/>
  <c r="B46" i="24"/>
  <c r="AQ40" i="24"/>
  <c r="AP40" i="24"/>
  <c r="AO40" i="24"/>
  <c r="AN40" i="24"/>
  <c r="AM40" i="24"/>
  <c r="AL40" i="24"/>
  <c r="AK40" i="24"/>
  <c r="AJ40" i="24"/>
  <c r="AI40" i="24"/>
  <c r="AH41" i="24"/>
  <c r="AC39" i="24"/>
  <c r="AB39" i="24"/>
  <c r="AA39" i="24"/>
  <c r="AA41" i="24" s="1"/>
  <c r="Z39" i="24"/>
  <c r="Y39" i="24"/>
  <c r="X39" i="24"/>
  <c r="W39" i="24"/>
  <c r="V39" i="24"/>
  <c r="U39" i="24"/>
  <c r="T39" i="24"/>
  <c r="S39" i="24"/>
  <c r="R39" i="24"/>
  <c r="R41" i="24" s="1"/>
  <c r="Q39" i="24"/>
  <c r="Q41" i="24" s="1"/>
  <c r="P39" i="24"/>
  <c r="P41" i="24" s="1"/>
  <c r="O39" i="24"/>
  <c r="O41" i="24" s="1"/>
  <c r="N39" i="24"/>
  <c r="M39" i="24"/>
  <c r="L39" i="24"/>
  <c r="K39" i="24"/>
  <c r="J39" i="24"/>
  <c r="I39" i="24"/>
  <c r="H39" i="24"/>
  <c r="T52" i="24" s="1"/>
  <c r="U52" i="24" s="1"/>
  <c r="G39" i="24"/>
  <c r="T47" i="24" s="1"/>
  <c r="U47" i="24" s="1"/>
  <c r="F39" i="24"/>
  <c r="E39" i="24"/>
  <c r="D39" i="24"/>
  <c r="C39" i="24"/>
  <c r="B39" i="24"/>
  <c r="H48" i="17"/>
  <c r="E48" i="17"/>
  <c r="B48" i="17"/>
  <c r="H47" i="17"/>
  <c r="E47" i="17"/>
  <c r="B47" i="17"/>
  <c r="B46" i="17"/>
  <c r="AQ40" i="17"/>
  <c r="AP40" i="17"/>
  <c r="AO40" i="17"/>
  <c r="AN40" i="17"/>
  <c r="AM40" i="17"/>
  <c r="AL40" i="17"/>
  <c r="AK40" i="17"/>
  <c r="AJ40" i="17"/>
  <c r="AI40" i="17"/>
  <c r="AF40" i="17"/>
  <c r="E49" i="17" s="1"/>
  <c r="AE40" i="17"/>
  <c r="AD40" i="17"/>
  <c r="B49" i="17" s="1"/>
  <c r="AQ39" i="17"/>
  <c r="AP39" i="17"/>
  <c r="AO39" i="17"/>
  <c r="AN39" i="17"/>
  <c r="AM39" i="17"/>
  <c r="AL39" i="17"/>
  <c r="AK39" i="17"/>
  <c r="AJ39" i="17"/>
  <c r="AI39" i="17"/>
  <c r="AH39" i="17"/>
  <c r="AH41" i="17" s="1"/>
  <c r="AC39" i="17"/>
  <c r="AB39" i="17"/>
  <c r="AA39" i="17"/>
  <c r="AA41" i="17" s="1"/>
  <c r="Z39" i="17"/>
  <c r="Y39" i="17"/>
  <c r="X39" i="17"/>
  <c r="W39" i="17"/>
  <c r="V39" i="17"/>
  <c r="U39" i="17"/>
  <c r="T39" i="17"/>
  <c r="T41" i="17" s="1"/>
  <c r="S39" i="17"/>
  <c r="S41" i="17" s="1"/>
  <c r="R39" i="17"/>
  <c r="R41" i="17" s="1"/>
  <c r="Q39" i="17"/>
  <c r="Q41" i="17" s="1"/>
  <c r="P39" i="17"/>
  <c r="P41" i="17" s="1"/>
  <c r="O39" i="17"/>
  <c r="O41" i="17" s="1"/>
  <c r="N39" i="17"/>
  <c r="M39" i="17"/>
  <c r="L39" i="17"/>
  <c r="K39" i="17"/>
  <c r="J39" i="17"/>
  <c r="J41" i="17" s="1"/>
  <c r="I39" i="17"/>
  <c r="H39" i="17"/>
  <c r="T52" i="17" s="1"/>
  <c r="U52" i="17" s="1"/>
  <c r="G39" i="17"/>
  <c r="T47" i="17" s="1"/>
  <c r="U47" i="17" s="1"/>
  <c r="F39" i="17"/>
  <c r="E39" i="17"/>
  <c r="D39" i="17"/>
  <c r="C39" i="17"/>
  <c r="B39" i="17"/>
  <c r="H48" i="18"/>
  <c r="E48" i="18"/>
  <c r="B48" i="18"/>
  <c r="H47" i="18"/>
  <c r="E47" i="18"/>
  <c r="B47" i="18"/>
  <c r="B46" i="18"/>
  <c r="AQ40" i="18"/>
  <c r="AP40" i="18"/>
  <c r="AO40" i="18"/>
  <c r="AN40" i="18"/>
  <c r="AM40" i="18"/>
  <c r="AL40" i="18"/>
  <c r="AK40" i="18"/>
  <c r="AJ40" i="18"/>
  <c r="AI40" i="18"/>
  <c r="AF40" i="18"/>
  <c r="E49" i="18" s="1"/>
  <c r="AE40" i="18"/>
  <c r="H49" i="18" s="1"/>
  <c r="AD40" i="18"/>
  <c r="B49" i="18" s="1"/>
  <c r="AQ39" i="18"/>
  <c r="AP39" i="18"/>
  <c r="AO39" i="18"/>
  <c r="AN39" i="18"/>
  <c r="AM39" i="18"/>
  <c r="AL39" i="18"/>
  <c r="AK39" i="18"/>
  <c r="AJ39" i="18"/>
  <c r="AI39" i="18"/>
  <c r="AH39" i="18"/>
  <c r="AH41" i="18" s="1"/>
  <c r="AC39" i="18"/>
  <c r="AB39" i="18"/>
  <c r="AA39" i="18"/>
  <c r="AA41" i="18" s="1"/>
  <c r="Z39" i="18"/>
  <c r="Y39" i="18"/>
  <c r="X39" i="18"/>
  <c r="W39" i="18"/>
  <c r="V39" i="18"/>
  <c r="U39" i="18"/>
  <c r="T39" i="18"/>
  <c r="T41" i="18" s="1"/>
  <c r="S39" i="18"/>
  <c r="S41" i="18" s="1"/>
  <c r="R39" i="18"/>
  <c r="R41" i="18" s="1"/>
  <c r="Q39" i="18"/>
  <c r="Q41" i="18" s="1"/>
  <c r="P39" i="18"/>
  <c r="P41" i="18" s="1"/>
  <c r="O39" i="18"/>
  <c r="O41" i="18" s="1"/>
  <c r="N39" i="18"/>
  <c r="M39" i="18"/>
  <c r="L39" i="18"/>
  <c r="K39" i="18"/>
  <c r="J39" i="18"/>
  <c r="J41" i="18" s="1"/>
  <c r="I39" i="18"/>
  <c r="H39" i="18"/>
  <c r="T52" i="18" s="1"/>
  <c r="U52" i="18" s="1"/>
  <c r="G39" i="18"/>
  <c r="T47" i="18" s="1"/>
  <c r="U47" i="18" s="1"/>
  <c r="F39" i="18"/>
  <c r="E39" i="18"/>
  <c r="D39" i="18"/>
  <c r="C39" i="18"/>
  <c r="B39" i="18"/>
  <c r="H48" i="19"/>
  <c r="E48" i="19"/>
  <c r="B48" i="19"/>
  <c r="H47" i="19"/>
  <c r="E47" i="19"/>
  <c r="B47" i="19"/>
  <c r="H46" i="19"/>
  <c r="E46" i="19"/>
  <c r="B46" i="19"/>
  <c r="AQ40" i="19"/>
  <c r="AP40" i="19"/>
  <c r="AO40" i="19"/>
  <c r="AN40" i="19"/>
  <c r="AM40" i="19"/>
  <c r="AL40" i="19"/>
  <c r="AK40" i="19"/>
  <c r="AJ40" i="19"/>
  <c r="AI40" i="19"/>
  <c r="AF40" i="19"/>
  <c r="E49" i="19" s="1"/>
  <c r="AE40" i="19"/>
  <c r="H49" i="19" s="1"/>
  <c r="AD40" i="19"/>
  <c r="B49" i="19" s="1"/>
  <c r="AQ39" i="19"/>
  <c r="AP39" i="19"/>
  <c r="AO39" i="19"/>
  <c r="AN39" i="19"/>
  <c r="AM39" i="19"/>
  <c r="AL39" i="19"/>
  <c r="AK39" i="19"/>
  <c r="AJ39" i="19"/>
  <c r="AI39" i="19"/>
  <c r="AH39" i="19"/>
  <c r="AH41" i="19" s="1"/>
  <c r="AC39" i="19"/>
  <c r="AB39" i="19"/>
  <c r="AA39" i="19"/>
  <c r="AA41" i="19" s="1"/>
  <c r="Z39" i="19"/>
  <c r="Y39" i="19"/>
  <c r="X39" i="19"/>
  <c r="W39" i="19"/>
  <c r="V39" i="19"/>
  <c r="U39" i="19"/>
  <c r="T39" i="19"/>
  <c r="T41" i="19" s="1"/>
  <c r="S39" i="19"/>
  <c r="S41" i="19" s="1"/>
  <c r="R39" i="19"/>
  <c r="R41" i="19" s="1"/>
  <c r="Q39" i="19"/>
  <c r="Q41" i="19" s="1"/>
  <c r="P39" i="19"/>
  <c r="P41" i="19" s="1"/>
  <c r="O39" i="19"/>
  <c r="O41" i="19" s="1"/>
  <c r="N39" i="19"/>
  <c r="M39" i="19"/>
  <c r="L39" i="19"/>
  <c r="K39" i="19"/>
  <c r="J39" i="19"/>
  <c r="J41" i="19" s="1"/>
  <c r="I39" i="19"/>
  <c r="H39" i="19"/>
  <c r="T52" i="19" s="1"/>
  <c r="U52" i="19" s="1"/>
  <c r="G39" i="19"/>
  <c r="T47" i="19" s="1"/>
  <c r="U47" i="19" s="1"/>
  <c r="F39" i="19"/>
  <c r="E39" i="19"/>
  <c r="D39" i="19"/>
  <c r="C39" i="19"/>
  <c r="B39" i="19"/>
  <c r="H48" i="20"/>
  <c r="E48" i="20"/>
  <c r="B48" i="20"/>
  <c r="H47" i="20"/>
  <c r="E47" i="20"/>
  <c r="B47" i="20"/>
  <c r="H46" i="20"/>
  <c r="E46" i="20"/>
  <c r="B46" i="20"/>
  <c r="AQ40" i="20"/>
  <c r="AP40" i="20"/>
  <c r="AO40" i="20"/>
  <c r="AN40" i="20"/>
  <c r="AM40" i="20"/>
  <c r="AL40" i="20"/>
  <c r="AK40" i="20"/>
  <c r="AJ40" i="20"/>
  <c r="AI40" i="20"/>
  <c r="AF40" i="20"/>
  <c r="E49" i="20" s="1"/>
  <c r="AE40" i="20"/>
  <c r="H49" i="20" s="1"/>
  <c r="AD40" i="20"/>
  <c r="B49" i="20" s="1"/>
  <c r="AQ39" i="20"/>
  <c r="AP39" i="20"/>
  <c r="AO39" i="20"/>
  <c r="AN39" i="20"/>
  <c r="AM39" i="20"/>
  <c r="AL39" i="20"/>
  <c r="AK39" i="20"/>
  <c r="AJ39" i="20"/>
  <c r="AI39" i="20"/>
  <c r="AH39" i="20"/>
  <c r="AH41" i="20" s="1"/>
  <c r="AC39" i="20"/>
  <c r="AB39" i="20"/>
  <c r="AA39" i="20"/>
  <c r="AA41" i="20" s="1"/>
  <c r="Z39" i="20"/>
  <c r="Y39" i="20"/>
  <c r="X39" i="20"/>
  <c r="W39" i="20"/>
  <c r="V39" i="20"/>
  <c r="U39" i="20"/>
  <c r="T39" i="20"/>
  <c r="S39" i="20"/>
  <c r="R39" i="20"/>
  <c r="R41" i="20" s="1"/>
  <c r="Q39" i="20"/>
  <c r="Q41" i="20" s="1"/>
  <c r="P39" i="20"/>
  <c r="P41" i="20" s="1"/>
  <c r="O39" i="20"/>
  <c r="O41" i="20" s="1"/>
  <c r="N39" i="20"/>
  <c r="M39" i="20"/>
  <c r="L39" i="20"/>
  <c r="K39" i="20"/>
  <c r="J39" i="20"/>
  <c r="I39" i="20"/>
  <c r="H39" i="20"/>
  <c r="T52" i="20" s="1"/>
  <c r="U52" i="20" s="1"/>
  <c r="G39" i="20"/>
  <c r="T47" i="20" s="1"/>
  <c r="U47" i="20" s="1"/>
  <c r="F39" i="20"/>
  <c r="E39" i="20"/>
  <c r="D39" i="20"/>
  <c r="C39" i="20"/>
  <c r="B39" i="20"/>
  <c r="T53" i="24" l="1"/>
  <c r="U53" i="24" s="1"/>
  <c r="T49" i="18"/>
  <c r="U49" i="18" s="1"/>
  <c r="T53" i="19"/>
  <c r="U53" i="19" s="1"/>
  <c r="T53" i="17"/>
  <c r="U53" i="17" s="1"/>
  <c r="T53" i="23"/>
  <c r="U53" i="23" s="1"/>
  <c r="T54" i="19"/>
  <c r="U54" i="19" s="1"/>
  <c r="T54" i="17"/>
  <c r="U54" i="17" s="1"/>
  <c r="T45" i="24"/>
  <c r="U45" i="24" s="1"/>
  <c r="T45" i="20"/>
  <c r="U45" i="20" s="1"/>
  <c r="T53" i="20"/>
  <c r="U53" i="20" s="1"/>
  <c r="T53" i="6"/>
  <c r="U53" i="6" s="1"/>
  <c r="T49" i="25"/>
  <c r="U49" i="25" s="1"/>
  <c r="AG40" i="24"/>
  <c r="E46" i="24" s="1"/>
  <c r="T51" i="19"/>
  <c r="U51" i="19" s="1"/>
  <c r="T45" i="19"/>
  <c r="U45" i="19" s="1"/>
  <c r="T54" i="18"/>
  <c r="U54" i="18" s="1"/>
  <c r="T51" i="17"/>
  <c r="U51" i="17" s="1"/>
  <c r="T45" i="17"/>
  <c r="U45" i="17" s="1"/>
  <c r="T45" i="23"/>
  <c r="U45" i="23" s="1"/>
  <c r="T54" i="20"/>
  <c r="U54" i="20" s="1"/>
  <c r="T49" i="19"/>
  <c r="U49" i="19" s="1"/>
  <c r="T50" i="19"/>
  <c r="U50" i="19" s="1"/>
  <c r="T53" i="18"/>
  <c r="U53" i="18" s="1"/>
  <c r="T49" i="17"/>
  <c r="U49" i="17" s="1"/>
  <c r="T50" i="17"/>
  <c r="U50" i="17" s="1"/>
  <c r="AG40" i="17"/>
  <c r="E46" i="17" s="1"/>
  <c r="T54" i="24"/>
  <c r="U54" i="24" s="1"/>
  <c r="T54" i="23"/>
  <c r="U54" i="23" s="1"/>
  <c r="AG40" i="23"/>
  <c r="H46" i="23" s="1"/>
  <c r="T54" i="6"/>
  <c r="U54" i="6" s="1"/>
  <c r="T51" i="20"/>
  <c r="U51" i="20" s="1"/>
  <c r="T50" i="18"/>
  <c r="U50" i="18" s="1"/>
  <c r="T51" i="24"/>
  <c r="U51" i="24" s="1"/>
  <c r="T51" i="23"/>
  <c r="U51" i="23" s="1"/>
  <c r="T51" i="6"/>
  <c r="U51" i="6" s="1"/>
  <c r="T49" i="20"/>
  <c r="U49" i="20" s="1"/>
  <c r="T50" i="20"/>
  <c r="U50" i="20" s="1"/>
  <c r="T51" i="18"/>
  <c r="U51" i="18" s="1"/>
  <c r="T45" i="18"/>
  <c r="U45" i="18" s="1"/>
  <c r="T49" i="24"/>
  <c r="U49" i="24" s="1"/>
  <c r="T50" i="24"/>
  <c r="U50" i="24" s="1"/>
  <c r="T49" i="23"/>
  <c r="U49" i="23" s="1"/>
  <c r="T50" i="23"/>
  <c r="U50" i="23" s="1"/>
  <c r="T49" i="6"/>
  <c r="U49" i="6" s="1"/>
  <c r="AG40" i="6"/>
  <c r="E46" i="6" s="1"/>
  <c r="AG40" i="18"/>
  <c r="T46" i="19"/>
  <c r="U46" i="19" s="1"/>
  <c r="T46" i="20"/>
  <c r="U46" i="20" s="1"/>
  <c r="T50" i="25"/>
  <c r="U50" i="25" s="1"/>
  <c r="T45" i="25"/>
  <c r="U45" i="25" s="1"/>
  <c r="T51" i="25"/>
  <c r="U51" i="25" s="1"/>
  <c r="T53" i="25"/>
  <c r="U53" i="25" s="1"/>
  <c r="T54" i="25"/>
  <c r="U54" i="25" s="1"/>
  <c r="T46" i="25"/>
  <c r="U46" i="25" s="1"/>
  <c r="AJ41" i="25"/>
  <c r="AL41" i="25"/>
  <c r="AN41" i="25"/>
  <c r="AP41" i="25"/>
  <c r="AG40" i="25"/>
  <c r="E46" i="25" s="1"/>
  <c r="AI41" i="25"/>
  <c r="AK41" i="25"/>
  <c r="AM41" i="25"/>
  <c r="AO41" i="25"/>
  <c r="AQ41" i="25"/>
  <c r="T50" i="6"/>
  <c r="U50" i="6" s="1"/>
  <c r="T45" i="6"/>
  <c r="U45" i="6" s="1"/>
  <c r="AJ41" i="6"/>
  <c r="AL41" i="6"/>
  <c r="AN41" i="6"/>
  <c r="AP41" i="6"/>
  <c r="AI41" i="6"/>
  <c r="AK41" i="6"/>
  <c r="AM41" i="6"/>
  <c r="AO41" i="6"/>
  <c r="AQ41" i="6"/>
  <c r="AJ41" i="23"/>
  <c r="AL41" i="23"/>
  <c r="AN41" i="23"/>
  <c r="AP41" i="23"/>
  <c r="AI41" i="23"/>
  <c r="AK41" i="23"/>
  <c r="AM41" i="23"/>
  <c r="AO41" i="23"/>
  <c r="AQ41" i="23"/>
  <c r="AJ41" i="24"/>
  <c r="AL41" i="24"/>
  <c r="AN41" i="24"/>
  <c r="AP41" i="24"/>
  <c r="AI41" i="24"/>
  <c r="AK41" i="24"/>
  <c r="AM41" i="24"/>
  <c r="AO41" i="24"/>
  <c r="AQ41" i="24"/>
  <c r="AJ41" i="17"/>
  <c r="AL41" i="17"/>
  <c r="AN41" i="17"/>
  <c r="AP41" i="17"/>
  <c r="AI41" i="17"/>
  <c r="AK41" i="17"/>
  <c r="AM41" i="17"/>
  <c r="AO41" i="17"/>
  <c r="AQ41" i="17"/>
  <c r="AI41" i="19"/>
  <c r="AK41" i="19"/>
  <c r="AM41" i="19"/>
  <c r="AO41" i="19"/>
  <c r="AQ41" i="19"/>
  <c r="AJ41" i="19"/>
  <c r="AL41" i="19"/>
  <c r="AN41" i="19"/>
  <c r="AP41" i="19"/>
  <c r="AJ41" i="20"/>
  <c r="AL41" i="20"/>
  <c r="AN41" i="20"/>
  <c r="AP41" i="20"/>
  <c r="AI41" i="20"/>
  <c r="AK41" i="20"/>
  <c r="AM41" i="20"/>
  <c r="AO41" i="20"/>
  <c r="AQ41" i="20"/>
  <c r="T48" i="26"/>
  <c r="U48" i="26" s="1"/>
  <c r="T48" i="25"/>
  <c r="U48" i="25" s="1"/>
  <c r="H49" i="25"/>
  <c r="T46" i="6"/>
  <c r="U46" i="6" s="1"/>
  <c r="T48" i="6"/>
  <c r="U48" i="6" s="1"/>
  <c r="H49" i="6"/>
  <c r="T46" i="23"/>
  <c r="U46" i="23" s="1"/>
  <c r="T48" i="23"/>
  <c r="U48" i="23" s="1"/>
  <c r="T46" i="24"/>
  <c r="U46" i="24" s="1"/>
  <c r="T48" i="24"/>
  <c r="U48" i="24" s="1"/>
  <c r="H49" i="24"/>
  <c r="T46" i="17"/>
  <c r="U46" i="17" s="1"/>
  <c r="C41" i="17"/>
  <c r="T48" i="17"/>
  <c r="U48" i="17" s="1"/>
  <c r="H49" i="17"/>
  <c r="AI41" i="18"/>
  <c r="AK41" i="18"/>
  <c r="AM41" i="18"/>
  <c r="AO41" i="18"/>
  <c r="AQ41" i="18"/>
  <c r="T46" i="18"/>
  <c r="U46" i="18" s="1"/>
  <c r="AJ41" i="18"/>
  <c r="AL41" i="18"/>
  <c r="AN41" i="18"/>
  <c r="AP41" i="18"/>
  <c r="C41" i="18"/>
  <c r="T48" i="18"/>
  <c r="U48" i="18" s="1"/>
  <c r="C41" i="19"/>
  <c r="T48" i="19"/>
  <c r="U48" i="19" s="1"/>
  <c r="T48" i="20"/>
  <c r="U48" i="20" s="1"/>
  <c r="E45" i="23" l="1"/>
  <c r="H45" i="6"/>
  <c r="H46" i="24"/>
  <c r="H45" i="19"/>
  <c r="E45" i="24"/>
  <c r="E46" i="23"/>
  <c r="E45" i="20"/>
  <c r="H46" i="17"/>
  <c r="E45" i="19"/>
  <c r="E45" i="17"/>
  <c r="H46" i="6"/>
  <c r="H45" i="20"/>
  <c r="B45" i="19"/>
  <c r="B45" i="24"/>
  <c r="H45" i="24"/>
  <c r="B45" i="23"/>
  <c r="B45" i="17"/>
  <c r="E45" i="6"/>
  <c r="B45" i="20"/>
  <c r="B45" i="6"/>
  <c r="E46" i="18"/>
  <c r="H46" i="18"/>
  <c r="E45" i="25"/>
  <c r="B45" i="25"/>
  <c r="H45" i="25"/>
  <c r="H46" i="25"/>
  <c r="H45" i="23"/>
  <c r="H45" i="17"/>
  <c r="E45" i="18"/>
  <c r="B45" i="18"/>
  <c r="H45" i="18"/>
  <c r="H47" i="21" l="1"/>
  <c r="E47" i="21"/>
  <c r="B47" i="21"/>
  <c r="H46" i="21"/>
  <c r="E46" i="21"/>
  <c r="B46" i="21"/>
  <c r="B45" i="21"/>
  <c r="AQ39" i="21"/>
  <c r="AP39" i="21"/>
  <c r="AO39" i="21"/>
  <c r="AN39" i="21"/>
  <c r="AM39" i="21"/>
  <c r="AL39" i="21"/>
  <c r="AK39" i="21"/>
  <c r="AJ39" i="21"/>
  <c r="AI39" i="21"/>
  <c r="AF39" i="21"/>
  <c r="E48" i="21" s="1"/>
  <c r="AE39" i="21"/>
  <c r="AD39" i="21"/>
  <c r="B48" i="21" s="1"/>
  <c r="AQ38" i="21"/>
  <c r="AP38" i="21"/>
  <c r="AO38" i="21"/>
  <c r="AN38" i="21"/>
  <c r="AM38" i="21"/>
  <c r="AL38" i="21"/>
  <c r="AK38" i="21"/>
  <c r="AJ38" i="21"/>
  <c r="AI38" i="21"/>
  <c r="AH38" i="21"/>
  <c r="AH40" i="21" s="1"/>
  <c r="AC38" i="21"/>
  <c r="AB38" i="21"/>
  <c r="AA38" i="21"/>
  <c r="AA40" i="21" s="1"/>
  <c r="Z38" i="21"/>
  <c r="Y38" i="21"/>
  <c r="X38" i="21"/>
  <c r="W38" i="21"/>
  <c r="V38" i="21"/>
  <c r="U38" i="21"/>
  <c r="T38" i="21"/>
  <c r="S38" i="21"/>
  <c r="R38" i="21"/>
  <c r="R40" i="21" s="1"/>
  <c r="Q38" i="21"/>
  <c r="Q40" i="21" s="1"/>
  <c r="P38" i="21"/>
  <c r="P40" i="21" s="1"/>
  <c r="O38" i="21"/>
  <c r="O40" i="21" s="1"/>
  <c r="N38" i="21"/>
  <c r="M38" i="21"/>
  <c r="L38" i="21"/>
  <c r="K38" i="21"/>
  <c r="J38" i="21"/>
  <c r="I38" i="21"/>
  <c r="H38" i="21"/>
  <c r="T51" i="21" s="1"/>
  <c r="U51" i="21" s="1"/>
  <c r="G38" i="21"/>
  <c r="T46" i="21" s="1"/>
  <c r="U46" i="21" s="1"/>
  <c r="F38" i="21"/>
  <c r="E38" i="21"/>
  <c r="D38" i="21"/>
  <c r="C38" i="21"/>
  <c r="B38" i="21"/>
  <c r="T48" i="21" l="1"/>
  <c r="U48" i="21" s="1"/>
  <c r="T50" i="21"/>
  <c r="U50" i="21" s="1"/>
  <c r="T49" i="21"/>
  <c r="U49" i="21" s="1"/>
  <c r="T53" i="21"/>
  <c r="U53" i="21" s="1"/>
  <c r="T52" i="21"/>
  <c r="U52" i="21" s="1"/>
  <c r="AJ40" i="21"/>
  <c r="AL40" i="21"/>
  <c r="AN40" i="21"/>
  <c r="AP40" i="21"/>
  <c r="AI40" i="21"/>
  <c r="AK40" i="21"/>
  <c r="AM40" i="21"/>
  <c r="AO40" i="21"/>
  <c r="AQ40" i="21"/>
  <c r="T45" i="21"/>
  <c r="U45" i="21" s="1"/>
  <c r="T44" i="21"/>
  <c r="U44" i="21" s="1"/>
  <c r="H45" i="21"/>
  <c r="E45" i="21"/>
  <c r="T47" i="21"/>
  <c r="U47" i="21" s="1"/>
  <c r="H48" i="21"/>
  <c r="E44" i="21" l="1"/>
  <c r="B44" i="21"/>
  <c r="H44" i="21"/>
  <c r="H48" i="22" l="1"/>
  <c r="E48" i="22"/>
  <c r="B48" i="22"/>
  <c r="H47" i="22"/>
  <c r="E47" i="22"/>
  <c r="B47" i="22"/>
  <c r="B46" i="22"/>
  <c r="AQ40" i="22"/>
  <c r="AP40" i="22"/>
  <c r="AO40" i="22"/>
  <c r="AN40" i="22"/>
  <c r="AM40" i="22"/>
  <c r="AL40" i="22"/>
  <c r="AK40" i="22"/>
  <c r="AJ40" i="22"/>
  <c r="AI40" i="22"/>
  <c r="AF40" i="22"/>
  <c r="E49" i="22" s="1"/>
  <c r="AE40" i="22"/>
  <c r="AD40" i="22"/>
  <c r="B49" i="22" s="1"/>
  <c r="AQ39" i="22"/>
  <c r="AP39" i="22"/>
  <c r="AO39" i="22"/>
  <c r="AN39" i="22"/>
  <c r="AM39" i="22"/>
  <c r="AL39" i="22"/>
  <c r="AK39" i="22"/>
  <c r="AJ39" i="22"/>
  <c r="AI39" i="22"/>
  <c r="AH39" i="22"/>
  <c r="AC39" i="22"/>
  <c r="AB39" i="22"/>
  <c r="AA39" i="22"/>
  <c r="AA41" i="22" s="1"/>
  <c r="Z39" i="22"/>
  <c r="Y39" i="22"/>
  <c r="X39" i="22"/>
  <c r="W39" i="22"/>
  <c r="V39" i="22"/>
  <c r="U39" i="22"/>
  <c r="T39" i="22"/>
  <c r="S39" i="22"/>
  <c r="R39" i="22"/>
  <c r="R41" i="22" s="1"/>
  <c r="Q39" i="22"/>
  <c r="Q41" i="22" s="1"/>
  <c r="P39" i="22"/>
  <c r="P41" i="22" s="1"/>
  <c r="O39" i="22"/>
  <c r="O41" i="22" s="1"/>
  <c r="N39" i="22"/>
  <c r="M39" i="22"/>
  <c r="L39" i="22"/>
  <c r="K39" i="22"/>
  <c r="J39" i="22"/>
  <c r="I39" i="22"/>
  <c r="H39" i="22"/>
  <c r="T52" i="22" s="1"/>
  <c r="U52" i="22" s="1"/>
  <c r="G39" i="22"/>
  <c r="T47" i="22" s="1"/>
  <c r="U47" i="22" s="1"/>
  <c r="F39" i="22"/>
  <c r="E39" i="22"/>
  <c r="D39" i="22"/>
  <c r="C39" i="22"/>
  <c r="B39" i="22"/>
  <c r="T54" i="22" l="1"/>
  <c r="U54" i="22" s="1"/>
  <c r="T49" i="22"/>
  <c r="U49" i="22" s="1"/>
  <c r="T53" i="22"/>
  <c r="U53" i="22" s="1"/>
  <c r="AH41" i="22"/>
  <c r="T51" i="22"/>
  <c r="U51" i="22" s="1"/>
  <c r="T50" i="22"/>
  <c r="U50" i="22" s="1"/>
  <c r="T45" i="22"/>
  <c r="U45" i="22" s="1"/>
  <c r="H46" i="22"/>
  <c r="AJ41" i="22"/>
  <c r="AL41" i="22"/>
  <c r="AN41" i="22"/>
  <c r="AP41" i="22"/>
  <c r="AI41" i="22"/>
  <c r="AK41" i="22"/>
  <c r="AM41" i="22"/>
  <c r="AO41" i="22"/>
  <c r="AQ41" i="22"/>
  <c r="T46" i="22"/>
  <c r="U46" i="22" s="1"/>
  <c r="T48" i="22"/>
  <c r="U48" i="22" s="1"/>
  <c r="H49" i="22"/>
  <c r="H47" i="16"/>
  <c r="E47" i="16"/>
  <c r="B47" i="16"/>
  <c r="E46" i="22" l="1"/>
  <c r="B45" i="22"/>
  <c r="H45" i="22"/>
  <c r="E45" i="22"/>
  <c r="B45" i="16"/>
  <c r="B46" i="16" l="1"/>
  <c r="AQ39" i="16"/>
  <c r="AP39" i="16"/>
  <c r="AO39" i="16"/>
  <c r="AN39" i="16"/>
  <c r="AM39" i="16"/>
  <c r="AL39" i="16"/>
  <c r="AK39" i="16"/>
  <c r="AJ39" i="16"/>
  <c r="AI39" i="16"/>
  <c r="AQ38" i="16"/>
  <c r="AP38" i="16"/>
  <c r="AO38" i="16"/>
  <c r="AN38" i="16"/>
  <c r="AM38" i="16"/>
  <c r="AL38" i="16"/>
  <c r="AK38" i="16"/>
  <c r="AJ38" i="16"/>
  <c r="AI38" i="16"/>
  <c r="AH38" i="16"/>
  <c r="H46" i="16"/>
  <c r="E46" i="16"/>
  <c r="AH40" i="16" l="1"/>
  <c r="AL40" i="16"/>
  <c r="AQ40" i="16"/>
  <c r="AP40" i="16"/>
  <c r="AN40" i="16"/>
  <c r="AM40" i="16"/>
  <c r="AK40" i="16"/>
  <c r="AJ40" i="16"/>
  <c r="AI40" i="16"/>
  <c r="AO40" i="16" l="1"/>
  <c r="B44" i="16" s="1"/>
  <c r="AB26" i="28"/>
  <c r="AC26" i="28"/>
  <c r="AD26" i="28"/>
  <c r="AA26" i="28"/>
  <c r="K40" i="20" l="1"/>
  <c r="K41" i="20" s="1"/>
  <c r="L20" i="27" s="1"/>
  <c r="K39" i="21"/>
  <c r="K40" i="21" s="1"/>
  <c r="L19" i="27" s="1"/>
  <c r="K40" i="22"/>
  <c r="K41" i="22" s="1"/>
  <c r="L18" i="27" s="1"/>
  <c r="E40" i="20"/>
  <c r="E41" i="20" s="1"/>
  <c r="F20" i="27" s="1"/>
  <c r="E39" i="21"/>
  <c r="E40" i="21" s="1"/>
  <c r="F19" i="27" s="1"/>
  <c r="E40" i="22"/>
  <c r="E41" i="22" s="1"/>
  <c r="F18" i="27" s="1"/>
  <c r="K39" i="16"/>
  <c r="K40" i="23"/>
  <c r="K41" i="23" s="1"/>
  <c r="L25" i="27" s="1"/>
  <c r="K40" i="24"/>
  <c r="K41" i="24" s="1"/>
  <c r="E39" i="16"/>
  <c r="E40" i="23"/>
  <c r="E41" i="23" s="1"/>
  <c r="F25" i="27" s="1"/>
  <c r="E40" i="24"/>
  <c r="E41" i="24" s="1"/>
  <c r="F24" i="27" s="1"/>
  <c r="K40" i="26"/>
  <c r="K40" i="25"/>
  <c r="K41" i="25" s="1"/>
  <c r="K40" i="6"/>
  <c r="K41" i="6" s="1"/>
  <c r="E40" i="26"/>
  <c r="E40" i="25"/>
  <c r="E41" i="25" s="1"/>
  <c r="E40" i="6"/>
  <c r="E41" i="6" s="1"/>
  <c r="K40" i="17"/>
  <c r="K41" i="17" s="1"/>
  <c r="L23" i="27" s="1"/>
  <c r="K40" i="18"/>
  <c r="K41" i="18" s="1"/>
  <c r="L22" i="27" s="1"/>
  <c r="K40" i="19"/>
  <c r="K41" i="19" s="1"/>
  <c r="L21" i="27" s="1"/>
  <c r="E40" i="17"/>
  <c r="E41" i="17" s="1"/>
  <c r="F23" i="27" s="1"/>
  <c r="E40" i="18"/>
  <c r="E41" i="18" s="1"/>
  <c r="F22" i="27" s="1"/>
  <c r="E40" i="19"/>
  <c r="E41" i="19" s="1"/>
  <c r="F21" i="27" s="1"/>
  <c r="AG24" i="28"/>
  <c r="AH24" i="28"/>
  <c r="AI24" i="28"/>
  <c r="AF24" i="28"/>
  <c r="AI31" i="28"/>
  <c r="AH31" i="28"/>
  <c r="AG31" i="28"/>
  <c r="AF31" i="28"/>
  <c r="AD31" i="28"/>
  <c r="AC31" i="28"/>
  <c r="AB31" i="28"/>
  <c r="AA31" i="28"/>
  <c r="AI30" i="28"/>
  <c r="AH30" i="28"/>
  <c r="AG30" i="28"/>
  <c r="AF30" i="28"/>
  <c r="AD30" i="28"/>
  <c r="AC30" i="28"/>
  <c r="AB30" i="28"/>
  <c r="AA30" i="28"/>
  <c r="AI29" i="28"/>
  <c r="AH29" i="28"/>
  <c r="AG29" i="28"/>
  <c r="AF29" i="28"/>
  <c r="AD29" i="28"/>
  <c r="AC29" i="28"/>
  <c r="AB29" i="28"/>
  <c r="AA29" i="28"/>
  <c r="AI28" i="28"/>
  <c r="AH28" i="28"/>
  <c r="AG28" i="28"/>
  <c r="AF28" i="28"/>
  <c r="AD28" i="28"/>
  <c r="AC28" i="28"/>
  <c r="AA28" i="28"/>
  <c r="AI27" i="28"/>
  <c r="AH27" i="28"/>
  <c r="AG27" i="28"/>
  <c r="AF27" i="28"/>
  <c r="AD27" i="28"/>
  <c r="AC27" i="28"/>
  <c r="AB27" i="28"/>
  <c r="AA27" i="28"/>
  <c r="AI26" i="28"/>
  <c r="AH26" i="28"/>
  <c r="AG26" i="28"/>
  <c r="AF26" i="28"/>
  <c r="AI25" i="28"/>
  <c r="AH25" i="28"/>
  <c r="AG25" i="28"/>
  <c r="AF25" i="28"/>
  <c r="AD25" i="28"/>
  <c r="AC25" i="28"/>
  <c r="AB25" i="28"/>
  <c r="AA25" i="28"/>
  <c r="AD24" i="28"/>
  <c r="AC24" i="28"/>
  <c r="AB24" i="28"/>
  <c r="AA24" i="28"/>
  <c r="AI23" i="28"/>
  <c r="AH23" i="28"/>
  <c r="AG23" i="28"/>
  <c r="AF23" i="28"/>
  <c r="AD23" i="28"/>
  <c r="AC23" i="28"/>
  <c r="AB23" i="28"/>
  <c r="AA23" i="28"/>
  <c r="AD22" i="28"/>
  <c r="AC22" i="28"/>
  <c r="AB22" i="28"/>
  <c r="AA22" i="28"/>
  <c r="R20" i="28"/>
  <c r="AI19" i="28"/>
  <c r="AG19" i="28"/>
  <c r="T18" i="28"/>
  <c r="AB18" i="28" s="1"/>
  <c r="P18" i="28"/>
  <c r="A12" i="28"/>
  <c r="A20" i="28" s="1"/>
  <c r="AE7" i="28"/>
  <c r="AD7" i="28"/>
  <c r="AD9" i="28" s="1"/>
  <c r="P25" i="27"/>
  <c r="Q25" i="27"/>
  <c r="R25" i="27"/>
  <c r="S25" i="27"/>
  <c r="AB25" i="27"/>
  <c r="L24" i="27"/>
  <c r="P24" i="27"/>
  <c r="Q24" i="27"/>
  <c r="R24" i="27"/>
  <c r="S24" i="27"/>
  <c r="AB24" i="27"/>
  <c r="AE10" i="27"/>
  <c r="AF10" i="27"/>
  <c r="AG10" i="27"/>
  <c r="AH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D23" i="27"/>
  <c r="K23" i="27"/>
  <c r="P23" i="27"/>
  <c r="Q23" i="27"/>
  <c r="R23" i="27"/>
  <c r="S23" i="27"/>
  <c r="T23" i="27"/>
  <c r="U23" i="27"/>
  <c r="AB23" i="27"/>
  <c r="D22" i="27"/>
  <c r="K22" i="27"/>
  <c r="P22" i="27"/>
  <c r="Q22" i="27"/>
  <c r="R22" i="27"/>
  <c r="S22" i="27"/>
  <c r="T22" i="27"/>
  <c r="U22" i="27"/>
  <c r="AB22" i="27"/>
  <c r="AE9" i="27"/>
  <c r="AF9" i="27"/>
  <c r="AG9" i="27"/>
  <c r="AH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8" i="27"/>
  <c r="AF8" i="27"/>
  <c r="AG8" i="27"/>
  <c r="AH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D21" i="27"/>
  <c r="K21" i="27"/>
  <c r="P21" i="27"/>
  <c r="Q21" i="27"/>
  <c r="R21" i="27"/>
  <c r="S21" i="27"/>
  <c r="T21" i="27"/>
  <c r="U21" i="27"/>
  <c r="AB21" i="27"/>
  <c r="AE7" i="27"/>
  <c r="AF7" i="27"/>
  <c r="AG7" i="27"/>
  <c r="AH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P20" i="27"/>
  <c r="Q20" i="27"/>
  <c r="R20" i="27"/>
  <c r="S20" i="27"/>
  <c r="AB20" i="27"/>
  <c r="AE6" i="27"/>
  <c r="AF6" i="27"/>
  <c r="AG6" i="27"/>
  <c r="AH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P19" i="27"/>
  <c r="Q19" i="27"/>
  <c r="R19" i="27"/>
  <c r="S19" i="27"/>
  <c r="AB19" i="27"/>
  <c r="AE5" i="27"/>
  <c r="AF5" i="27"/>
  <c r="AG5" i="27"/>
  <c r="AH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11" i="27"/>
  <c r="AF11" i="27"/>
  <c r="AG11" i="27"/>
  <c r="AH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B18" i="27"/>
  <c r="S18" i="27"/>
  <c r="R18" i="27"/>
  <c r="Q18" i="27"/>
  <c r="P18" i="27"/>
  <c r="AE30" i="27"/>
  <c r="AF30" i="27"/>
  <c r="AG30" i="27"/>
  <c r="AH30" i="27"/>
  <c r="AE4" i="27"/>
  <c r="AF4" i="27"/>
  <c r="AG4" i="27"/>
  <c r="AH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W40" i="20" l="1"/>
  <c r="W41" i="20" s="1"/>
  <c r="W39" i="21"/>
  <c r="W40" i="21" s="1"/>
  <c r="W40" i="22"/>
  <c r="W41" i="22" s="1"/>
  <c r="X40" i="20"/>
  <c r="X41" i="20" s="1"/>
  <c r="X40" i="22"/>
  <c r="X41" i="22" s="1"/>
  <c r="X39" i="21"/>
  <c r="X40" i="21" s="1"/>
  <c r="W39" i="16"/>
  <c r="W40" i="23"/>
  <c r="W41" i="23" s="1"/>
  <c r="X25" i="27" s="1"/>
  <c r="W40" i="24"/>
  <c r="W41" i="24" s="1"/>
  <c r="X39" i="16"/>
  <c r="X40" i="23"/>
  <c r="X41" i="23" s="1"/>
  <c r="Y25" i="27" s="1"/>
  <c r="X40" i="24"/>
  <c r="X41" i="24" s="1"/>
  <c r="N40" i="20"/>
  <c r="N41" i="20" s="1"/>
  <c r="F40" i="20"/>
  <c r="F41" i="20" s="1"/>
  <c r="M39" i="21"/>
  <c r="M40" i="21" s="1"/>
  <c r="N40" i="22"/>
  <c r="N41" i="22" s="1"/>
  <c r="O18" i="27" s="1"/>
  <c r="F40" i="22"/>
  <c r="F41" i="22" s="1"/>
  <c r="M40" i="20"/>
  <c r="M41" i="20" s="1"/>
  <c r="F39" i="21"/>
  <c r="F40" i="21" s="1"/>
  <c r="M40" i="22"/>
  <c r="M41" i="22" s="1"/>
  <c r="N39" i="21"/>
  <c r="N40" i="21" s="1"/>
  <c r="O19" i="27" s="1"/>
  <c r="N39" i="16"/>
  <c r="F39" i="16"/>
  <c r="M40" i="23"/>
  <c r="M41" i="23" s="1"/>
  <c r="N25" i="27" s="1"/>
  <c r="N40" i="24"/>
  <c r="N41" i="24" s="1"/>
  <c r="F40" i="24"/>
  <c r="F41" i="24" s="1"/>
  <c r="N40" i="23"/>
  <c r="N41" i="23" s="1"/>
  <c r="O25" i="27" s="1"/>
  <c r="F40" i="23"/>
  <c r="F41" i="23" s="1"/>
  <c r="G25" i="27" s="1"/>
  <c r="M39" i="16"/>
  <c r="M40" i="24"/>
  <c r="M41" i="24" s="1"/>
  <c r="M40" i="26"/>
  <c r="N40" i="26"/>
  <c r="F40" i="26"/>
  <c r="G39" i="21"/>
  <c r="G40" i="21" s="1"/>
  <c r="H19" i="27" s="1"/>
  <c r="G40" i="22"/>
  <c r="G41" i="22" s="1"/>
  <c r="H18" i="27" s="1"/>
  <c r="G40" i="20"/>
  <c r="G41" i="20" s="1"/>
  <c r="H20" i="27" s="1"/>
  <c r="G39" i="16"/>
  <c r="G40" i="24"/>
  <c r="G41" i="24" s="1"/>
  <c r="H24" i="27" s="1"/>
  <c r="G40" i="23"/>
  <c r="G41" i="23" s="1"/>
  <c r="H25" i="27" s="1"/>
  <c r="L39" i="21"/>
  <c r="L40" i="21" s="1"/>
  <c r="M19" i="27" s="1"/>
  <c r="L40" i="20"/>
  <c r="L41" i="20" s="1"/>
  <c r="M20" i="27" s="1"/>
  <c r="L40" i="22"/>
  <c r="L41" i="22" s="1"/>
  <c r="M18" i="27" s="1"/>
  <c r="L40" i="23"/>
  <c r="L41" i="23" s="1"/>
  <c r="M25" i="27" s="1"/>
  <c r="L39" i="16"/>
  <c r="L40" i="24"/>
  <c r="L41" i="24" s="1"/>
  <c r="M24" i="27" s="1"/>
  <c r="V40" i="20"/>
  <c r="V41" i="20" s="1"/>
  <c r="W20" i="27" s="1"/>
  <c r="AB39" i="21"/>
  <c r="AB40" i="21" s="1"/>
  <c r="AC19" i="27" s="1"/>
  <c r="U39" i="21"/>
  <c r="U40" i="21" s="1"/>
  <c r="V19" i="27" s="1"/>
  <c r="V40" i="22"/>
  <c r="V41" i="22" s="1"/>
  <c r="W18" i="27" s="1"/>
  <c r="AB40" i="20"/>
  <c r="AB41" i="20" s="1"/>
  <c r="AC20" i="27" s="1"/>
  <c r="U40" i="20"/>
  <c r="U41" i="20" s="1"/>
  <c r="V39" i="21"/>
  <c r="V40" i="21" s="1"/>
  <c r="W19" i="27" s="1"/>
  <c r="AB40" i="22"/>
  <c r="AB41" i="22" s="1"/>
  <c r="AC18" i="27" s="1"/>
  <c r="U40" i="22"/>
  <c r="U41" i="22" s="1"/>
  <c r="V18" i="27" s="1"/>
  <c r="V39" i="16"/>
  <c r="AB40" i="23"/>
  <c r="AB41" i="23" s="1"/>
  <c r="AC25" i="27" s="1"/>
  <c r="U40" i="23"/>
  <c r="U41" i="23" s="1"/>
  <c r="V25" i="27" s="1"/>
  <c r="V40" i="24"/>
  <c r="V41" i="24" s="1"/>
  <c r="W24" i="27" s="1"/>
  <c r="AB39" i="16"/>
  <c r="U39" i="16"/>
  <c r="V40" i="23"/>
  <c r="V41" i="23" s="1"/>
  <c r="W25" i="27" s="1"/>
  <c r="AB40" i="24"/>
  <c r="AB41" i="24" s="1"/>
  <c r="AC24" i="27" s="1"/>
  <c r="U40" i="24"/>
  <c r="U41" i="24" s="1"/>
  <c r="V24" i="27" s="1"/>
  <c r="T40" i="20"/>
  <c r="T41" i="20" s="1"/>
  <c r="J40" i="20"/>
  <c r="J41" i="20" s="1"/>
  <c r="K20" i="27" s="1"/>
  <c r="T39" i="21"/>
  <c r="T40" i="21" s="1"/>
  <c r="J39" i="21"/>
  <c r="J40" i="21" s="1"/>
  <c r="K19" i="27" s="1"/>
  <c r="T40" i="22"/>
  <c r="T41" i="22" s="1"/>
  <c r="J40" i="22"/>
  <c r="J41" i="22" s="1"/>
  <c r="K18" i="27" s="1"/>
  <c r="S40" i="20"/>
  <c r="S41" i="20" s="1"/>
  <c r="T20" i="27" s="1"/>
  <c r="C40" i="20"/>
  <c r="C41" i="20" s="1"/>
  <c r="D20" i="27" s="1"/>
  <c r="S39" i="21"/>
  <c r="S40" i="21" s="1"/>
  <c r="C39" i="21"/>
  <c r="C40" i="21" s="1"/>
  <c r="D19" i="27" s="1"/>
  <c r="S40" i="22"/>
  <c r="S41" i="22" s="1"/>
  <c r="C40" i="22"/>
  <c r="C41" i="22" s="1"/>
  <c r="D18" i="27" s="1"/>
  <c r="S40" i="26"/>
  <c r="C40" i="26"/>
  <c r="S40" i="25"/>
  <c r="S41" i="25" s="1"/>
  <c r="C40" i="25"/>
  <c r="C41" i="25" s="1"/>
  <c r="S40" i="6"/>
  <c r="S41" i="6" s="1"/>
  <c r="C40" i="6"/>
  <c r="C41" i="6" s="1"/>
  <c r="T40" i="26"/>
  <c r="J40" i="26"/>
  <c r="T40" i="25"/>
  <c r="T41" i="25" s="1"/>
  <c r="J40" i="25"/>
  <c r="J41" i="25" s="1"/>
  <c r="T40" i="6"/>
  <c r="T41" i="6" s="1"/>
  <c r="J40" i="6"/>
  <c r="J41" i="6" s="1"/>
  <c r="H40" i="18"/>
  <c r="H41" i="18" s="1"/>
  <c r="I22" i="27" s="1"/>
  <c r="H40" i="17"/>
  <c r="H41" i="17" s="1"/>
  <c r="I23" i="27" s="1"/>
  <c r="H40" i="19"/>
  <c r="H41" i="19" s="1"/>
  <c r="I21" i="27" s="1"/>
  <c r="H40" i="25"/>
  <c r="H41" i="25" s="1"/>
  <c r="H40" i="26"/>
  <c r="H40" i="6"/>
  <c r="H41" i="6" s="1"/>
  <c r="I40" i="17"/>
  <c r="I41" i="17" s="1"/>
  <c r="J23" i="27" s="1"/>
  <c r="AC40" i="18"/>
  <c r="AC41" i="18" s="1"/>
  <c r="AD22" i="27" s="1"/>
  <c r="B40" i="18"/>
  <c r="B41" i="18" s="1"/>
  <c r="I40" i="19"/>
  <c r="I41" i="19" s="1"/>
  <c r="J21" i="27" s="1"/>
  <c r="AC40" i="17"/>
  <c r="AC41" i="17" s="1"/>
  <c r="AD23" i="27" s="1"/>
  <c r="B40" i="17"/>
  <c r="B41" i="17" s="1"/>
  <c r="I40" i="18"/>
  <c r="I41" i="18" s="1"/>
  <c r="J22" i="27" s="1"/>
  <c r="AC40" i="19"/>
  <c r="AC41" i="19" s="1"/>
  <c r="AD21" i="27" s="1"/>
  <c r="B40" i="19"/>
  <c r="B41" i="19" s="1"/>
  <c r="I40" i="26"/>
  <c r="AC40" i="25"/>
  <c r="AC41" i="25" s="1"/>
  <c r="B40" i="25"/>
  <c r="B41" i="25" s="1"/>
  <c r="I40" i="6"/>
  <c r="I41" i="6" s="1"/>
  <c r="AC40" i="26"/>
  <c r="B40" i="26"/>
  <c r="B41" i="26" s="1"/>
  <c r="I40" i="25"/>
  <c r="I41" i="25" s="1"/>
  <c r="AC40" i="6"/>
  <c r="AC41" i="6" s="1"/>
  <c r="B40" i="6"/>
  <c r="B41" i="6" s="1"/>
  <c r="Y40" i="17"/>
  <c r="Y41" i="17" s="1"/>
  <c r="Z23" i="27" s="1"/>
  <c r="Z40" i="18"/>
  <c r="Z41" i="18" s="1"/>
  <c r="AA22" i="27" s="1"/>
  <c r="D40" i="18"/>
  <c r="D41" i="18" s="1"/>
  <c r="E22" i="27" s="1"/>
  <c r="Y40" i="19"/>
  <c r="Y41" i="19" s="1"/>
  <c r="Z21" i="27" s="1"/>
  <c r="D40" i="17"/>
  <c r="D41" i="17" s="1"/>
  <c r="E23" i="27" s="1"/>
  <c r="Z40" i="17"/>
  <c r="Z41" i="17" s="1"/>
  <c r="AA23" i="27" s="1"/>
  <c r="Y40" i="18"/>
  <c r="Y41" i="18" s="1"/>
  <c r="Z22" i="27" s="1"/>
  <c r="Z40" i="19"/>
  <c r="Z41" i="19" s="1"/>
  <c r="AA21" i="27" s="1"/>
  <c r="D40" i="19"/>
  <c r="D41" i="19" s="1"/>
  <c r="E21" i="27" s="1"/>
  <c r="Y40" i="26"/>
  <c r="Z40" i="25"/>
  <c r="Z41" i="25" s="1"/>
  <c r="D40" i="25"/>
  <c r="D41" i="25" s="1"/>
  <c r="Z40" i="6"/>
  <c r="Z41" i="6" s="1"/>
  <c r="Z40" i="26"/>
  <c r="D40" i="26"/>
  <c r="Y40" i="25"/>
  <c r="Y41" i="25" s="1"/>
  <c r="D40" i="6"/>
  <c r="D41" i="6" s="1"/>
  <c r="Y40" i="6"/>
  <c r="Y41" i="6" s="1"/>
  <c r="W40" i="17"/>
  <c r="W41" i="17" s="1"/>
  <c r="W40" i="18"/>
  <c r="W41" i="18" s="1"/>
  <c r="W40" i="19"/>
  <c r="W41" i="19" s="1"/>
  <c r="X40" i="17"/>
  <c r="X41" i="17" s="1"/>
  <c r="X40" i="18"/>
  <c r="X41" i="18" s="1"/>
  <c r="X40" i="19"/>
  <c r="X41" i="19" s="1"/>
  <c r="W40" i="26"/>
  <c r="W40" i="25"/>
  <c r="W41" i="25" s="1"/>
  <c r="W40" i="6"/>
  <c r="W41" i="6" s="1"/>
  <c r="X40" i="25"/>
  <c r="X41" i="25" s="1"/>
  <c r="X40" i="26"/>
  <c r="X40" i="6"/>
  <c r="X41" i="6" s="1"/>
  <c r="M40" i="17"/>
  <c r="M41" i="17" s="1"/>
  <c r="N40" i="18"/>
  <c r="N41" i="18" s="1"/>
  <c r="O22" i="27" s="1"/>
  <c r="F40" i="18"/>
  <c r="F41" i="18" s="1"/>
  <c r="M40" i="19"/>
  <c r="M41" i="19" s="1"/>
  <c r="F40" i="17"/>
  <c r="F41" i="17" s="1"/>
  <c r="N40" i="19"/>
  <c r="N41" i="19" s="1"/>
  <c r="O21" i="27" s="1"/>
  <c r="N40" i="17"/>
  <c r="N41" i="17" s="1"/>
  <c r="O23" i="27" s="1"/>
  <c r="M40" i="18"/>
  <c r="M41" i="18" s="1"/>
  <c r="F40" i="19"/>
  <c r="F41" i="19" s="1"/>
  <c r="N40" i="25"/>
  <c r="N41" i="25" s="1"/>
  <c r="F40" i="25"/>
  <c r="F41" i="25" s="1"/>
  <c r="M40" i="6"/>
  <c r="M41" i="6" s="1"/>
  <c r="M40" i="25"/>
  <c r="M41" i="25" s="1"/>
  <c r="F40" i="6"/>
  <c r="F41" i="6" s="1"/>
  <c r="N40" i="6"/>
  <c r="N41" i="6" s="1"/>
  <c r="G40" i="17"/>
  <c r="G41" i="17" s="1"/>
  <c r="H23" i="27" s="1"/>
  <c r="G40" i="19"/>
  <c r="G41" i="19" s="1"/>
  <c r="H21" i="27" s="1"/>
  <c r="G40" i="18"/>
  <c r="G41" i="18" s="1"/>
  <c r="H22" i="27" s="1"/>
  <c r="G40" i="26"/>
  <c r="G40" i="6"/>
  <c r="G41" i="6" s="1"/>
  <c r="G40" i="25"/>
  <c r="G41" i="25" s="1"/>
  <c r="L40" i="17"/>
  <c r="L41" i="17" s="1"/>
  <c r="M23" i="27" s="1"/>
  <c r="L40" i="19"/>
  <c r="L41" i="19" s="1"/>
  <c r="M21" i="27" s="1"/>
  <c r="L40" i="18"/>
  <c r="L41" i="18" s="1"/>
  <c r="M22" i="27" s="1"/>
  <c r="L40" i="26"/>
  <c r="L41" i="26" s="1"/>
  <c r="L40" i="6"/>
  <c r="L41" i="6" s="1"/>
  <c r="L40" i="25"/>
  <c r="L41" i="25" s="1"/>
  <c r="AB40" i="17"/>
  <c r="AB41" i="17" s="1"/>
  <c r="AC23" i="27" s="1"/>
  <c r="U40" i="17"/>
  <c r="U41" i="17" s="1"/>
  <c r="V40" i="18"/>
  <c r="V41" i="18" s="1"/>
  <c r="AB40" i="19"/>
  <c r="AB41" i="19" s="1"/>
  <c r="AC21" i="27" s="1"/>
  <c r="U40" i="19"/>
  <c r="U41" i="19" s="1"/>
  <c r="V40" i="17"/>
  <c r="V41" i="17" s="1"/>
  <c r="AB40" i="18"/>
  <c r="AB41" i="18" s="1"/>
  <c r="AC22" i="27" s="1"/>
  <c r="U40" i="18"/>
  <c r="U41" i="18" s="1"/>
  <c r="V40" i="19"/>
  <c r="V41" i="19" s="1"/>
  <c r="AB40" i="26"/>
  <c r="U40" i="26"/>
  <c r="V40" i="25"/>
  <c r="V41" i="25" s="1"/>
  <c r="AB40" i="6"/>
  <c r="AB41" i="6" s="1"/>
  <c r="U40" i="6"/>
  <c r="U41" i="6" s="1"/>
  <c r="V40" i="26"/>
  <c r="AB40" i="25"/>
  <c r="AB41" i="25" s="1"/>
  <c r="U40" i="25"/>
  <c r="U41" i="25" s="1"/>
  <c r="V40" i="6"/>
  <c r="V41" i="6" s="1"/>
  <c r="S39" i="16"/>
  <c r="C39" i="16"/>
  <c r="S40" i="23"/>
  <c r="S41" i="23" s="1"/>
  <c r="C40" i="23"/>
  <c r="C41" i="23" s="1"/>
  <c r="D25" i="27" s="1"/>
  <c r="S40" i="24"/>
  <c r="S41" i="24" s="1"/>
  <c r="C40" i="24"/>
  <c r="C41" i="24" s="1"/>
  <c r="D24" i="27" s="1"/>
  <c r="T39" i="16"/>
  <c r="J39" i="16"/>
  <c r="T40" i="23"/>
  <c r="T41" i="23" s="1"/>
  <c r="J40" i="23"/>
  <c r="J41" i="23" s="1"/>
  <c r="K25" i="27" s="1"/>
  <c r="T40" i="24"/>
  <c r="T41" i="24" s="1"/>
  <c r="J40" i="24"/>
  <c r="J41" i="24" s="1"/>
  <c r="K24" i="27" s="1"/>
  <c r="H40" i="20"/>
  <c r="H41" i="20" s="1"/>
  <c r="I20" i="27" s="1"/>
  <c r="H40" i="22"/>
  <c r="H41" i="22" s="1"/>
  <c r="I18" i="27" s="1"/>
  <c r="H39" i="21"/>
  <c r="H40" i="21" s="1"/>
  <c r="I19" i="27" s="1"/>
  <c r="H39" i="16"/>
  <c r="H40" i="24"/>
  <c r="H41" i="24" s="1"/>
  <c r="I24" i="27" s="1"/>
  <c r="H40" i="23"/>
  <c r="H41" i="23" s="1"/>
  <c r="I25" i="27" s="1"/>
  <c r="AC40" i="20"/>
  <c r="AC41" i="20" s="1"/>
  <c r="AD20" i="27" s="1"/>
  <c r="B40" i="20"/>
  <c r="B41" i="20" s="1"/>
  <c r="I39" i="21"/>
  <c r="I40" i="21" s="1"/>
  <c r="J19" i="27" s="1"/>
  <c r="AC40" i="22"/>
  <c r="AC41" i="22" s="1"/>
  <c r="AD18" i="27" s="1"/>
  <c r="B40" i="22"/>
  <c r="B41" i="22" s="1"/>
  <c r="I40" i="20"/>
  <c r="I41" i="20" s="1"/>
  <c r="J20" i="27" s="1"/>
  <c r="AC39" i="21"/>
  <c r="AC40" i="21" s="1"/>
  <c r="AD19" i="27" s="1"/>
  <c r="B39" i="21"/>
  <c r="B40" i="21" s="1"/>
  <c r="I40" i="22"/>
  <c r="I41" i="22" s="1"/>
  <c r="J18" i="27" s="1"/>
  <c r="AC39" i="16"/>
  <c r="B39" i="16"/>
  <c r="I40" i="23"/>
  <c r="I41" i="23" s="1"/>
  <c r="J25" i="27" s="1"/>
  <c r="AC40" i="24"/>
  <c r="AC41" i="24" s="1"/>
  <c r="AD24" i="27" s="1"/>
  <c r="B40" i="24"/>
  <c r="B41" i="24" s="1"/>
  <c r="I39" i="16"/>
  <c r="AC40" i="23"/>
  <c r="AC41" i="23" s="1"/>
  <c r="AD25" i="27" s="1"/>
  <c r="B40" i="23"/>
  <c r="B41" i="23" s="1"/>
  <c r="I40" i="24"/>
  <c r="I41" i="24" s="1"/>
  <c r="J24" i="27" s="1"/>
  <c r="D40" i="20"/>
  <c r="D41" i="20" s="1"/>
  <c r="E20" i="27" s="1"/>
  <c r="Y40" i="20"/>
  <c r="Y41" i="20" s="1"/>
  <c r="Z20" i="27" s="1"/>
  <c r="Z39" i="21"/>
  <c r="Z40" i="21" s="1"/>
  <c r="AA19" i="27" s="1"/>
  <c r="Z40" i="22"/>
  <c r="Z41" i="22" s="1"/>
  <c r="AA18" i="27" s="1"/>
  <c r="D40" i="22"/>
  <c r="D41" i="22" s="1"/>
  <c r="E18" i="27" s="1"/>
  <c r="Z40" i="20"/>
  <c r="Z41" i="20" s="1"/>
  <c r="AA20" i="27" s="1"/>
  <c r="D39" i="21"/>
  <c r="D40" i="21" s="1"/>
  <c r="E19" i="27" s="1"/>
  <c r="Y39" i="21"/>
  <c r="Y40" i="21" s="1"/>
  <c r="Z19" i="27" s="1"/>
  <c r="Y40" i="22"/>
  <c r="Y41" i="22" s="1"/>
  <c r="Z18" i="27" s="1"/>
  <c r="D39" i="16"/>
  <c r="Y39" i="16"/>
  <c r="Z40" i="23"/>
  <c r="Z41" i="23" s="1"/>
  <c r="AA25" i="27" s="1"/>
  <c r="Z40" i="24"/>
  <c r="Z41" i="24" s="1"/>
  <c r="AA24" i="27" s="1"/>
  <c r="D40" i="24"/>
  <c r="D41" i="24" s="1"/>
  <c r="E24" i="27" s="1"/>
  <c r="Z39" i="16"/>
  <c r="D40" i="23"/>
  <c r="D41" i="23" s="1"/>
  <c r="E25" i="27" s="1"/>
  <c r="Y40" i="23"/>
  <c r="Y41" i="23" s="1"/>
  <c r="Z25" i="27" s="1"/>
  <c r="Y40" i="24"/>
  <c r="Y41" i="24" s="1"/>
  <c r="Z24" i="27" s="1"/>
  <c r="AG14" i="27"/>
  <c r="AE14" i="27"/>
  <c r="O24" i="27"/>
  <c r="O20" i="27"/>
  <c r="AF39" i="16"/>
  <c r="AE39" i="16"/>
  <c r="AD39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T47" i="16" s="1"/>
  <c r="U47" i="16" s="1"/>
  <c r="K38" i="16"/>
  <c r="J38" i="16"/>
  <c r="I38" i="16"/>
  <c r="H38" i="16"/>
  <c r="T51" i="16" s="1"/>
  <c r="U51" i="16" s="1"/>
  <c r="G38" i="16"/>
  <c r="T46" i="16" s="1"/>
  <c r="U46" i="16" s="1"/>
  <c r="F38" i="16"/>
  <c r="E38" i="16"/>
  <c r="D38" i="16"/>
  <c r="C38" i="16"/>
  <c r="B38" i="16"/>
  <c r="AG13" i="27"/>
  <c r="AE13" i="27"/>
  <c r="T50" i="16" l="1"/>
  <c r="U50" i="16" s="1"/>
  <c r="T44" i="16"/>
  <c r="U44" i="16" s="1"/>
  <c r="AG39" i="16"/>
  <c r="T53" i="16"/>
  <c r="U53" i="16" s="1"/>
  <c r="T52" i="16"/>
  <c r="U52" i="16" s="1"/>
  <c r="T48" i="16"/>
  <c r="U48" i="16" s="1"/>
  <c r="T49" i="16"/>
  <c r="U49" i="16" s="1"/>
  <c r="B44" i="23"/>
  <c r="B50" i="23" s="1"/>
  <c r="B51" i="23" s="1"/>
  <c r="C40" i="27" s="1"/>
  <c r="C25" i="27"/>
  <c r="B44" i="22"/>
  <c r="B50" i="22" s="1"/>
  <c r="B51" i="22" s="1"/>
  <c r="C33" i="27" s="1"/>
  <c r="C18" i="27"/>
  <c r="E44" i="24"/>
  <c r="U24" i="27"/>
  <c r="E44" i="23"/>
  <c r="U25" i="27"/>
  <c r="H44" i="24"/>
  <c r="T24" i="27"/>
  <c r="H44" i="23"/>
  <c r="T25" i="27"/>
  <c r="E44" i="19"/>
  <c r="E50" i="19" s="1"/>
  <c r="E51" i="19" s="1"/>
  <c r="D36" i="27" s="1"/>
  <c r="W21" i="27"/>
  <c r="H44" i="19"/>
  <c r="H50" i="19" s="1"/>
  <c r="H51" i="19" s="1"/>
  <c r="E36" i="27" s="1"/>
  <c r="V21" i="27"/>
  <c r="E44" i="18"/>
  <c r="E50" i="18" s="1"/>
  <c r="E51" i="18" s="1"/>
  <c r="D37" i="27" s="1"/>
  <c r="W22" i="27"/>
  <c r="B44" i="17"/>
  <c r="B50" i="17" s="1"/>
  <c r="B51" i="17" s="1"/>
  <c r="C38" i="27" s="1"/>
  <c r="C23" i="27"/>
  <c r="H44" i="20"/>
  <c r="H50" i="20" s="1"/>
  <c r="H51" i="20" s="1"/>
  <c r="E35" i="27" s="1"/>
  <c r="V20" i="27"/>
  <c r="B44" i="6"/>
  <c r="B50" i="6" s="1"/>
  <c r="B51" i="6" s="1"/>
  <c r="C42" i="27" s="1"/>
  <c r="B44" i="25"/>
  <c r="B50" i="25" s="1"/>
  <c r="B51" i="25" s="1"/>
  <c r="C43" i="27" s="1"/>
  <c r="B44" i="24"/>
  <c r="B50" i="24" s="1"/>
  <c r="B51" i="24" s="1"/>
  <c r="C39" i="27" s="1"/>
  <c r="C24" i="27"/>
  <c r="B43" i="21"/>
  <c r="B49" i="21" s="1"/>
  <c r="B50" i="21" s="1"/>
  <c r="C34" i="27" s="1"/>
  <c r="C19" i="27"/>
  <c r="B44" i="20"/>
  <c r="B50" i="20" s="1"/>
  <c r="B51" i="20" s="1"/>
  <c r="C35" i="27" s="1"/>
  <c r="C20" i="27"/>
  <c r="H44" i="18"/>
  <c r="V22" i="27"/>
  <c r="E44" i="17"/>
  <c r="W23" i="27"/>
  <c r="H44" i="17"/>
  <c r="V23" i="27"/>
  <c r="B44" i="19"/>
  <c r="B50" i="19" s="1"/>
  <c r="B51" i="19" s="1"/>
  <c r="C36" i="27" s="1"/>
  <c r="C21" i="27"/>
  <c r="B44" i="18"/>
  <c r="B50" i="18" s="1"/>
  <c r="B51" i="18" s="1"/>
  <c r="C37" i="27" s="1"/>
  <c r="C22" i="27"/>
  <c r="H44" i="22"/>
  <c r="H50" i="22" s="1"/>
  <c r="H51" i="22" s="1"/>
  <c r="E33" i="27" s="1"/>
  <c r="T18" i="27"/>
  <c r="H43" i="21"/>
  <c r="H49" i="21" s="1"/>
  <c r="H50" i="21" s="1"/>
  <c r="E34" i="27" s="1"/>
  <c r="T19" i="27"/>
  <c r="E44" i="22"/>
  <c r="E50" i="22" s="1"/>
  <c r="E51" i="22" s="1"/>
  <c r="D33" i="27" s="1"/>
  <c r="U18" i="27"/>
  <c r="E43" i="21"/>
  <c r="E49" i="21" s="1"/>
  <c r="E50" i="21" s="1"/>
  <c r="D34" i="27" s="1"/>
  <c r="U19" i="27"/>
  <c r="E44" i="20"/>
  <c r="E50" i="20" s="1"/>
  <c r="E51" i="20" s="1"/>
  <c r="D35" i="27" s="1"/>
  <c r="U20" i="27"/>
  <c r="E44" i="6"/>
  <c r="E50" i="6" s="1"/>
  <c r="E51" i="6" s="1"/>
  <c r="D42" i="27" s="1"/>
  <c r="E44" i="25"/>
  <c r="E50" i="25" s="1"/>
  <c r="E51" i="25" s="1"/>
  <c r="D43" i="27" s="1"/>
  <c r="H44" i="6"/>
  <c r="H50" i="6" s="1"/>
  <c r="H51" i="6" s="1"/>
  <c r="E42" i="27" s="1"/>
  <c r="H44" i="25"/>
  <c r="H50" i="25" s="1"/>
  <c r="H51" i="25" s="1"/>
  <c r="E43" i="27" s="1"/>
  <c r="H48" i="16"/>
  <c r="AE12" i="27"/>
  <c r="B48" i="16"/>
  <c r="C44" i="16" s="1"/>
  <c r="AG12" i="27"/>
  <c r="E48" i="16"/>
  <c r="T45" i="16"/>
  <c r="U45" i="16" s="1"/>
  <c r="C29" i="27"/>
  <c r="C15" i="27"/>
  <c r="M29" i="27"/>
  <c r="M15" i="27"/>
  <c r="C28" i="27"/>
  <c r="C14" i="27"/>
  <c r="E28" i="27"/>
  <c r="E14" i="27"/>
  <c r="G28" i="27"/>
  <c r="G14" i="27"/>
  <c r="I28" i="27"/>
  <c r="I14" i="27"/>
  <c r="K28" i="27"/>
  <c r="K14" i="27"/>
  <c r="M28" i="27"/>
  <c r="M14" i="27"/>
  <c r="O28" i="27"/>
  <c r="O14" i="27"/>
  <c r="Q28" i="27"/>
  <c r="Q14" i="27"/>
  <c r="S28" i="27"/>
  <c r="S14" i="27"/>
  <c r="U28" i="27"/>
  <c r="U14" i="27"/>
  <c r="W28" i="27"/>
  <c r="W14" i="27"/>
  <c r="Y28" i="27"/>
  <c r="Y14" i="27"/>
  <c r="AA28" i="27"/>
  <c r="AA14" i="27"/>
  <c r="AC14" i="27"/>
  <c r="D28" i="27"/>
  <c r="D14" i="27"/>
  <c r="F28" i="27"/>
  <c r="F14" i="27"/>
  <c r="H28" i="27"/>
  <c r="H14" i="27"/>
  <c r="J14" i="27"/>
  <c r="L28" i="27"/>
  <c r="L14" i="27"/>
  <c r="N28" i="27"/>
  <c r="N14" i="27"/>
  <c r="P28" i="27"/>
  <c r="P14" i="27"/>
  <c r="R28" i="27"/>
  <c r="R14" i="27"/>
  <c r="T28" i="27"/>
  <c r="T14" i="27"/>
  <c r="V14" i="27"/>
  <c r="X28" i="27"/>
  <c r="X14" i="27"/>
  <c r="Z28" i="27"/>
  <c r="Z14" i="27"/>
  <c r="AB28" i="27"/>
  <c r="AB14" i="27"/>
  <c r="AD14" i="27"/>
  <c r="AH14" i="27"/>
  <c r="AF14" i="27"/>
  <c r="Z27" i="27"/>
  <c r="Z13" i="27"/>
  <c r="AB27" i="27"/>
  <c r="AB13" i="27"/>
  <c r="AD13" i="27"/>
  <c r="AF13" i="27"/>
  <c r="AH13" i="27"/>
  <c r="Y27" i="27"/>
  <c r="Y13" i="27"/>
  <c r="AA27" i="27"/>
  <c r="AA13" i="27"/>
  <c r="AC13" i="27"/>
  <c r="AF12" i="27"/>
  <c r="N24" i="27"/>
  <c r="G24" i="27"/>
  <c r="N23" i="27"/>
  <c r="G23" i="27"/>
  <c r="N22" i="27"/>
  <c r="G22" i="27"/>
  <c r="N21" i="27"/>
  <c r="G21" i="27"/>
  <c r="N20" i="27"/>
  <c r="G20" i="27"/>
  <c r="N19" i="27"/>
  <c r="G19" i="27"/>
  <c r="N18" i="27"/>
  <c r="G18" i="27"/>
  <c r="Y24" i="27"/>
  <c r="X24" i="27"/>
  <c r="Y23" i="27"/>
  <c r="X23" i="27"/>
  <c r="Y22" i="27"/>
  <c r="X22" i="27"/>
  <c r="Y21" i="27"/>
  <c r="X21" i="27"/>
  <c r="Y20" i="27"/>
  <c r="X20" i="27"/>
  <c r="Y19" i="27"/>
  <c r="X19" i="27"/>
  <c r="Y18" i="27"/>
  <c r="X18" i="27"/>
  <c r="B40" i="16"/>
  <c r="C12" i="27"/>
  <c r="D40" i="16"/>
  <c r="E26" i="27" s="1"/>
  <c r="E12" i="27"/>
  <c r="F40" i="16"/>
  <c r="G12" i="27"/>
  <c r="H40" i="16"/>
  <c r="I26" i="27" s="1"/>
  <c r="I12" i="27"/>
  <c r="J40" i="16"/>
  <c r="K26" i="27" s="1"/>
  <c r="K12" i="27"/>
  <c r="L40" i="16"/>
  <c r="M26" i="27" s="1"/>
  <c r="M12" i="27"/>
  <c r="N40" i="16"/>
  <c r="O26" i="27" s="1"/>
  <c r="O12" i="27"/>
  <c r="P40" i="16"/>
  <c r="Q26" i="27" s="1"/>
  <c r="Q12" i="27"/>
  <c r="R40" i="16"/>
  <c r="S26" i="27" s="1"/>
  <c r="S12" i="27"/>
  <c r="T40" i="16"/>
  <c r="U26" i="27" s="1"/>
  <c r="U12" i="27"/>
  <c r="V40" i="16"/>
  <c r="W26" i="27" s="1"/>
  <c r="W12" i="27"/>
  <c r="X40" i="16"/>
  <c r="Y12" i="27"/>
  <c r="Z40" i="16"/>
  <c r="AA26" i="27" s="1"/>
  <c r="AA12" i="27"/>
  <c r="AB40" i="16"/>
  <c r="AC12" i="27"/>
  <c r="C40" i="16"/>
  <c r="D26" i="27" s="1"/>
  <c r="D12" i="27"/>
  <c r="E40" i="16"/>
  <c r="F26" i="27" s="1"/>
  <c r="F12" i="27"/>
  <c r="G40" i="16"/>
  <c r="H26" i="27" s="1"/>
  <c r="H12" i="27"/>
  <c r="I40" i="16"/>
  <c r="J26" i="27" s="1"/>
  <c r="J12" i="27"/>
  <c r="K40" i="16"/>
  <c r="L26" i="27" s="1"/>
  <c r="L12" i="27"/>
  <c r="M40" i="16"/>
  <c r="N12" i="27"/>
  <c r="O40" i="16"/>
  <c r="P12" i="27"/>
  <c r="Q40" i="16"/>
  <c r="R26" i="27" s="1"/>
  <c r="R12" i="27"/>
  <c r="S40" i="16"/>
  <c r="T26" i="27" s="1"/>
  <c r="T12" i="27"/>
  <c r="U40" i="16"/>
  <c r="V26" i="27" s="1"/>
  <c r="V12" i="27"/>
  <c r="W40" i="16"/>
  <c r="X12" i="27"/>
  <c r="Y40" i="16"/>
  <c r="Z26" i="27" s="1"/>
  <c r="Z12" i="27"/>
  <c r="AA40" i="16"/>
  <c r="AB26" i="27" s="1"/>
  <c r="AB12" i="27"/>
  <c r="AC40" i="16"/>
  <c r="AD12" i="27"/>
  <c r="H50" i="23" l="1"/>
  <c r="H51" i="23" s="1"/>
  <c r="E40" i="27" s="1"/>
  <c r="I51" i="23"/>
  <c r="E50" i="23"/>
  <c r="E51" i="23" s="1"/>
  <c r="D40" i="27" s="1"/>
  <c r="F51" i="23"/>
  <c r="H50" i="17"/>
  <c r="H51" i="17" s="1"/>
  <c r="E38" i="27" s="1"/>
  <c r="I49" i="17"/>
  <c r="E50" i="17"/>
  <c r="E51" i="17" s="1"/>
  <c r="D38" i="27" s="1"/>
  <c r="F49" i="17"/>
  <c r="H50" i="24"/>
  <c r="H51" i="24" s="1"/>
  <c r="E39" i="27" s="1"/>
  <c r="I49" i="24"/>
  <c r="E50" i="24"/>
  <c r="E51" i="24" s="1"/>
  <c r="D39" i="27" s="1"/>
  <c r="F49" i="24"/>
  <c r="H50" i="18"/>
  <c r="H51" i="18" s="1"/>
  <c r="E37" i="27" s="1"/>
  <c r="I50" i="18"/>
  <c r="E45" i="16"/>
  <c r="H45" i="16"/>
  <c r="B43" i="16"/>
  <c r="AH12" i="27"/>
  <c r="E44" i="16"/>
  <c r="H44" i="16"/>
  <c r="P26" i="27"/>
  <c r="X26" i="27"/>
  <c r="H43" i="16"/>
  <c r="I49" i="16" s="1"/>
  <c r="N26" i="27"/>
  <c r="Y26" i="27"/>
  <c r="E43" i="16"/>
  <c r="G26" i="27"/>
  <c r="AD28" i="27"/>
  <c r="V28" i="27"/>
  <c r="J28" i="27"/>
  <c r="AC28" i="27"/>
  <c r="C27" i="27"/>
  <c r="C13" i="27"/>
  <c r="C17" i="27" s="1"/>
  <c r="C6" i="28" s="1"/>
  <c r="E27" i="27"/>
  <c r="E13" i="27"/>
  <c r="G27" i="27"/>
  <c r="G13" i="27"/>
  <c r="I27" i="27"/>
  <c r="I13" i="27"/>
  <c r="K27" i="27"/>
  <c r="K13" i="27"/>
  <c r="M27" i="27"/>
  <c r="M30" i="27" s="1"/>
  <c r="T10" i="28" s="1"/>
  <c r="M13" i="27"/>
  <c r="M17" i="27" s="1"/>
  <c r="T6" i="28" s="1"/>
  <c r="T7" i="28" s="1"/>
  <c r="T9" i="28" s="1"/>
  <c r="O27" i="27"/>
  <c r="O13" i="27"/>
  <c r="Q27" i="27"/>
  <c r="Q13" i="27"/>
  <c r="S27" i="27"/>
  <c r="S13" i="27"/>
  <c r="U27" i="27"/>
  <c r="U13" i="27"/>
  <c r="W27" i="27"/>
  <c r="W13" i="27"/>
  <c r="AC27" i="27"/>
  <c r="AD27" i="27"/>
  <c r="D27" i="27"/>
  <c r="D13" i="27"/>
  <c r="F27" i="27"/>
  <c r="F13" i="27"/>
  <c r="H27" i="27"/>
  <c r="H13" i="27"/>
  <c r="J27" i="27"/>
  <c r="J13" i="27"/>
  <c r="L27" i="27"/>
  <c r="L13" i="27"/>
  <c r="N27" i="27"/>
  <c r="N13" i="27"/>
  <c r="P27" i="27"/>
  <c r="P13" i="27"/>
  <c r="R27" i="27"/>
  <c r="R13" i="27"/>
  <c r="T27" i="27"/>
  <c r="T13" i="27"/>
  <c r="V27" i="27"/>
  <c r="V13" i="27"/>
  <c r="X27" i="27"/>
  <c r="X13" i="27"/>
  <c r="AD26" i="27"/>
  <c r="AC26" i="27"/>
  <c r="C26" i="27"/>
  <c r="F49" i="16" l="1"/>
  <c r="B49" i="16"/>
  <c r="B50" i="16" s="1"/>
  <c r="C41" i="27" s="1"/>
  <c r="C48" i="16"/>
  <c r="C30" i="27"/>
  <c r="C10" i="28" s="1"/>
  <c r="H49" i="16"/>
  <c r="H50" i="16" s="1"/>
  <c r="E49" i="16"/>
  <c r="E50" i="16" s="1"/>
  <c r="D41" i="27" s="1"/>
  <c r="C7" i="28"/>
  <c r="C9" i="28" s="1"/>
  <c r="AB39" i="26" l="1"/>
  <c r="AA39" i="26"/>
  <c r="K39" i="26"/>
  <c r="G39" i="26"/>
  <c r="J39" i="26" l="1"/>
  <c r="D39" i="26"/>
  <c r="AD40" i="26"/>
  <c r="AA41" i="26"/>
  <c r="AB29" i="27" s="1"/>
  <c r="AB30" i="27" s="1"/>
  <c r="AB15" i="27"/>
  <c r="AB17" i="27" s="1"/>
  <c r="N39" i="26"/>
  <c r="M39" i="26"/>
  <c r="C39" i="26"/>
  <c r="F39" i="26"/>
  <c r="K41" i="26"/>
  <c r="L29" i="27" s="1"/>
  <c r="L30" i="27" s="1"/>
  <c r="S10" i="28" s="1"/>
  <c r="L15" i="27"/>
  <c r="L17" i="27" s="1"/>
  <c r="S6" i="28" s="1"/>
  <c r="H39" i="26"/>
  <c r="AB41" i="26"/>
  <c r="AC29" i="27" s="1"/>
  <c r="AC30" i="27" s="1"/>
  <c r="AD10" i="28" s="1"/>
  <c r="AC15" i="27"/>
  <c r="AC17" i="27" s="1"/>
  <c r="T47" i="26"/>
  <c r="U47" i="26" s="1"/>
  <c r="G41" i="26"/>
  <c r="H29" i="27" s="1"/>
  <c r="H30" i="27" s="1"/>
  <c r="H10" i="28" s="1"/>
  <c r="H15" i="27"/>
  <c r="H17" i="27" s="1"/>
  <c r="H6" i="28" s="1"/>
  <c r="E39" i="26"/>
  <c r="I39" i="26"/>
  <c r="AC39" i="26"/>
  <c r="AI39" i="26" l="1"/>
  <c r="AI41" i="26" s="1"/>
  <c r="T49" i="26"/>
  <c r="U49" i="26" s="1"/>
  <c r="E41" i="26"/>
  <c r="F29" i="27" s="1"/>
  <c r="F30" i="27" s="1"/>
  <c r="F10" i="28" s="1"/>
  <c r="F15" i="27"/>
  <c r="F17" i="27" s="1"/>
  <c r="F6" i="28" s="1"/>
  <c r="S7" i="28"/>
  <c r="E15" i="27"/>
  <c r="E17" i="27" s="1"/>
  <c r="E6" i="28" s="1"/>
  <c r="D41" i="26"/>
  <c r="E29" i="27" s="1"/>
  <c r="E30" i="27" s="1"/>
  <c r="E10" i="28" s="1"/>
  <c r="T46" i="26"/>
  <c r="U46" i="26" s="1"/>
  <c r="N15" i="27"/>
  <c r="N17" i="27" s="1"/>
  <c r="U6" i="28" s="1"/>
  <c r="M41" i="26"/>
  <c r="N29" i="27" s="1"/>
  <c r="N30" i="27" s="1"/>
  <c r="U10" i="28" s="1"/>
  <c r="AF40" i="26"/>
  <c r="AJ39" i="26"/>
  <c r="AJ41" i="26" s="1"/>
  <c r="H7" i="28"/>
  <c r="T52" i="26"/>
  <c r="U52" i="26" s="1"/>
  <c r="H41" i="26"/>
  <c r="I29" i="27" s="1"/>
  <c r="I30" i="27" s="1"/>
  <c r="I10" i="28" s="1"/>
  <c r="I15" i="27"/>
  <c r="I17" i="27" s="1"/>
  <c r="I6" i="28" s="1"/>
  <c r="J41" i="26"/>
  <c r="K29" i="27" s="1"/>
  <c r="K30" i="27" s="1"/>
  <c r="R10" i="28" s="1"/>
  <c r="K15" i="27"/>
  <c r="K17" i="27" s="1"/>
  <c r="R6" i="28" s="1"/>
  <c r="T53" i="26"/>
  <c r="U53" i="26" s="1"/>
  <c r="I41" i="26"/>
  <c r="J15" i="27"/>
  <c r="J17" i="27" s="1"/>
  <c r="Q6" i="28" s="1"/>
  <c r="AD15" i="27"/>
  <c r="AD17" i="27" s="1"/>
  <c r="AC41" i="26"/>
  <c r="AD29" i="27" s="1"/>
  <c r="AD30" i="27" s="1"/>
  <c r="AE10" i="28" s="1"/>
  <c r="G15" i="27"/>
  <c r="G17" i="27" s="1"/>
  <c r="G6" i="28" s="1"/>
  <c r="F41" i="26"/>
  <c r="G29" i="27" s="1"/>
  <c r="G30" i="27" s="1"/>
  <c r="G10" i="28" s="1"/>
  <c r="D15" i="27"/>
  <c r="D17" i="27" s="1"/>
  <c r="D6" i="28" s="1"/>
  <c r="C41" i="26"/>
  <c r="N41" i="26"/>
  <c r="O29" i="27" s="1"/>
  <c r="O30" i="27" s="1"/>
  <c r="V10" i="28" s="1"/>
  <c r="O15" i="27"/>
  <c r="O17" i="27" s="1"/>
  <c r="V6" i="28" s="1"/>
  <c r="B49" i="26"/>
  <c r="AE15" i="27"/>
  <c r="AE17" i="27" s="1"/>
  <c r="AF6" i="28" l="1"/>
  <c r="C52" i="27"/>
  <c r="C49" i="27"/>
  <c r="C58" i="27"/>
  <c r="D29" i="27"/>
  <c r="D30" i="27" s="1"/>
  <c r="D10" i="28" s="1"/>
  <c r="G7" i="28"/>
  <c r="J29" i="27"/>
  <c r="J30" i="27" s="1"/>
  <c r="Q10" i="28" s="1"/>
  <c r="AE40" i="26"/>
  <c r="D7" i="28"/>
  <c r="H9" i="28"/>
  <c r="W39" i="26"/>
  <c r="X39" i="26"/>
  <c r="V39" i="26"/>
  <c r="Q39" i="26"/>
  <c r="P39" i="26"/>
  <c r="Z39" i="26"/>
  <c r="T39" i="26"/>
  <c r="R39" i="26"/>
  <c r="O39" i="26"/>
  <c r="Y39" i="26"/>
  <c r="U39" i="26"/>
  <c r="S39" i="26"/>
  <c r="E7" i="28"/>
  <c r="V7" i="28"/>
  <c r="R7" i="28"/>
  <c r="I7" i="28"/>
  <c r="U7" i="28"/>
  <c r="S9" i="28"/>
  <c r="Q7" i="28"/>
  <c r="E49" i="26"/>
  <c r="AG15" i="27"/>
  <c r="AG17" i="27" s="1"/>
  <c r="F7" i="28"/>
  <c r="I9" i="28" l="1"/>
  <c r="V9" i="28"/>
  <c r="T50" i="26"/>
  <c r="U50" i="26" s="1"/>
  <c r="U41" i="26"/>
  <c r="V29" i="27" s="1"/>
  <c r="V30" i="27" s="1"/>
  <c r="Z10" i="28" s="1"/>
  <c r="V15" i="27"/>
  <c r="V17" i="27" s="1"/>
  <c r="Z6" i="28" s="1"/>
  <c r="T41" i="26"/>
  <c r="U29" i="27" s="1"/>
  <c r="U30" i="27" s="1"/>
  <c r="L16" i="28" s="1"/>
  <c r="U15" i="27"/>
  <c r="U17" i="27" s="1"/>
  <c r="L6" i="28" s="1"/>
  <c r="V41" i="26"/>
  <c r="W29" i="27" s="1"/>
  <c r="W30" i="27" s="1"/>
  <c r="M10" i="28" s="1"/>
  <c r="W15" i="27"/>
  <c r="W17" i="27" s="1"/>
  <c r="M6" i="28" s="1"/>
  <c r="Y41" i="26"/>
  <c r="Z29" i="27" s="1"/>
  <c r="Z30" i="27" s="1"/>
  <c r="AB10" i="28" s="1"/>
  <c r="Z15" i="27"/>
  <c r="Z17" i="27" s="1"/>
  <c r="AB6" i="28" s="1"/>
  <c r="T54" i="26"/>
  <c r="U54" i="26" s="1"/>
  <c r="Z41" i="26"/>
  <c r="AA29" i="27" s="1"/>
  <c r="AA30" i="27" s="1"/>
  <c r="O10" i="28" s="1"/>
  <c r="AA15" i="27"/>
  <c r="AA17" i="27" s="1"/>
  <c r="O6" i="28" s="1"/>
  <c r="Y15" i="27"/>
  <c r="Y17" i="27" s="1"/>
  <c r="N6" i="28" s="1"/>
  <c r="X41" i="26"/>
  <c r="Y29" i="27" s="1"/>
  <c r="Y30" i="27" s="1"/>
  <c r="N10" i="28" s="1"/>
  <c r="D9" i="28"/>
  <c r="F9" i="28"/>
  <c r="Q9" i="28"/>
  <c r="U9" i="28"/>
  <c r="R9" i="28"/>
  <c r="E9" i="28"/>
  <c r="O41" i="26"/>
  <c r="P15" i="27"/>
  <c r="P17" i="27" s="1"/>
  <c r="W6" i="28" s="1"/>
  <c r="P41" i="26"/>
  <c r="Q15" i="27"/>
  <c r="Q17" i="27" s="1"/>
  <c r="J6" i="28" s="1"/>
  <c r="T45" i="26"/>
  <c r="U45" i="26" s="1"/>
  <c r="X15" i="27"/>
  <c r="X17" i="27" s="1"/>
  <c r="AA6" i="28" s="1"/>
  <c r="W41" i="26"/>
  <c r="X29" i="27" s="1"/>
  <c r="X30" i="27" s="1"/>
  <c r="AA10" i="28" s="1"/>
  <c r="AG40" i="26"/>
  <c r="H49" i="26"/>
  <c r="AF15" i="27"/>
  <c r="AF17" i="27" s="1"/>
  <c r="AH6" i="28"/>
  <c r="F8" i="28" s="1"/>
  <c r="F15" i="28" s="1"/>
  <c r="D58" i="27"/>
  <c r="D51" i="27"/>
  <c r="D49" i="27"/>
  <c r="T15" i="27"/>
  <c r="T17" i="27" s="1"/>
  <c r="Y6" i="28" s="1"/>
  <c r="S41" i="26"/>
  <c r="T29" i="27" s="1"/>
  <c r="T30" i="27" s="1"/>
  <c r="Y16" i="28" s="1"/>
  <c r="T51" i="26"/>
  <c r="U51" i="26" s="1"/>
  <c r="R41" i="26"/>
  <c r="S29" i="27" s="1"/>
  <c r="S30" i="27" s="1"/>
  <c r="K16" i="28" s="1"/>
  <c r="S15" i="27"/>
  <c r="S17" i="27" s="1"/>
  <c r="K6" i="28" s="1"/>
  <c r="Q41" i="26"/>
  <c r="R29" i="27" s="1"/>
  <c r="R30" i="27" s="1"/>
  <c r="X10" i="28" s="1"/>
  <c r="R15" i="27"/>
  <c r="R17" i="27" s="1"/>
  <c r="X6" i="28" s="1"/>
  <c r="G9" i="28"/>
  <c r="E8" i="28" l="1"/>
  <c r="E15" i="28" s="1"/>
  <c r="E16" i="28" s="1"/>
  <c r="G8" i="28"/>
  <c r="G15" i="28" s="1"/>
  <c r="D8" i="28"/>
  <c r="D15" i="28" s="1"/>
  <c r="D16" i="28" s="1"/>
  <c r="K14" i="28"/>
  <c r="K7" i="28"/>
  <c r="Y7" i="28"/>
  <c r="C14" i="28"/>
  <c r="C8" i="28"/>
  <c r="C15" i="28" s="1"/>
  <c r="H14" i="28"/>
  <c r="H8" i="28"/>
  <c r="H15" i="28" s="1"/>
  <c r="I14" i="28"/>
  <c r="G14" i="28"/>
  <c r="D14" i="28"/>
  <c r="E14" i="28"/>
  <c r="F14" i="28"/>
  <c r="Q29" i="27"/>
  <c r="Q30" i="27" s="1"/>
  <c r="J10" i="28" s="1"/>
  <c r="E44" i="26"/>
  <c r="G16" i="28"/>
  <c r="AH17" i="27"/>
  <c r="AI6" i="28" s="1"/>
  <c r="E51" i="27"/>
  <c r="AG6" i="28"/>
  <c r="W14" i="28" s="1"/>
  <c r="E58" i="27"/>
  <c r="E49" i="27"/>
  <c r="AA7" i="28"/>
  <c r="W7" i="28"/>
  <c r="M7" i="28"/>
  <c r="M14" i="28"/>
  <c r="Z7" i="28"/>
  <c r="X7" i="28"/>
  <c r="P29" i="27"/>
  <c r="P30" i="27" s="1"/>
  <c r="W10" i="28" s="1"/>
  <c r="H44" i="26"/>
  <c r="B44" i="26"/>
  <c r="N7" i="28"/>
  <c r="N14" i="28"/>
  <c r="AB7" i="28"/>
  <c r="I8" i="28"/>
  <c r="I15" i="28" s="1"/>
  <c r="H46" i="26"/>
  <c r="E52" i="27" s="1"/>
  <c r="E46" i="26"/>
  <c r="D52" i="27" s="1"/>
  <c r="AH15" i="27"/>
  <c r="J14" i="28"/>
  <c r="J7" i="28"/>
  <c r="F16" i="28"/>
  <c r="O7" i="28"/>
  <c r="O14" i="28"/>
  <c r="L7" i="28"/>
  <c r="L14" i="28"/>
  <c r="X14" i="28" l="1"/>
  <c r="AA14" i="28"/>
  <c r="AB14" i="28"/>
  <c r="Z14" i="28"/>
  <c r="W9" i="28"/>
  <c r="W8" i="28"/>
  <c r="W15" i="28" s="1"/>
  <c r="O9" i="28"/>
  <c r="O8" i="28"/>
  <c r="O15" i="28" s="1"/>
  <c r="C29" i="28"/>
  <c r="G29" i="28" s="1"/>
  <c r="J29" i="28" s="1"/>
  <c r="M29" i="28" s="1"/>
  <c r="O29" i="28" s="1"/>
  <c r="I16" i="28"/>
  <c r="E29" i="28" s="1"/>
  <c r="N9" i="28"/>
  <c r="N8" i="28"/>
  <c r="N15" i="28" s="1"/>
  <c r="H18" i="28"/>
  <c r="X18" i="28" s="1"/>
  <c r="AE18" i="28" s="1"/>
  <c r="AE14" i="28"/>
  <c r="AE15" i="28" s="1"/>
  <c r="AE16" i="28" s="1"/>
  <c r="T8" i="28"/>
  <c r="T15" i="28" s="1"/>
  <c r="R11" i="28"/>
  <c r="AD14" i="28"/>
  <c r="T14" i="28"/>
  <c r="AD8" i="28"/>
  <c r="AD15" i="28" s="1"/>
  <c r="AD16" i="28" s="1"/>
  <c r="S14" i="28"/>
  <c r="V14" i="28"/>
  <c r="S8" i="28"/>
  <c r="S15" i="28" s="1"/>
  <c r="R14" i="28"/>
  <c r="U14" i="28"/>
  <c r="Q14" i="28"/>
  <c r="U8" i="28"/>
  <c r="U15" i="28" s="1"/>
  <c r="Q8" i="28"/>
  <c r="Q15" i="28" s="1"/>
  <c r="Q16" i="28" s="1"/>
  <c r="R8" i="28"/>
  <c r="R15" i="28" s="1"/>
  <c r="R16" i="28" s="1"/>
  <c r="E28" i="28" s="1"/>
  <c r="V8" i="28"/>
  <c r="V15" i="28" s="1"/>
  <c r="V16" i="28" s="1"/>
  <c r="H16" i="28"/>
  <c r="E24" i="28" s="1"/>
  <c r="C24" i="28"/>
  <c r="G24" i="28" s="1"/>
  <c r="J24" i="28" s="1"/>
  <c r="M24" i="28" s="1"/>
  <c r="O24" i="28" s="1"/>
  <c r="Y14" i="28"/>
  <c r="X9" i="28"/>
  <c r="X8" i="28"/>
  <c r="X15" i="28" s="1"/>
  <c r="M9" i="28"/>
  <c r="M8" i="28"/>
  <c r="M15" i="28" s="1"/>
  <c r="AA9" i="28"/>
  <c r="AA8" i="28"/>
  <c r="AA15" i="28" s="1"/>
  <c r="AA16" i="28" s="1"/>
  <c r="D48" i="27"/>
  <c r="Y9" i="28"/>
  <c r="Y8" i="28"/>
  <c r="Y15" i="28" s="1"/>
  <c r="L9" i="28"/>
  <c r="L8" i="28"/>
  <c r="L15" i="28" s="1"/>
  <c r="AB9" i="28"/>
  <c r="AB8" i="28"/>
  <c r="AB15" i="28" s="1"/>
  <c r="AB16" i="28" s="1"/>
  <c r="E48" i="27"/>
  <c r="AC6" i="28"/>
  <c r="AC10" i="28"/>
  <c r="J11" i="28" s="1"/>
  <c r="P6" i="28"/>
  <c r="P10" i="28"/>
  <c r="F11" i="28" s="1"/>
  <c r="C16" i="28"/>
  <c r="K8" i="28"/>
  <c r="K15" i="28" s="1"/>
  <c r="K9" i="28"/>
  <c r="J9" i="28"/>
  <c r="J8" i="28"/>
  <c r="J15" i="28" s="1"/>
  <c r="Z9" i="28"/>
  <c r="Z8" i="28"/>
  <c r="Z15" i="28" s="1"/>
  <c r="Z16" i="28" s="1"/>
  <c r="C30" i="28" l="1"/>
  <c r="G30" i="28" s="1"/>
  <c r="J30" i="28" s="1"/>
  <c r="M30" i="28" s="1"/>
  <c r="O30" i="28" s="1"/>
  <c r="E30" i="28"/>
  <c r="P7" i="28"/>
  <c r="P14" i="28"/>
  <c r="N16" i="28"/>
  <c r="E22" i="28" s="1"/>
  <c r="C22" i="28"/>
  <c r="G22" i="28" s="1"/>
  <c r="J22" i="28" s="1"/>
  <c r="M22" i="28" s="1"/>
  <c r="O22" i="28" s="1"/>
  <c r="O16" i="28"/>
  <c r="E31" i="28" s="1"/>
  <c r="C31" i="28"/>
  <c r="G31" i="28" s="1"/>
  <c r="J31" i="28" s="1"/>
  <c r="M31" i="28" s="1"/>
  <c r="O31" i="28" s="1"/>
  <c r="M11" i="28"/>
  <c r="C28" i="28"/>
  <c r="G28" i="28" s="1"/>
  <c r="J28" i="28" s="1"/>
  <c r="M28" i="28" s="1"/>
  <c r="O28" i="28" s="1"/>
  <c r="M16" i="28"/>
  <c r="E27" i="28" s="1"/>
  <c r="C27" i="28"/>
  <c r="G27" i="28" s="1"/>
  <c r="J27" i="28" s="1"/>
  <c r="M27" i="28" s="1"/>
  <c r="O27" i="28" s="1"/>
  <c r="T16" i="28"/>
  <c r="E25" i="28" s="1"/>
  <c r="C25" i="28"/>
  <c r="G25" i="28" s="1"/>
  <c r="J25" i="28" s="1"/>
  <c r="AC7" i="28"/>
  <c r="AC14" i="28"/>
  <c r="U16" i="28"/>
  <c r="E23" i="28" s="1"/>
  <c r="C23" i="28"/>
  <c r="G23" i="28" s="1"/>
  <c r="J23" i="28" s="1"/>
  <c r="M23" i="28" s="1"/>
  <c r="O23" i="28" s="1"/>
  <c r="S16" i="28"/>
  <c r="E26" i="28" s="1"/>
  <c r="C26" i="28"/>
  <c r="G26" i="28" s="1"/>
  <c r="J26" i="28" s="1"/>
  <c r="M26" i="28" s="1"/>
  <c r="O26" i="28" s="1"/>
  <c r="M25" i="28" l="1"/>
  <c r="O25" i="28"/>
  <c r="P9" i="28"/>
  <c r="P8" i="28"/>
  <c r="P15" i="28" s="1"/>
  <c r="M17" i="28"/>
  <c r="J17" i="28"/>
  <c r="F17" i="28"/>
  <c r="AC9" i="28"/>
  <c r="AC8" i="28"/>
  <c r="AC15" i="28" s="1"/>
  <c r="AP39" i="26" l="1"/>
  <c r="AP41" i="26" s="1"/>
  <c r="AO39" i="26" l="1"/>
  <c r="AO41" i="26" s="1"/>
  <c r="AL39" i="26" l="1"/>
  <c r="AL41" i="26" s="1"/>
  <c r="AM39" i="26"/>
  <c r="AM41" i="26" s="1"/>
  <c r="AH41" i="26" l="1"/>
  <c r="AK39" i="26" l="1"/>
  <c r="AK41" i="26" l="1"/>
  <c r="AN39" i="26" l="1"/>
  <c r="AQ39" i="26"/>
  <c r="AQ41" i="26" s="1"/>
  <c r="AN41" i="26" l="1"/>
  <c r="C54" i="27"/>
  <c r="C55" i="27" l="1"/>
  <c r="E45" i="26"/>
  <c r="B45" i="26"/>
  <c r="H45" i="26"/>
  <c r="C53" i="27" l="1"/>
  <c r="C57" i="27" s="1"/>
  <c r="B50" i="26"/>
  <c r="B51" i="26" s="1"/>
  <c r="C44" i="27" s="1"/>
  <c r="C45" i="27" s="1"/>
  <c r="D54" i="27"/>
  <c r="D53" i="27"/>
  <c r="D56" i="27" s="1"/>
  <c r="D57" i="27" s="1"/>
  <c r="E50" i="26"/>
  <c r="E51" i="26" s="1"/>
  <c r="D44" i="27" s="1"/>
  <c r="D45" i="27" s="1"/>
  <c r="E53" i="27"/>
  <c r="E56" i="27" s="1"/>
  <c r="E57" i="27" s="1"/>
  <c r="H50" i="26"/>
  <c r="H51" i="26" s="1"/>
  <c r="E44" i="27" s="1"/>
  <c r="E45" i="27" s="1"/>
  <c r="D55" i="27" l="1"/>
  <c r="E54" i="27"/>
  <c r="E55" i="27" s="1"/>
</calcChain>
</file>

<file path=xl/comments1.xml><?xml version="1.0" encoding="utf-8"?>
<comments xmlns="http://schemas.openxmlformats.org/spreadsheetml/2006/main">
  <authors>
    <author>Peter Bong</author>
  </authors>
  <commentList>
    <comment ref="B5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Account Series 6,000 with  electric and gas bills subtracted</t>
        </r>
      </text>
    </comment>
  </commentList>
</comments>
</file>

<file path=xl/comments10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1.xml><?xml version="1.0" encoding="utf-8"?>
<comments xmlns="http://schemas.openxmlformats.org/spreadsheetml/2006/main">
  <authors>
    <author>jamoore</author>
    <author>Peter Bong</author>
  </authors>
  <commentList>
    <comment ref="AD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39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1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2.xml><?xml version="1.0" encoding="utf-8"?>
<comments xmlns="http://schemas.openxmlformats.org/spreadsheetml/2006/main">
  <authors>
    <author>jamoore</author>
    <author>Peter Bong</author>
  </authors>
  <commentList>
    <comment ref="AD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3.xml><?xml version="1.0" encoding="utf-8"?>
<comments xmlns="http://schemas.openxmlformats.org/spreadsheetml/2006/main">
  <authors>
    <author>jamoore</author>
    <author>Peter Bong</author>
  </authors>
  <commentList>
    <comment ref="AD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4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2.xml><?xml version="1.0" encoding="utf-8"?>
<comments xmlns="http://schemas.openxmlformats.org/spreadsheetml/2006/main">
  <authors>
    <author>jamoore</author>
  </authors>
  <commentList>
    <comment ref="AD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AD14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U2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Enter quarterly pricing chnages into this section.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Based on the latest quarter pricing available.</t>
        </r>
      </text>
    </comment>
    <comment ref="L22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27,000lb Load</t>
        </r>
      </text>
    </comment>
    <comment ref="L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400 gallon transfer from tote.</t>
        </r>
      </text>
    </comment>
    <comment ref="AA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0.50% strength. Neat liquid cost is $12.138 per gallon or $1.40 per pound.</t>
        </r>
      </text>
    </comment>
    <comment ref="AB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C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D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L24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40,000lb Load</t>
        </r>
      </text>
    </comment>
    <comment ref="L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AA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B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C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D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L2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7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8 Ton Load</t>
        </r>
      </text>
    </comment>
    <comment ref="L28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3300lb Bin</t>
        </r>
      </text>
    </comment>
    <comment ref="AA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B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C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D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L31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</commentList>
</comments>
</file>

<file path=xl/comments3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4.xml><?xml version="1.0" encoding="utf-8"?>
<comments xmlns="http://schemas.openxmlformats.org/spreadsheetml/2006/main">
  <authors>
    <author>Peter Bong</author>
  </authors>
  <commentList>
    <comment ref="B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5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6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7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8.xml><?xml version="1.0" encoding="utf-8"?>
<comments xmlns="http://schemas.openxmlformats.org/spreadsheetml/2006/main">
  <authors>
    <author>Peter Bong</author>
    <author>Linder, Kevin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  <comment ref="AL42" authorId="1" shapeId="0">
      <text>
        <r>
          <rPr>
            <b/>
            <sz val="9"/>
            <color indexed="81"/>
            <rFont val="Tahoma"/>
            <family val="2"/>
          </rPr>
          <t>Linder, Kevin: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9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sharedStrings.xml><?xml version="1.0" encoding="utf-8"?>
<sst xmlns="http://schemas.openxmlformats.org/spreadsheetml/2006/main" count="2223" uniqueCount="235">
  <si>
    <t>Current Application Point</t>
  </si>
  <si>
    <t>Notes: Chemical are arranged in general process flow</t>
  </si>
  <si>
    <t>Not in Use</t>
  </si>
  <si>
    <t>South Platte</t>
  </si>
  <si>
    <t>Aurora Reservoir</t>
  </si>
  <si>
    <t>Filters/Adsorbers</t>
  </si>
  <si>
    <t xml:space="preserve">Finished Water </t>
  </si>
  <si>
    <t>From Chlorinator 5</t>
  </si>
  <si>
    <t>Valve Vault 1 (To Wemlinger RWAR)</t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</si>
  <si>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</si>
  <si>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(Rapid Mix &amp; Flow Split)</t>
    </r>
  </si>
  <si>
    <t>NaOH (Rapid Mix)</t>
  </si>
  <si>
    <t>PEC/PEA (Reactors)</t>
  </si>
  <si>
    <t>PEA (Sludge)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</si>
  <si>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(Post Softening)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</si>
  <si>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(UV)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</si>
  <si>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(Rapid Mix)</t>
    </r>
  </si>
  <si>
    <t>PEC (Rapid Mix)</t>
  </si>
  <si>
    <t xml:space="preserve">PAC (Basin 1 &amp; 2) </t>
  </si>
  <si>
    <t>PEA (Basin 1 &amp; 2)</t>
  </si>
  <si>
    <t>Fluoride(CCB Effluent)</t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</si>
  <si>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RWAR, RWSP, ARFIC, or SPFIC</t>
    </r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</si>
  <si>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(RWAR to Wemlinger)</t>
    </r>
  </si>
  <si>
    <t>Gallons per Day</t>
  </si>
  <si>
    <t>lbs per day</t>
  </si>
  <si>
    <t>Lbs per day</t>
  </si>
  <si>
    <t>Cost Per Month</t>
  </si>
  <si>
    <t>Finished Water Flow</t>
  </si>
  <si>
    <t>MGD</t>
  </si>
  <si>
    <t>Total MG</t>
  </si>
  <si>
    <t>Total Produced From Binney</t>
  </si>
  <si>
    <t>AR Net to Distribution</t>
  </si>
  <si>
    <t>SP Net to Distribution</t>
  </si>
  <si>
    <t>AR to Total Flow Blend</t>
  </si>
  <si>
    <t>Ratio</t>
  </si>
  <si>
    <t>PEN AR (FIC)</t>
  </si>
  <si>
    <t>PEN SP (FIC)</t>
  </si>
  <si>
    <t>PEN AR (Individual Filters)</t>
  </si>
  <si>
    <t>PEN SP (Individual Filters)</t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</si>
  <si>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</si>
  <si>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</si>
  <si>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AR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</si>
  <si>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SP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</si>
  <si>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</si>
  <si>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</si>
  <si>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t>NaOH AR (CCB Effluent)</t>
  </si>
  <si>
    <t>NaOH SP (CCB Effluent)</t>
  </si>
  <si>
    <t>South Platte Costs</t>
  </si>
  <si>
    <t>Aurora Reservoir Costs</t>
  </si>
  <si>
    <t xml:space="preserve">Total Binney WPF Costs </t>
  </si>
  <si>
    <t>Labor Costs</t>
  </si>
  <si>
    <t>Notes: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</si>
  <si>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</si>
  <si>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</si>
  <si>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</si>
  <si>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</si>
  <si>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</si>
  <si>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</si>
  <si>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</si>
  <si>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</si>
  <si>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</si>
  <si>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</si>
  <si>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</si>
  <si>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</si>
  <si>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</si>
  <si>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Flow Total</t>
  </si>
  <si>
    <t>South Platte Chemicals</t>
  </si>
  <si>
    <t>KMnO4 (RW)</t>
  </si>
  <si>
    <t>FeCl3 (RM &amp; Flow Split)</t>
  </si>
  <si>
    <t>CO2 (Post Softening)</t>
  </si>
  <si>
    <t>H202 (UV)</t>
  </si>
  <si>
    <t>Aurora Reservoir Chemicals</t>
  </si>
  <si>
    <t>FeCl3 (Rapid Mix)</t>
  </si>
  <si>
    <t>Filter Adsorber Chemicals</t>
  </si>
  <si>
    <t>PEN AR (Ind Filters)</t>
  </si>
  <si>
    <t>PEN SP (Ind Filters)</t>
  </si>
  <si>
    <t>FeCl3 AR Filter Backwash</t>
  </si>
  <si>
    <t>FeCl3 SP Filter Backwash</t>
  </si>
  <si>
    <t>Cl2 AR</t>
  </si>
  <si>
    <t>Cl2 SP</t>
  </si>
  <si>
    <t>NH3 AR (CCB Effluent)</t>
  </si>
  <si>
    <t>NH3 SP (CCB Effluent)</t>
  </si>
  <si>
    <t>Finished Water Chemicals</t>
  </si>
  <si>
    <t>Miscellaneous Chems</t>
  </si>
  <si>
    <t>Wemlinger AR (VV1)</t>
  </si>
  <si>
    <t>Finished Flows (MG) &amp; Ratios</t>
  </si>
  <si>
    <t>Monthly Flow Totals</t>
  </si>
  <si>
    <t>Monthly Costs $</t>
  </si>
  <si>
    <t>Total Cost</t>
  </si>
  <si>
    <t>BWPF Yearly Summary Chem Flow Total Report</t>
  </si>
  <si>
    <t>BWPF YTD Chemical Usage &amp; Cost</t>
  </si>
  <si>
    <t xml:space="preserve">SP Pre-Treatment  </t>
  </si>
  <si>
    <t>SP Filter/Adsorber</t>
  </si>
  <si>
    <t xml:space="preserve">SP Finished Water </t>
  </si>
  <si>
    <t>AR Pre-Treatment</t>
  </si>
  <si>
    <t>AR Filter/Adsorber</t>
  </si>
  <si>
    <t xml:space="preserve">AR Finished Water </t>
  </si>
  <si>
    <t>Fluoride SP (CCB Effluent)</t>
  </si>
  <si>
    <t>Fluoride AR (CCB Effluent)</t>
  </si>
  <si>
    <t>Total Metered Units</t>
  </si>
  <si>
    <t>Gallons</t>
  </si>
  <si>
    <t>Pounds</t>
  </si>
  <si>
    <t>MG</t>
  </si>
  <si>
    <t>Total Dry Tons</t>
  </si>
  <si>
    <t>Dry Tons per MG Delivered</t>
  </si>
  <si>
    <t>Dry Tons per MG Treated</t>
  </si>
  <si>
    <t>Total Cost YTD</t>
  </si>
  <si>
    <t>AR Rcycl</t>
  </si>
  <si>
    <t>SP Rcycl</t>
  </si>
  <si>
    <t>BWPF Projected Chemical Usage &amp; Cost</t>
  </si>
  <si>
    <t>Gross AR to Binney</t>
  </si>
  <si>
    <t>Net AR to Binney</t>
  </si>
  <si>
    <t>Gross SP to Binney</t>
  </si>
  <si>
    <t>Net SP to Binney</t>
  </si>
  <si>
    <t>Projected Total Metered Units</t>
  </si>
  <si>
    <t>Projected Total Dry Tons</t>
  </si>
  <si>
    <t>Projected Total Cost</t>
  </si>
  <si>
    <t>South Platte Total</t>
  </si>
  <si>
    <t>Aurora Reservoir Total</t>
  </si>
  <si>
    <t>Total Delivered</t>
  </si>
  <si>
    <t>Delivered Efficiency</t>
  </si>
  <si>
    <t xml:space="preserve"> Projected Total Delivered (MG):</t>
  </si>
  <si>
    <t>Projected Total Treated (MG):</t>
  </si>
  <si>
    <t>Projected Average AR %:</t>
  </si>
  <si>
    <t>Projected Average AR Ratio:</t>
  </si>
  <si>
    <t>Projected AR Del (MG):</t>
  </si>
  <si>
    <t>Projected AR Trt (MG):</t>
  </si>
  <si>
    <t>Projected SP Del (MG):</t>
  </si>
  <si>
    <t>Projected SP Trt (MG):</t>
  </si>
  <si>
    <t>Total Projected by Chemical</t>
  </si>
  <si>
    <t>Transportation Units</t>
  </si>
  <si>
    <t>Pricing</t>
  </si>
  <si>
    <t>Quarterly Vendor Unit Pricing</t>
  </si>
  <si>
    <t>Quarterly Metered Unit Pricing</t>
  </si>
  <si>
    <t>Quarterly Dry Ton Pricing</t>
  </si>
  <si>
    <t>Chemical</t>
  </si>
  <si>
    <t>Whole Unit Cost</t>
  </si>
  <si>
    <t>Unit</t>
  </si>
  <si>
    <t>Jan</t>
  </si>
  <si>
    <t>Apr</t>
  </si>
  <si>
    <t xml:space="preserve">Oct </t>
  </si>
  <si>
    <t>Ammonia</t>
  </si>
  <si>
    <t>Liquid Gal</t>
  </si>
  <si>
    <t>Truck Ld</t>
  </si>
  <si>
    <t>Dry Ton</t>
  </si>
  <si>
    <t>Anionic Polymer</t>
  </si>
  <si>
    <t>Liquid Lb</t>
  </si>
  <si>
    <t>Tote</t>
  </si>
  <si>
    <t>Carbon Dioxide</t>
  </si>
  <si>
    <t>Liquid Ton</t>
  </si>
  <si>
    <t>Carbon PAC</t>
  </si>
  <si>
    <t>Dry Lb</t>
  </si>
  <si>
    <t>Cationic Polymer</t>
  </si>
  <si>
    <t>Chlorine</t>
  </si>
  <si>
    <t>Ferric Chloride</t>
  </si>
  <si>
    <t>Hydrogen Peroxide</t>
  </si>
  <si>
    <t>Potassium Permanganate</t>
  </si>
  <si>
    <t>Bin</t>
  </si>
  <si>
    <t>Sodium Hydroxide</t>
  </si>
  <si>
    <t>Overall Ratio</t>
  </si>
  <si>
    <t>2011 YTD Treated Raw Water Flows (MG)</t>
  </si>
  <si>
    <t>2011 YTD Finished Delivered Flows (MG) &amp; Ratios</t>
  </si>
  <si>
    <t>Metered Unit</t>
  </si>
  <si>
    <t>Total By Dry Ton</t>
  </si>
  <si>
    <t>Total Dry Ton Cost</t>
  </si>
  <si>
    <t>Total By Vendor Priced Unit</t>
  </si>
  <si>
    <t>Partial Trucked Units</t>
  </si>
  <si>
    <t>Whole Trucked Units</t>
  </si>
  <si>
    <t>Monthly Truck Loads</t>
  </si>
  <si>
    <t>Gallon/Lbs</t>
  </si>
  <si>
    <t>Loads</t>
  </si>
  <si>
    <t>pass</t>
  </si>
  <si>
    <t>kWxhrs per Day</t>
  </si>
  <si>
    <t>Monthly Chemical/Power Usage</t>
  </si>
  <si>
    <t>Cost per Gallon or lb or kW*Hr</t>
  </si>
  <si>
    <t>Blended&amp;RW</t>
  </si>
  <si>
    <t>Softening</t>
  </si>
  <si>
    <t>Pre-Chem</t>
  </si>
  <si>
    <t>Floc/Sed</t>
  </si>
  <si>
    <t>UV/AOP</t>
  </si>
  <si>
    <t>Filtration/Ad</t>
  </si>
  <si>
    <t>Post-Chem</t>
  </si>
  <si>
    <t>Recycle</t>
  </si>
  <si>
    <t>Control</t>
  </si>
  <si>
    <t>Finished</t>
  </si>
  <si>
    <t>Electrical</t>
  </si>
  <si>
    <t>Natural Gas</t>
  </si>
  <si>
    <t>Labor</t>
  </si>
  <si>
    <t>Materials</t>
  </si>
  <si>
    <t xml:space="preserve">Labor </t>
  </si>
  <si>
    <t>South Platte Cost per MG</t>
  </si>
  <si>
    <t>Aurora Reservoir Cost per MG</t>
  </si>
  <si>
    <t>Binney Cost per MG</t>
  </si>
  <si>
    <t>Binney Cost per KG</t>
  </si>
  <si>
    <t>South Platte Cost per KG</t>
  </si>
  <si>
    <t>Aurora Reservoir Cost per KG</t>
  </si>
  <si>
    <t>Binney MG Produced</t>
  </si>
  <si>
    <t>Net South Platte MG Produced</t>
  </si>
  <si>
    <t>Net Aurora Reservoir MG Produced</t>
  </si>
  <si>
    <t>NA</t>
  </si>
  <si>
    <t>Monthly</t>
  </si>
  <si>
    <t>Material Costs</t>
  </si>
  <si>
    <t>1. The difference between the "Binney MG Produced" and the Net numbers is the ammont of water needed from distribution to create the finished water (W3 to Chlorine and NaOH Motive)</t>
  </si>
  <si>
    <t>Total</t>
  </si>
  <si>
    <t>SP</t>
  </si>
  <si>
    <t>AR</t>
  </si>
  <si>
    <t>Monthly Costs per KG</t>
  </si>
  <si>
    <t>Average</t>
  </si>
  <si>
    <t>bwpfcost</t>
  </si>
  <si>
    <t>bwpfyearly</t>
  </si>
  <si>
    <t>Annual Report Summary</t>
  </si>
  <si>
    <t>Labor Cost per MG</t>
  </si>
  <si>
    <t>O&amp;M Cost per MG</t>
  </si>
  <si>
    <t>Material Cost per MG</t>
  </si>
  <si>
    <t>Natural Gas Cost per MG</t>
  </si>
  <si>
    <t>Electrical Cost per MG</t>
  </si>
  <si>
    <t>Total Cost per MG</t>
  </si>
  <si>
    <t>Total Cost per KG</t>
  </si>
  <si>
    <t>Total Flow (MG)</t>
  </si>
  <si>
    <t>Chemical Cost per MG</t>
  </si>
  <si>
    <t>Electrical Usage (kWHr)</t>
  </si>
  <si>
    <t>Electrical Usage per MG</t>
  </si>
  <si>
    <t>bwpfprofile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</si>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</sst>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m/d/yy\ h:mm;@"/>
    <numFmt numFmtId="165" formatCode="&quot;$&quot;#,##0.00"/>
    <numFmt numFmtId="166" formatCode="&quot;$&quot;#,##0"/>
    <numFmt numFmtId="167" formatCode="0.0"/>
    <numFmt numFmtId="168" formatCode="0.000"/>
    <numFmt numFmtId="169" formatCode="0.0%"/>
    <numFmt numFmtId="170" formatCode="&quot;$&quot;#,##0.000"/>
    <numFmt numFmtId="171" formatCode="#,##0.0"/>
    <numFmt numFmtId="172" formatCode="mm/dd/yy;@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mediumGray"/>
    </fill>
    <fill>
      <patternFill patternType="mediumGray">
        <bgColor rgb="FF66CC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/>
        <bgColor indexed="64"/>
      </patternFill>
    </fill>
  </fills>
  <borders count="17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rgb="FF00B050"/>
      </left>
      <right/>
      <top style="thick">
        <color rgb="FF00B050"/>
      </top>
      <bottom style="thin">
        <color indexed="64"/>
      </bottom>
      <diagonal/>
    </border>
    <border>
      <left style="thin">
        <color indexed="64"/>
      </left>
      <right/>
      <top style="thick">
        <color rgb="FF00B050"/>
      </top>
      <bottom style="thin">
        <color indexed="64"/>
      </bottom>
      <diagonal/>
    </border>
    <border>
      <left style="thick">
        <color rgb="FF00B05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2" fillId="0" borderId="0"/>
  </cellStyleXfs>
  <cellXfs count="620"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3" borderId="0" xfId="0" applyFill="1"/>
    <xf numFmtId="164" fontId="0" fillId="0" borderId="0" xfId="0" applyNumberFormat="1" applyFill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/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/>
    <xf numFmtId="0" fontId="0" fillId="0" borderId="15" xfId="0" applyBorder="1" applyAlignment="1">
      <alignment horizontal="center" vertical="center"/>
    </xf>
    <xf numFmtId="165" fontId="4" fillId="6" borderId="31" xfId="0" applyNumberFormat="1" applyFont="1" applyFill="1" applyBorder="1"/>
    <xf numFmtId="165" fontId="4" fillId="6" borderId="30" xfId="0" applyNumberFormat="1" applyFont="1" applyFill="1" applyBorder="1"/>
    <xf numFmtId="165" fontId="4" fillId="6" borderId="32" xfId="0" applyNumberFormat="1" applyFont="1" applyFill="1" applyBorder="1"/>
    <xf numFmtId="4" fontId="4" fillId="5" borderId="16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17" xfId="0" applyNumberFormat="1" applyFont="1" applyFill="1" applyBorder="1" applyAlignment="1">
      <alignment horizontal="center" vertical="center"/>
    </xf>
    <xf numFmtId="165" fontId="4" fillId="6" borderId="31" xfId="0" applyNumberFormat="1" applyFont="1" applyFill="1" applyBorder="1" applyAlignment="1">
      <alignment horizontal="center" vertical="center"/>
    </xf>
    <xf numFmtId="165" fontId="4" fillId="6" borderId="30" xfId="0" applyNumberFormat="1" applyFont="1" applyFill="1" applyBorder="1" applyAlignment="1">
      <alignment horizontal="center" vertical="center"/>
    </xf>
    <xf numFmtId="165" fontId="4" fillId="6" borderId="32" xfId="0" applyNumberFormat="1" applyFont="1" applyFill="1" applyBorder="1" applyAlignment="1">
      <alignment horizontal="center" vertical="center"/>
    </xf>
    <xf numFmtId="165" fontId="4" fillId="4" borderId="33" xfId="0" applyNumberFormat="1" applyFont="1" applyFill="1" applyBorder="1" applyAlignment="1">
      <alignment horizontal="center" vertical="center"/>
    </xf>
    <xf numFmtId="165" fontId="4" fillId="4" borderId="34" xfId="0" applyNumberFormat="1" applyFont="1" applyFill="1" applyBorder="1" applyAlignment="1">
      <alignment horizontal="center" vertical="center"/>
    </xf>
    <xf numFmtId="165" fontId="4" fillId="4" borderId="35" xfId="0" applyNumberFormat="1" applyFont="1" applyFill="1" applyBorder="1" applyAlignment="1">
      <alignment horizontal="center" vertical="center"/>
    </xf>
    <xf numFmtId="165" fontId="4" fillId="6" borderId="37" xfId="0" applyNumberFormat="1" applyFont="1" applyFill="1" applyBorder="1"/>
    <xf numFmtId="0" fontId="1" fillId="2" borderId="3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5" fontId="4" fillId="6" borderId="42" xfId="0" applyNumberFormat="1" applyFont="1" applyFill="1" applyBorder="1"/>
    <xf numFmtId="0" fontId="1" fillId="2" borderId="18" xfId="0" applyFont="1" applyFill="1" applyBorder="1" applyAlignment="1">
      <alignment horizontal="center" vertical="center"/>
    </xf>
    <xf numFmtId="2" fontId="0" fillId="7" borderId="44" xfId="0" applyNumberFormat="1" applyFill="1" applyBorder="1"/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/>
    <xf numFmtId="14" fontId="4" fillId="5" borderId="11" xfId="0" applyNumberFormat="1" applyFont="1" applyFill="1" applyBorder="1"/>
    <xf numFmtId="14" fontId="4" fillId="6" borderId="42" xfId="0" applyNumberFormat="1" applyFont="1" applyFill="1" applyBorder="1"/>
    <xf numFmtId="0" fontId="4" fillId="4" borderId="44" xfId="0" applyFont="1" applyFill="1" applyBorder="1"/>
    <xf numFmtId="2" fontId="0" fillId="0" borderId="22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center" vertical="center"/>
      <protection locked="0"/>
    </xf>
    <xf numFmtId="2" fontId="0" fillId="0" borderId="40" xfId="0" applyNumberFormat="1" applyBorder="1" applyAlignment="1" applyProtection="1">
      <alignment horizontal="center" vertical="center"/>
      <protection locked="0"/>
    </xf>
    <xf numFmtId="2" fontId="0" fillId="0" borderId="16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17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Fill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4" xfId="0" applyNumberFormat="1" applyFill="1" applyBorder="1" applyAlignment="1" applyProtection="1">
      <alignment horizontal="center" vertical="center"/>
      <protection locked="0"/>
    </xf>
    <xf numFmtId="2" fontId="0" fillId="0" borderId="23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Fill="1" applyBorder="1" applyAlignment="1" applyProtection="1">
      <alignment horizontal="center" vertical="center"/>
      <protection locked="0"/>
    </xf>
    <xf numFmtId="2" fontId="0" fillId="0" borderId="40" xfId="0" applyNumberFormat="1" applyFill="1" applyBorder="1" applyAlignment="1" applyProtection="1">
      <alignment horizontal="center" vertical="center"/>
      <protection locked="0"/>
    </xf>
    <xf numFmtId="2" fontId="0" fillId="0" borderId="31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31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Fill="1" applyBorder="1" applyAlignment="1" applyProtection="1">
      <alignment horizontal="center" vertical="center"/>
      <protection locked="0"/>
    </xf>
    <xf numFmtId="2" fontId="0" fillId="0" borderId="28" xfId="0" applyNumberFormat="1" applyFill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20" xfId="0" applyNumberFormat="1" applyBorder="1" applyAlignment="1" applyProtection="1">
      <alignment horizontal="center" vertical="center"/>
      <protection locked="0"/>
    </xf>
    <xf numFmtId="2" fontId="0" fillId="0" borderId="19" xfId="0" applyNumberFormat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 applyProtection="1">
      <alignment horizontal="center" vertical="center"/>
      <protection locked="0"/>
    </xf>
    <xf numFmtId="2" fontId="0" fillId="0" borderId="39" xfId="0" applyNumberFormat="1" applyBorder="1" applyAlignment="1" applyProtection="1">
      <alignment horizontal="center" vertical="center"/>
      <protection locked="0"/>
    </xf>
    <xf numFmtId="2" fontId="0" fillId="0" borderId="1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Fill="1" applyBorder="1" applyAlignment="1" applyProtection="1">
      <alignment horizontal="center" vertical="center"/>
      <protection locked="0"/>
    </xf>
    <xf numFmtId="2" fontId="0" fillId="0" borderId="13" xfId="0" applyNumberFormat="1" applyBorder="1" applyAlignment="1" applyProtection="1">
      <alignment horizontal="center" vertical="center"/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Fill="1" applyBorder="1" applyAlignment="1" applyProtection="1">
      <alignment horizontal="center" vertical="center"/>
      <protection locked="0"/>
    </xf>
    <xf numFmtId="2" fontId="0" fillId="0" borderId="45" xfId="0" applyNumberFormat="1" applyFill="1" applyBorder="1" applyAlignment="1" applyProtection="1">
      <alignment horizontal="center" vertical="center"/>
      <protection locked="0"/>
    </xf>
    <xf numFmtId="0" fontId="0" fillId="0" borderId="58" xfId="0" applyBorder="1"/>
    <xf numFmtId="0" fontId="0" fillId="0" borderId="29" xfId="0" applyBorder="1"/>
    <xf numFmtId="0" fontId="0" fillId="0" borderId="57" xfId="0" applyBorder="1"/>
    <xf numFmtId="0" fontId="0" fillId="0" borderId="69" xfId="0" applyBorder="1"/>
    <xf numFmtId="0" fontId="0" fillId="0" borderId="37" xfId="0" applyBorder="1"/>
    <xf numFmtId="2" fontId="0" fillId="0" borderId="75" xfId="0" applyNumberFormat="1" applyBorder="1" applyAlignment="1">
      <alignment horizontal="center"/>
    </xf>
    <xf numFmtId="0" fontId="0" fillId="0" borderId="76" xfId="0" applyBorder="1"/>
    <xf numFmtId="2" fontId="0" fillId="0" borderId="79" xfId="0" applyNumberFormat="1" applyBorder="1" applyAlignment="1">
      <alignment horizontal="center"/>
    </xf>
    <xf numFmtId="0" fontId="4" fillId="12" borderId="33" xfId="0" applyFont="1" applyFill="1" applyBorder="1" applyAlignment="1">
      <alignment horizontal="center" vertical="center"/>
    </xf>
    <xf numFmtId="0" fontId="0" fillId="12" borderId="38" xfId="0" applyFill="1" applyBorder="1"/>
    <xf numFmtId="2" fontId="0" fillId="12" borderId="80" xfId="0" applyNumberFormat="1" applyFill="1" applyBorder="1" applyAlignment="1">
      <alignment horizontal="center"/>
    </xf>
    <xf numFmtId="0" fontId="4" fillId="13" borderId="65" xfId="0" applyFont="1" applyFill="1" applyBorder="1" applyAlignment="1">
      <alignment horizontal="center" vertical="center"/>
    </xf>
    <xf numFmtId="0" fontId="0" fillId="13" borderId="81" xfId="0" applyFill="1" applyBorder="1"/>
    <xf numFmtId="2" fontId="0" fillId="0" borderId="90" xfId="0" applyNumberFormat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1" fontId="0" fillId="0" borderId="89" xfId="0" applyNumberFormat="1" applyBorder="1" applyAlignment="1">
      <alignment horizontal="center"/>
    </xf>
    <xf numFmtId="1" fontId="0" fillId="0" borderId="73" xfId="0" applyNumberFormat="1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90" xfId="0" applyNumberFormat="1" applyBorder="1" applyAlignment="1">
      <alignment horizontal="center"/>
    </xf>
    <xf numFmtId="1" fontId="0" fillId="0" borderId="77" xfId="0" applyNumberFormat="1" applyBorder="1" applyAlignment="1">
      <alignment horizontal="center"/>
    </xf>
    <xf numFmtId="1" fontId="0" fillId="0" borderId="78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12" borderId="80" xfId="0" applyNumberFormat="1" applyFill="1" applyBorder="1" applyAlignment="1">
      <alignment horizontal="center"/>
    </xf>
    <xf numFmtId="166" fontId="0" fillId="0" borderId="70" xfId="0" applyNumberFormat="1" applyBorder="1" applyAlignment="1">
      <alignment horizontal="center"/>
    </xf>
    <xf numFmtId="166" fontId="0" fillId="0" borderId="71" xfId="0" applyNumberFormat="1" applyBorder="1" applyAlignment="1">
      <alignment horizontal="center"/>
    </xf>
    <xf numFmtId="166" fontId="0" fillId="15" borderId="70" xfId="0" applyNumberFormat="1" applyFill="1" applyBorder="1" applyAlignment="1">
      <alignment horizontal="center"/>
    </xf>
    <xf numFmtId="166" fontId="0" fillId="0" borderId="89" xfId="0" applyNumberFormat="1" applyBorder="1" applyAlignment="1">
      <alignment horizontal="center"/>
    </xf>
    <xf numFmtId="166" fontId="0" fillId="0" borderId="73" xfId="0" applyNumberFormat="1" applyBorder="1" applyAlignment="1">
      <alignment horizontal="center"/>
    </xf>
    <xf numFmtId="166" fontId="0" fillId="0" borderId="74" xfId="0" applyNumberFormat="1" applyBorder="1" applyAlignment="1">
      <alignment horizontal="center"/>
    </xf>
    <xf numFmtId="166" fontId="0" fillId="15" borderId="73" xfId="0" applyNumberFormat="1" applyFill="1" applyBorder="1" applyAlignment="1">
      <alignment horizontal="center"/>
    </xf>
    <xf numFmtId="166" fontId="0" fillId="0" borderId="90" xfId="0" applyNumberFormat="1" applyBorder="1" applyAlignment="1">
      <alignment horizontal="center"/>
    </xf>
    <xf numFmtId="166" fontId="0" fillId="0" borderId="77" xfId="0" applyNumberFormat="1" applyBorder="1" applyAlignment="1">
      <alignment horizontal="center"/>
    </xf>
    <xf numFmtId="166" fontId="0" fillId="0" borderId="78" xfId="0" applyNumberFormat="1" applyBorder="1" applyAlignment="1">
      <alignment horizontal="center"/>
    </xf>
    <xf numFmtId="166" fontId="0" fillId="15" borderId="77" xfId="0" applyNumberFormat="1" applyFill="1" applyBorder="1" applyAlignment="1">
      <alignment horizontal="center"/>
    </xf>
    <xf numFmtId="166" fontId="0" fillId="0" borderId="91" xfId="0" applyNumberFormat="1" applyBorder="1" applyAlignment="1">
      <alignment horizontal="center"/>
    </xf>
    <xf numFmtId="166" fontId="0" fillId="13" borderId="80" xfId="0" applyNumberFormat="1" applyFill="1" applyBorder="1" applyAlignment="1">
      <alignment horizontal="center"/>
    </xf>
    <xf numFmtId="2" fontId="0" fillId="16" borderId="89" xfId="0" applyNumberFormat="1" applyFill="1" applyBorder="1" applyAlignment="1">
      <alignment horizontal="center"/>
    </xf>
    <xf numFmtId="2" fontId="0" fillId="16" borderId="72" xfId="0" applyNumberFormat="1" applyFill="1" applyBorder="1" applyAlignment="1">
      <alignment horizontal="center"/>
    </xf>
    <xf numFmtId="2" fontId="0" fillId="16" borderId="90" xfId="0" applyNumberFormat="1" applyFill="1" applyBorder="1" applyAlignment="1">
      <alignment horizontal="center"/>
    </xf>
    <xf numFmtId="2" fontId="0" fillId="16" borderId="75" xfId="0" applyNumberFormat="1" applyFill="1" applyBorder="1" applyAlignment="1">
      <alignment horizontal="center"/>
    </xf>
    <xf numFmtId="2" fontId="0" fillId="16" borderId="91" xfId="0" applyNumberFormat="1" applyFill="1" applyBorder="1" applyAlignment="1">
      <alignment horizontal="center"/>
    </xf>
    <xf numFmtId="2" fontId="0" fillId="16" borderId="79" xfId="0" applyNumberFormat="1" applyFill="1" applyBorder="1" applyAlignment="1">
      <alignment horizontal="center"/>
    </xf>
    <xf numFmtId="2" fontId="0" fillId="17" borderId="80" xfId="0" applyNumberFormat="1" applyFill="1" applyBorder="1" applyAlignment="1">
      <alignment horizontal="center"/>
    </xf>
    <xf numFmtId="164" fontId="4" fillId="9" borderId="41" xfId="0" applyNumberFormat="1" applyFont="1" applyFill="1" applyBorder="1" applyAlignment="1">
      <alignment horizontal="center" vertical="center" textRotation="180"/>
    </xf>
    <xf numFmtId="164" fontId="4" fillId="9" borderId="82" xfId="0" applyNumberFormat="1" applyFont="1" applyFill="1" applyBorder="1" applyAlignment="1">
      <alignment horizontal="center" vertical="center" textRotation="180"/>
    </xf>
    <xf numFmtId="164" fontId="4" fillId="2" borderId="82" xfId="0" applyNumberFormat="1" applyFont="1" applyFill="1" applyBorder="1" applyAlignment="1">
      <alignment horizontal="center" vertical="center" textRotation="180"/>
    </xf>
    <xf numFmtId="164" fontId="4" fillId="8" borderId="82" xfId="0" applyNumberFormat="1" applyFont="1" applyFill="1" applyBorder="1" applyAlignment="1">
      <alignment horizontal="center" vertical="center" textRotation="180"/>
    </xf>
    <xf numFmtId="164" fontId="4" fillId="8" borderId="48" xfId="0" applyNumberFormat="1" applyFont="1" applyFill="1" applyBorder="1" applyAlignment="1">
      <alignment horizontal="center" vertical="center" textRotation="180"/>
    </xf>
    <xf numFmtId="164" fontId="4" fillId="11" borderId="41" xfId="0" applyNumberFormat="1" applyFont="1" applyFill="1" applyBorder="1" applyAlignment="1">
      <alignment horizontal="center" vertical="center" textRotation="180"/>
    </xf>
    <xf numFmtId="164" fontId="4" fillId="11" borderId="82" xfId="0" applyNumberFormat="1" applyFont="1" applyFill="1" applyBorder="1" applyAlignment="1">
      <alignment horizontal="center" vertical="center" textRotation="180"/>
    </xf>
    <xf numFmtId="164" fontId="4" fillId="10" borderId="88" xfId="0" applyNumberFormat="1" applyFont="1" applyFill="1" applyBorder="1" applyAlignment="1">
      <alignment horizontal="center" vertical="center" textRotation="180"/>
    </xf>
    <xf numFmtId="164" fontId="4" fillId="10" borderId="87" xfId="0" applyNumberFormat="1" applyFont="1" applyFill="1" applyBorder="1" applyAlignment="1">
      <alignment horizontal="center" vertical="center" textRotation="180"/>
    </xf>
    <xf numFmtId="164" fontId="4" fillId="14" borderId="82" xfId="0" applyNumberFormat="1" applyFont="1" applyFill="1" applyBorder="1" applyAlignment="1">
      <alignment horizontal="center" vertical="center" textRotation="180"/>
    </xf>
    <xf numFmtId="0" fontId="4" fillId="14" borderId="82" xfId="0" applyFont="1" applyFill="1" applyBorder="1" applyAlignment="1">
      <alignment horizontal="center" vertical="center" textRotation="180"/>
    </xf>
    <xf numFmtId="1" fontId="0" fillId="12" borderId="106" xfId="0" applyNumberFormat="1" applyFill="1" applyBorder="1" applyAlignment="1">
      <alignment horizontal="center"/>
    </xf>
    <xf numFmtId="1" fontId="0" fillId="12" borderId="77" xfId="0" applyNumberFormat="1" applyFill="1" applyBorder="1" applyAlignment="1">
      <alignment horizontal="center"/>
    </xf>
    <xf numFmtId="1" fontId="0" fillId="12" borderId="79" xfId="0" applyNumberFormat="1" applyFill="1" applyBorder="1" applyAlignment="1">
      <alignment horizontal="center"/>
    </xf>
    <xf numFmtId="1" fontId="0" fillId="12" borderId="78" xfId="0" applyNumberFormat="1" applyFill="1" applyBorder="1" applyAlignment="1">
      <alignment horizontal="center"/>
    </xf>
    <xf numFmtId="2" fontId="0" fillId="14" borderId="77" xfId="0" applyNumberFormat="1" applyFill="1" applyBorder="1" applyAlignment="1">
      <alignment horizontal="center"/>
    </xf>
    <xf numFmtId="2" fontId="0" fillId="14" borderId="73" xfId="0" applyNumberFormat="1" applyFill="1" applyBorder="1" applyAlignment="1">
      <alignment horizontal="center"/>
    </xf>
    <xf numFmtId="167" fontId="0" fillId="14" borderId="108" xfId="0" applyNumberFormat="1" applyFill="1" applyBorder="1" applyAlignment="1">
      <alignment horizontal="center"/>
    </xf>
    <xf numFmtId="168" fontId="0" fillId="14" borderId="108" xfId="0" applyNumberFormat="1" applyFill="1" applyBorder="1" applyAlignment="1">
      <alignment horizontal="center"/>
    </xf>
    <xf numFmtId="168" fontId="0" fillId="18" borderId="109" xfId="0" applyNumberFormat="1" applyFill="1" applyBorder="1" applyAlignment="1">
      <alignment horizontal="center"/>
    </xf>
    <xf numFmtId="168" fontId="0" fillId="18" borderId="73" xfId="0" applyNumberFormat="1" applyFill="1" applyBorder="1" applyAlignment="1">
      <alignment horizontal="center"/>
    </xf>
    <xf numFmtId="168" fontId="0" fillId="18" borderId="75" xfId="0" applyNumberFormat="1" applyFill="1" applyBorder="1" applyAlignment="1">
      <alignment horizontal="center"/>
    </xf>
    <xf numFmtId="168" fontId="0" fillId="18" borderId="74" xfId="0" applyNumberFormat="1" applyFill="1" applyBorder="1" applyAlignment="1">
      <alignment horizontal="center"/>
    </xf>
    <xf numFmtId="168" fontId="0" fillId="19" borderId="109" xfId="0" applyNumberFormat="1" applyFill="1" applyBorder="1" applyAlignment="1">
      <alignment horizontal="center"/>
    </xf>
    <xf numFmtId="168" fontId="0" fillId="19" borderId="73" xfId="0" applyNumberFormat="1" applyFill="1" applyBorder="1" applyAlignment="1">
      <alignment horizontal="center"/>
    </xf>
    <xf numFmtId="168" fontId="0" fillId="19" borderId="75" xfId="0" applyNumberFormat="1" applyFill="1" applyBorder="1" applyAlignment="1">
      <alignment horizontal="center"/>
    </xf>
    <xf numFmtId="168" fontId="0" fillId="19" borderId="74" xfId="0" applyNumberFormat="1" applyFill="1" applyBorder="1" applyAlignment="1">
      <alignment horizontal="center"/>
    </xf>
    <xf numFmtId="168" fontId="0" fillId="20" borderId="73" xfId="0" applyNumberFormat="1" applyFill="1" applyBorder="1" applyAlignment="1">
      <alignment horizontal="center"/>
    </xf>
    <xf numFmtId="168" fontId="0" fillId="20" borderId="75" xfId="0" applyNumberFormat="1" applyFill="1" applyBorder="1" applyAlignment="1">
      <alignment horizontal="center"/>
    </xf>
    <xf numFmtId="168" fontId="0" fillId="20" borderId="110" xfId="0" applyNumberFormat="1" applyFill="1" applyBorder="1" applyAlignment="1">
      <alignment horizontal="center"/>
    </xf>
    <xf numFmtId="168" fontId="0" fillId="20" borderId="84" xfId="0" applyNumberFormat="1" applyFill="1" applyBorder="1" applyAlignment="1">
      <alignment horizontal="center"/>
    </xf>
    <xf numFmtId="168" fontId="0" fillId="20" borderId="93" xfId="0" applyNumberFormat="1" applyFill="1" applyBorder="1" applyAlignment="1">
      <alignment horizontal="center"/>
    </xf>
    <xf numFmtId="168" fontId="0" fillId="20" borderId="85" xfId="0" applyNumberFormat="1" applyFill="1" applyBorder="1" applyAlignment="1">
      <alignment horizontal="center"/>
    </xf>
    <xf numFmtId="166" fontId="0" fillId="13" borderId="111" xfId="0" applyNumberFormat="1" applyFill="1" applyBorder="1" applyAlignment="1">
      <alignment horizontal="center"/>
    </xf>
    <xf numFmtId="166" fontId="0" fillId="13" borderId="112" xfId="0" applyNumberFormat="1" applyFill="1" applyBorder="1" applyAlignment="1">
      <alignment horizontal="center"/>
    </xf>
    <xf numFmtId="166" fontId="0" fillId="13" borderId="113" xfId="0" applyNumberFormat="1" applyFill="1" applyBorder="1" applyAlignment="1">
      <alignment horizontal="center"/>
    </xf>
    <xf numFmtId="166" fontId="0" fillId="13" borderId="103" xfId="0" applyNumberFormat="1" applyFill="1" applyBorder="1" applyAlignment="1">
      <alignment horizontal="center"/>
    </xf>
    <xf numFmtId="164" fontId="4" fillId="7" borderId="86" xfId="0" applyNumberFormat="1" applyFont="1" applyFill="1" applyBorder="1" applyAlignment="1"/>
    <xf numFmtId="167" fontId="0" fillId="7" borderId="87" xfId="0" applyNumberFormat="1" applyFont="1" applyFill="1" applyBorder="1" applyAlignment="1">
      <alignment horizontal="center"/>
    </xf>
    <xf numFmtId="167" fontId="0" fillId="7" borderId="88" xfId="0" applyNumberFormat="1" applyFont="1" applyFill="1" applyBorder="1" applyAlignment="1">
      <alignment horizontal="center"/>
    </xf>
    <xf numFmtId="1" fontId="0" fillId="12" borderId="51" xfId="0" applyNumberFormat="1" applyFill="1" applyBorder="1" applyAlignment="1">
      <alignment horizontal="center"/>
    </xf>
    <xf numFmtId="1" fontId="0" fillId="12" borderId="114" xfId="0" applyNumberFormat="1" applyFill="1" applyBorder="1" applyAlignment="1">
      <alignment horizontal="center"/>
    </xf>
    <xf numFmtId="1" fontId="0" fillId="12" borderId="52" xfId="0" applyNumberFormat="1" applyFill="1" applyBorder="1" applyAlignment="1">
      <alignment horizontal="center"/>
    </xf>
    <xf numFmtId="1" fontId="0" fillId="12" borderId="91" xfId="0" applyNumberFormat="1" applyFill="1" applyBorder="1" applyAlignment="1">
      <alignment horizontal="center"/>
    </xf>
    <xf numFmtId="168" fontId="0" fillId="18" borderId="90" xfId="0" applyNumberFormat="1" applyFill="1" applyBorder="1" applyAlignment="1">
      <alignment horizontal="center"/>
    </xf>
    <xf numFmtId="166" fontId="0" fillId="13" borderId="106" xfId="0" applyNumberFormat="1" applyFill="1" applyBorder="1" applyAlignment="1">
      <alignment horizontal="center"/>
    </xf>
    <xf numFmtId="166" fontId="0" fillId="13" borderId="77" xfId="0" applyNumberFormat="1" applyFill="1" applyBorder="1" applyAlignment="1">
      <alignment horizontal="center"/>
    </xf>
    <xf numFmtId="166" fontId="0" fillId="13" borderId="108" xfId="0" applyNumberFormat="1" applyFill="1" applyBorder="1" applyAlignment="1">
      <alignment horizontal="center"/>
    </xf>
    <xf numFmtId="166" fontId="0" fillId="13" borderId="118" xfId="0" applyNumberFormat="1" applyFill="1" applyBorder="1" applyAlignment="1">
      <alignment horizontal="center"/>
    </xf>
    <xf numFmtId="166" fontId="0" fillId="13" borderId="119" xfId="0" applyNumberFormat="1" applyFill="1" applyBorder="1" applyAlignment="1">
      <alignment horizontal="center"/>
    </xf>
    <xf numFmtId="166" fontId="0" fillId="13" borderId="120" xfId="0" applyNumberFormat="1" applyFill="1" applyBorder="1" applyAlignment="1">
      <alignment horizontal="center"/>
    </xf>
    <xf numFmtId="166" fontId="0" fillId="13" borderId="116" xfId="0" applyNumberFormat="1" applyFill="1" applyBorder="1" applyAlignment="1">
      <alignment horizontal="center"/>
    </xf>
    <xf numFmtId="166" fontId="13" fillId="10" borderId="95" xfId="0" applyNumberFormat="1" applyFon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2" fillId="22" borderId="55" xfId="0" applyFont="1" applyFill="1" applyBorder="1" applyAlignment="1"/>
    <xf numFmtId="0" fontId="12" fillId="22" borderId="66" xfId="0" applyFont="1" applyFill="1" applyBorder="1" applyAlignment="1"/>
    <xf numFmtId="167" fontId="13" fillId="23" borderId="123" xfId="0" applyNumberFormat="1" applyFont="1" applyFill="1" applyBorder="1" applyAlignment="1">
      <alignment horizontal="center"/>
    </xf>
    <xf numFmtId="0" fontId="12" fillId="22" borderId="66" xfId="0" applyFont="1" applyFill="1" applyBorder="1"/>
    <xf numFmtId="0" fontId="13" fillId="22" borderId="66" xfId="0" applyFont="1" applyFill="1" applyBorder="1"/>
    <xf numFmtId="167" fontId="13" fillId="22" borderId="66" xfId="0" applyNumberFormat="1" applyFont="1" applyFill="1" applyBorder="1" applyAlignment="1">
      <alignment horizontal="left"/>
    </xf>
    <xf numFmtId="0" fontId="12" fillId="22" borderId="124" xfId="0" applyFont="1" applyFill="1" applyBorder="1"/>
    <xf numFmtId="168" fontId="13" fillId="23" borderId="66" xfId="0" applyNumberFormat="1" applyFont="1" applyFill="1" applyBorder="1" applyAlignment="1">
      <alignment horizontal="center"/>
    </xf>
    <xf numFmtId="2" fontId="13" fillId="22" borderId="66" xfId="0" applyNumberFormat="1" applyFont="1" applyFill="1" applyBorder="1" applyAlignment="1">
      <alignment horizontal="left"/>
    </xf>
    <xf numFmtId="167" fontId="13" fillId="22" borderId="56" xfId="0" applyNumberFormat="1" applyFont="1" applyFill="1" applyBorder="1" applyAlignment="1">
      <alignment horizontal="left"/>
    </xf>
    <xf numFmtId="167" fontId="0" fillId="7" borderId="108" xfId="0" applyNumberFormat="1" applyFill="1" applyBorder="1" applyAlignment="1">
      <alignment horizontal="center"/>
    </xf>
    <xf numFmtId="0" fontId="0" fillId="0" borderId="0" xfId="0" applyAlignment="1"/>
    <xf numFmtId="1" fontId="16" fillId="24" borderId="126" xfId="0" applyNumberFormat="1" applyFont="1" applyFill="1" applyBorder="1" applyAlignment="1">
      <alignment horizontal="right" vertical="center"/>
    </xf>
    <xf numFmtId="0" fontId="0" fillId="24" borderId="3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9" borderId="131" xfId="0" applyFill="1" applyBorder="1" applyAlignment="1">
      <alignment horizontal="center"/>
    </xf>
    <xf numFmtId="0" fontId="13" fillId="22" borderId="37" xfId="0" applyFont="1" applyFill="1" applyBorder="1" applyAlignment="1">
      <alignment horizontal="left"/>
    </xf>
    <xf numFmtId="0" fontId="13" fillId="22" borderId="37" xfId="0" applyFont="1" applyFill="1" applyBorder="1" applyAlignment="1"/>
    <xf numFmtId="165" fontId="0" fillId="24" borderId="30" xfId="0" applyNumberFormat="1" applyFill="1" applyBorder="1" applyAlignment="1">
      <alignment horizontal="center"/>
    </xf>
    <xf numFmtId="165" fontId="0" fillId="12" borderId="30" xfId="0" applyNumberFormat="1" applyFill="1" applyBorder="1" applyAlignment="1">
      <alignment horizontal="center"/>
    </xf>
    <xf numFmtId="0" fontId="13" fillId="19" borderId="30" xfId="0" applyFont="1" applyFill="1" applyBorder="1" applyAlignment="1">
      <alignment horizontal="left"/>
    </xf>
    <xf numFmtId="165" fontId="0" fillId="19" borderId="30" xfId="0" applyNumberFormat="1" applyFill="1" applyBorder="1" applyAlignment="1">
      <alignment horizontal="center"/>
    </xf>
    <xf numFmtId="165" fontId="0" fillId="19" borderId="131" xfId="0" applyNumberFormat="1" applyFill="1" applyBorder="1" applyAlignment="1">
      <alignment horizontal="center"/>
    </xf>
    <xf numFmtId="0" fontId="13" fillId="22" borderId="39" xfId="0" applyFont="1" applyFill="1" applyBorder="1" applyAlignment="1">
      <alignment horizontal="left"/>
    </xf>
    <xf numFmtId="0" fontId="13" fillId="22" borderId="39" xfId="0" applyFont="1" applyFill="1" applyBorder="1" applyAlignment="1"/>
    <xf numFmtId="165" fontId="0" fillId="12" borderId="3" xfId="0" applyNumberFormat="1" applyFill="1" applyBorder="1" applyAlignment="1">
      <alignment horizontal="center"/>
    </xf>
    <xf numFmtId="0" fontId="13" fillId="19" borderId="3" xfId="0" applyFont="1" applyFill="1" applyBorder="1" applyAlignment="1">
      <alignment horizontal="left"/>
    </xf>
    <xf numFmtId="165" fontId="0" fillId="19" borderId="3" xfId="0" applyNumberFormat="1" applyFill="1" applyBorder="1" applyAlignment="1">
      <alignment horizontal="center"/>
    </xf>
    <xf numFmtId="165" fontId="0" fillId="25" borderId="133" xfId="0" applyNumberFormat="1" applyFill="1" applyBorder="1" applyAlignment="1">
      <alignment horizontal="center"/>
    </xf>
    <xf numFmtId="166" fontId="0" fillId="0" borderId="0" xfId="0" applyNumberFormat="1"/>
    <xf numFmtId="0" fontId="4" fillId="0" borderId="9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/>
    </xf>
    <xf numFmtId="168" fontId="0" fillId="20" borderId="74" xfId="0" applyNumberFormat="1" applyFill="1" applyBorder="1" applyAlignment="1">
      <alignment horizontal="center"/>
    </xf>
    <xf numFmtId="166" fontId="13" fillId="10" borderId="87" xfId="0" applyNumberFormat="1" applyFont="1" applyFill="1" applyBorder="1" applyAlignment="1">
      <alignment horizontal="center"/>
    </xf>
    <xf numFmtId="166" fontId="0" fillId="10" borderId="88" xfId="0" applyNumberFormat="1" applyFill="1" applyBorder="1" applyAlignment="1">
      <alignment horizontal="center"/>
    </xf>
    <xf numFmtId="169" fontId="0" fillId="21" borderId="88" xfId="0" applyNumberFormat="1" applyFill="1" applyBorder="1" applyAlignment="1">
      <alignment horizontal="center"/>
    </xf>
    <xf numFmtId="169" fontId="0" fillId="0" borderId="122" xfId="0" applyNumberFormat="1" applyFill="1" applyBorder="1" applyAlignment="1">
      <alignment horizontal="center"/>
    </xf>
    <xf numFmtId="2" fontId="0" fillId="7" borderId="85" xfId="0" applyNumberFormat="1" applyFill="1" applyBorder="1" applyAlignment="1">
      <alignment horizontal="center"/>
    </xf>
    <xf numFmtId="2" fontId="0" fillId="7" borderId="84" xfId="0" applyNumberFormat="1" applyFill="1" applyBorder="1" applyAlignment="1">
      <alignment horizontal="center"/>
    </xf>
    <xf numFmtId="2" fontId="0" fillId="12" borderId="135" xfId="0" applyNumberFormat="1" applyFill="1" applyBorder="1" applyAlignment="1">
      <alignment horizontal="center"/>
    </xf>
    <xf numFmtId="2" fontId="0" fillId="17" borderId="135" xfId="0" applyNumberFormat="1" applyFill="1" applyBorder="1" applyAlignment="1">
      <alignment horizontal="center"/>
    </xf>
    <xf numFmtId="164" fontId="4" fillId="9" borderId="114" xfId="0" applyNumberFormat="1" applyFont="1" applyFill="1" applyBorder="1" applyAlignment="1">
      <alignment horizontal="center" textRotation="90"/>
    </xf>
    <xf numFmtId="164" fontId="4" fillId="9" borderId="94" xfId="0" applyNumberFormat="1" applyFont="1" applyFill="1" applyBorder="1" applyAlignment="1">
      <alignment horizontal="center" textRotation="90"/>
    </xf>
    <xf numFmtId="164" fontId="4" fillId="11" borderId="114" xfId="0" applyNumberFormat="1" applyFont="1" applyFill="1" applyBorder="1" applyAlignment="1">
      <alignment horizontal="center" textRotation="90"/>
    </xf>
    <xf numFmtId="164" fontId="4" fillId="11" borderId="101" xfId="0" applyNumberFormat="1" applyFont="1" applyFill="1" applyBorder="1" applyAlignment="1">
      <alignment horizontal="center" textRotation="90"/>
    </xf>
    <xf numFmtId="164" fontId="4" fillId="2" borderId="114" xfId="0" applyNumberFormat="1" applyFont="1" applyFill="1" applyBorder="1" applyAlignment="1">
      <alignment horizontal="center" textRotation="90"/>
    </xf>
    <xf numFmtId="164" fontId="4" fillId="2" borderId="101" xfId="0" applyNumberFormat="1" applyFont="1" applyFill="1" applyBorder="1" applyAlignment="1">
      <alignment horizontal="center" textRotation="90"/>
    </xf>
    <xf numFmtId="164" fontId="4" fillId="8" borderId="114" xfId="0" applyNumberFormat="1" applyFont="1" applyFill="1" applyBorder="1" applyAlignment="1">
      <alignment horizontal="center" textRotation="90"/>
    </xf>
    <xf numFmtId="164" fontId="4" fillId="10" borderId="94" xfId="0" applyNumberFormat="1" applyFont="1" applyFill="1" applyBorder="1" applyAlignment="1">
      <alignment horizontal="center" textRotation="90"/>
    </xf>
    <xf numFmtId="164" fontId="4" fillId="10" borderId="114" xfId="0" applyNumberFormat="1" applyFont="1" applyFill="1" applyBorder="1" applyAlignment="1">
      <alignment horizontal="center" textRotation="90"/>
    </xf>
    <xf numFmtId="164" fontId="4" fillId="14" borderId="94" xfId="0" applyNumberFormat="1" applyFont="1" applyFill="1" applyBorder="1" applyAlignment="1">
      <alignment horizontal="center" textRotation="90"/>
    </xf>
    <xf numFmtId="0" fontId="4" fillId="14" borderId="52" xfId="0" applyFont="1" applyFill="1" applyBorder="1" applyAlignment="1">
      <alignment horizontal="center" textRotation="90"/>
    </xf>
    <xf numFmtId="1" fontId="0" fillId="0" borderId="71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12" borderId="91" xfId="0" applyNumberFormat="1" applyFill="1" applyBorder="1" applyAlignment="1">
      <alignment horizontal="center"/>
    </xf>
    <xf numFmtId="2" fontId="0" fillId="12" borderId="79" xfId="0" applyNumberFormat="1" applyFill="1" applyBorder="1" applyAlignment="1">
      <alignment horizontal="center"/>
    </xf>
    <xf numFmtId="0" fontId="13" fillId="24" borderId="37" xfId="0" applyFont="1" applyFill="1" applyBorder="1" applyAlignment="1">
      <alignment horizontal="left"/>
    </xf>
    <xf numFmtId="0" fontId="13" fillId="24" borderId="39" xfId="0" applyFont="1" applyFill="1" applyBorder="1" applyAlignment="1">
      <alignment horizontal="left"/>
    </xf>
    <xf numFmtId="0" fontId="13" fillId="12" borderId="130" xfId="0" applyFont="1" applyFill="1" applyBorder="1" applyAlignment="1">
      <alignment horizontal="left"/>
    </xf>
    <xf numFmtId="0" fontId="13" fillId="12" borderId="26" xfId="0" applyFont="1" applyFill="1" applyBorder="1" applyAlignment="1">
      <alignment horizontal="left"/>
    </xf>
    <xf numFmtId="0" fontId="0" fillId="24" borderId="2" xfId="0" applyFill="1" applyBorder="1" applyAlignment="1">
      <alignment horizontal="center"/>
    </xf>
    <xf numFmtId="165" fontId="0" fillId="24" borderId="136" xfId="0" applyNumberFormat="1" applyFill="1" applyBorder="1" applyAlignment="1">
      <alignment horizontal="center"/>
    </xf>
    <xf numFmtId="165" fontId="0" fillId="24" borderId="137" xfId="0" applyNumberFormat="1" applyFill="1" applyBorder="1" applyAlignment="1">
      <alignment horizontal="center"/>
    </xf>
    <xf numFmtId="165" fontId="0" fillId="24" borderId="138" xfId="0" applyNumberFormat="1" applyFill="1" applyBorder="1" applyAlignment="1">
      <alignment horizontal="center"/>
    </xf>
    <xf numFmtId="165" fontId="0" fillId="24" borderId="139" xfId="0" applyNumberFormat="1" applyFill="1" applyBorder="1" applyAlignment="1">
      <alignment horizontal="center"/>
    </xf>
    <xf numFmtId="165" fontId="0" fillId="24" borderId="140" xfId="0" applyNumberFormat="1" applyFill="1" applyBorder="1" applyAlignment="1">
      <alignment horizontal="center"/>
    </xf>
    <xf numFmtId="167" fontId="0" fillId="22" borderId="30" xfId="0" applyNumberFormat="1" applyFill="1" applyBorder="1"/>
    <xf numFmtId="0" fontId="0" fillId="22" borderId="142" xfId="0" applyFill="1" applyBorder="1" applyAlignment="1">
      <alignment horizontal="center"/>
    </xf>
    <xf numFmtId="167" fontId="0" fillId="22" borderId="131" xfId="0" applyNumberFormat="1" applyFill="1" applyBorder="1" applyAlignment="1">
      <alignment horizontal="right"/>
    </xf>
    <xf numFmtId="168" fontId="0" fillId="22" borderId="131" xfId="0" applyNumberFormat="1" applyFill="1" applyBorder="1" applyAlignment="1">
      <alignment horizontal="right"/>
    </xf>
    <xf numFmtId="167" fontId="0" fillId="22" borderId="3" xfId="0" applyNumberFormat="1" applyFill="1" applyBorder="1"/>
    <xf numFmtId="167" fontId="0" fillId="22" borderId="133" xfId="0" applyNumberFormat="1" applyFill="1" applyBorder="1" applyAlignment="1">
      <alignment horizontal="right"/>
    </xf>
    <xf numFmtId="0" fontId="17" fillId="0" borderId="0" xfId="0" applyFont="1"/>
    <xf numFmtId="4" fontId="4" fillId="5" borderId="16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4" fillId="5" borderId="36" xfId="0" applyNumberFormat="1" applyFont="1" applyFill="1" applyBorder="1" applyAlignment="1">
      <alignment horizontal="center"/>
    </xf>
    <xf numFmtId="165" fontId="4" fillId="6" borderId="31" xfId="0" applyNumberFormat="1" applyFont="1" applyFill="1" applyBorder="1" applyAlignment="1">
      <alignment horizontal="center"/>
    </xf>
    <xf numFmtId="165" fontId="4" fillId="6" borderId="30" xfId="0" applyNumberFormat="1" applyFont="1" applyFill="1" applyBorder="1" applyAlignment="1">
      <alignment horizontal="center"/>
    </xf>
    <xf numFmtId="165" fontId="4" fillId="6" borderId="37" xfId="0" applyNumberFormat="1" applyFont="1" applyFill="1" applyBorder="1" applyAlignment="1">
      <alignment horizontal="center"/>
    </xf>
    <xf numFmtId="165" fontId="4" fillId="4" borderId="33" xfId="0" applyNumberFormat="1" applyFont="1" applyFill="1" applyBorder="1" applyAlignment="1">
      <alignment horizontal="center"/>
    </xf>
    <xf numFmtId="165" fontId="4" fillId="4" borderId="34" xfId="0" applyNumberFormat="1" applyFont="1" applyFill="1" applyBorder="1" applyAlignment="1">
      <alignment horizontal="center"/>
    </xf>
    <xf numFmtId="165" fontId="4" fillId="4" borderId="38" xfId="0" applyNumberFormat="1" applyFont="1" applyFill="1" applyBorder="1" applyAlignment="1">
      <alignment horizontal="center"/>
    </xf>
    <xf numFmtId="4" fontId="4" fillId="5" borderId="17" xfId="0" applyNumberFormat="1" applyFont="1" applyFill="1" applyBorder="1" applyAlignment="1">
      <alignment horizontal="center"/>
    </xf>
    <xf numFmtId="165" fontId="4" fillId="6" borderId="32" xfId="0" applyNumberFormat="1" applyFont="1" applyFill="1" applyBorder="1" applyAlignment="1">
      <alignment horizontal="center"/>
    </xf>
    <xf numFmtId="165" fontId="4" fillId="4" borderId="35" xfId="0" applyNumberFormat="1" applyFont="1" applyFill="1" applyBorder="1" applyAlignment="1">
      <alignment horizontal="center"/>
    </xf>
    <xf numFmtId="4" fontId="4" fillId="5" borderId="18" xfId="0" applyNumberFormat="1" applyFont="1" applyFill="1" applyBorder="1" applyAlignment="1">
      <alignment horizontal="center"/>
    </xf>
    <xf numFmtId="165" fontId="4" fillId="6" borderId="42" xfId="0" applyNumberFormat="1" applyFont="1" applyFill="1" applyBorder="1" applyAlignment="1">
      <alignment horizontal="center"/>
    </xf>
    <xf numFmtId="165" fontId="4" fillId="4" borderId="44" xfId="0" applyNumberFormat="1" applyFont="1" applyFill="1" applyBorder="1" applyAlignment="1">
      <alignment horizontal="center"/>
    </xf>
    <xf numFmtId="4" fontId="4" fillId="7" borderId="18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/>
    </xf>
    <xf numFmtId="165" fontId="4" fillId="4" borderId="143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26" borderId="46" xfId="0" applyFont="1" applyFill="1" applyBorder="1" applyAlignment="1">
      <alignment horizontal="center" vertical="center" wrapText="1"/>
    </xf>
    <xf numFmtId="165" fontId="9" fillId="26" borderId="47" xfId="0" applyNumberFormat="1" applyFont="1" applyFill="1" applyBorder="1" applyAlignment="1">
      <alignment horizontal="center" vertical="center"/>
    </xf>
    <xf numFmtId="0" fontId="9" fillId="26" borderId="41" xfId="0" applyFont="1" applyFill="1" applyBorder="1" applyAlignment="1">
      <alignment horizontal="center" vertical="center" wrapText="1"/>
    </xf>
    <xf numFmtId="165" fontId="9" fillId="26" borderId="48" xfId="0" applyNumberFormat="1" applyFont="1" applyFill="1" applyBorder="1" applyAlignment="1">
      <alignment horizontal="center" vertical="center"/>
    </xf>
    <xf numFmtId="0" fontId="9" fillId="26" borderId="51" xfId="0" applyFont="1" applyFill="1" applyBorder="1" applyAlignment="1">
      <alignment horizontal="center" vertical="center" wrapText="1"/>
    </xf>
    <xf numFmtId="165" fontId="9" fillId="26" borderId="52" xfId="0" applyNumberFormat="1" applyFont="1" applyFill="1" applyBorder="1" applyAlignment="1">
      <alignment horizontal="center" vertical="center"/>
    </xf>
    <xf numFmtId="0" fontId="0" fillId="0" borderId="98" xfId="0" applyBorder="1"/>
    <xf numFmtId="165" fontId="10" fillId="0" borderId="10" xfId="0" applyNumberFormat="1" applyFont="1" applyFill="1" applyBorder="1" applyAlignment="1">
      <alignment horizontal="center" vertical="center"/>
    </xf>
    <xf numFmtId="165" fontId="4" fillId="0" borderId="10" xfId="0" applyNumberFormat="1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 wrapText="1"/>
    </xf>
    <xf numFmtId="4" fontId="9" fillId="2" borderId="54" xfId="0" applyNumberFormat="1" applyFont="1" applyFill="1" applyBorder="1" applyAlignment="1">
      <alignment horizontal="center" vertical="center"/>
    </xf>
    <xf numFmtId="165" fontId="9" fillId="2" borderId="54" xfId="0" applyNumberFormat="1" applyFont="1" applyFill="1" applyBorder="1" applyAlignment="1">
      <alignment horizontal="center" vertical="center"/>
    </xf>
    <xf numFmtId="165" fontId="9" fillId="2" borderId="50" xfId="0" applyNumberFormat="1" applyFont="1" applyFill="1" applyBorder="1" applyAlignment="1">
      <alignment horizontal="center" vertical="center"/>
    </xf>
    <xf numFmtId="165" fontId="4" fillId="4" borderId="57" xfId="0" applyNumberFormat="1" applyFont="1" applyFill="1" applyBorder="1" applyAlignment="1">
      <alignment horizontal="center" vertical="center"/>
    </xf>
    <xf numFmtId="0" fontId="2" fillId="0" borderId="144" xfId="0" applyFont="1" applyBorder="1" applyAlignment="1">
      <alignment horizontal="center" vertic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0" fillId="0" borderId="62" xfId="0" applyBorder="1"/>
    <xf numFmtId="0" fontId="0" fillId="0" borderId="0" xfId="0" applyBorder="1" applyAlignment="1">
      <alignment vertic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167" fontId="0" fillId="0" borderId="95" xfId="0" applyNumberFormat="1" applyFill="1" applyBorder="1"/>
    <xf numFmtId="167" fontId="0" fillId="0" borderId="95" xfId="0" applyNumberFormat="1" applyFill="1" applyBorder="1" applyAlignment="1">
      <alignment horizontal="right"/>
    </xf>
    <xf numFmtId="170" fontId="4" fillId="6" borderId="42" xfId="0" applyNumberFormat="1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0" fillId="0" borderId="0" xfId="0" applyFill="1" applyBorder="1"/>
    <xf numFmtId="167" fontId="0" fillId="0" borderId="0" xfId="0" applyNumberFormat="1" applyFill="1" applyBorder="1"/>
    <xf numFmtId="167" fontId="0" fillId="0" borderId="0" xfId="0" applyNumberFormat="1" applyFill="1" applyBorder="1" applyAlignment="1">
      <alignment horizontal="right"/>
    </xf>
    <xf numFmtId="0" fontId="0" fillId="0" borderId="96" xfId="0" applyBorder="1"/>
    <xf numFmtId="167" fontId="0" fillId="22" borderId="2" xfId="0" applyNumberFormat="1" applyFill="1" applyBorder="1"/>
    <xf numFmtId="167" fontId="0" fillId="22" borderId="148" xfId="0" applyNumberFormat="1" applyFill="1" applyBorder="1" applyAlignment="1">
      <alignment horizontal="right"/>
    </xf>
    <xf numFmtId="0" fontId="0" fillId="0" borderId="0" xfId="0" applyFill="1"/>
    <xf numFmtId="0" fontId="0" fillId="0" borderId="95" xfId="0" applyFill="1" applyBorder="1"/>
    <xf numFmtId="165" fontId="0" fillId="0" borderId="70" xfId="0" applyNumberFormat="1" applyBorder="1" applyAlignment="1">
      <alignment horizontal="center"/>
    </xf>
    <xf numFmtId="165" fontId="0" fillId="0" borderId="73" xfId="0" applyNumberFormat="1" applyBorder="1" applyAlignment="1">
      <alignment horizontal="center"/>
    </xf>
    <xf numFmtId="165" fontId="0" fillId="0" borderId="77" xfId="0" applyNumberFormat="1" applyBorder="1" applyAlignment="1">
      <alignment horizontal="center"/>
    </xf>
    <xf numFmtId="165" fontId="4" fillId="2" borderId="82" xfId="0" applyNumberFormat="1" applyFont="1" applyFill="1" applyBorder="1" applyAlignment="1">
      <alignment horizontal="center"/>
    </xf>
    <xf numFmtId="0" fontId="4" fillId="2" borderId="14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/>
    <xf numFmtId="0" fontId="18" fillId="0" borderId="0" xfId="0" applyFont="1"/>
    <xf numFmtId="165" fontId="0" fillId="24" borderId="141" xfId="0" applyNumberFormat="1" applyFill="1" applyBorder="1" applyAlignment="1">
      <alignment horizontal="center"/>
    </xf>
    <xf numFmtId="0" fontId="0" fillId="0" borderId="154" xfId="0" applyBorder="1" applyAlignment="1">
      <alignment horizontal="center" vertical="center" wrapText="1"/>
    </xf>
    <xf numFmtId="165" fontId="0" fillId="0" borderId="155" xfId="0" applyNumberFormat="1" applyBorder="1" applyAlignment="1">
      <alignment horizontal="center"/>
    </xf>
    <xf numFmtId="165" fontId="0" fillId="0" borderId="156" xfId="0" applyNumberFormat="1" applyBorder="1" applyAlignment="1">
      <alignment horizontal="center"/>
    </xf>
    <xf numFmtId="165" fontId="0" fillId="0" borderId="157" xfId="0" applyNumberFormat="1" applyBorder="1" applyAlignment="1">
      <alignment horizontal="center"/>
    </xf>
    <xf numFmtId="0" fontId="0" fillId="0" borderId="131" xfId="0" applyBorder="1" applyAlignment="1">
      <alignment horizontal="center" vertical="center" wrapText="1"/>
    </xf>
    <xf numFmtId="165" fontId="0" fillId="0" borderId="75" xfId="0" applyNumberFormat="1" applyBorder="1" applyAlignment="1">
      <alignment horizontal="center"/>
    </xf>
    <xf numFmtId="165" fontId="0" fillId="0" borderId="74" xfId="0" applyNumberFormat="1" applyBorder="1" applyAlignment="1">
      <alignment horizontal="center"/>
    </xf>
    <xf numFmtId="165" fontId="0" fillId="0" borderId="159" xfId="0" applyNumberFormat="1" applyBorder="1" applyAlignment="1">
      <alignment horizontal="center"/>
    </xf>
    <xf numFmtId="0" fontId="0" fillId="0" borderId="148" xfId="0" applyBorder="1" applyAlignment="1">
      <alignment horizontal="center" vertical="center" wrapText="1"/>
    </xf>
    <xf numFmtId="165" fontId="0" fillId="0" borderId="79" xfId="0" applyNumberFormat="1" applyBorder="1" applyAlignment="1">
      <alignment horizontal="center"/>
    </xf>
    <xf numFmtId="0" fontId="0" fillId="27" borderId="154" xfId="0" applyFill="1" applyBorder="1" applyAlignment="1">
      <alignment horizontal="center" vertical="center" wrapText="1"/>
    </xf>
    <xf numFmtId="165" fontId="0" fillId="27" borderId="71" xfId="0" applyNumberFormat="1" applyFill="1" applyBorder="1" applyAlignment="1">
      <alignment horizontal="center"/>
    </xf>
    <xf numFmtId="165" fontId="0" fillId="27" borderId="160" xfId="0" applyNumberFormat="1" applyFill="1" applyBorder="1" applyAlignment="1">
      <alignment horizontal="center"/>
    </xf>
    <xf numFmtId="0" fontId="0" fillId="27" borderId="148" xfId="0" applyFill="1" applyBorder="1" applyAlignment="1">
      <alignment horizontal="center" vertical="center" wrapText="1"/>
    </xf>
    <xf numFmtId="165" fontId="0" fillId="27" borderId="78" xfId="0" applyNumberFormat="1" applyFill="1" applyBorder="1" applyAlignment="1">
      <alignment horizontal="center"/>
    </xf>
    <xf numFmtId="165" fontId="0" fillId="27" borderId="161" xfId="0" applyNumberFormat="1" applyFill="1" applyBorder="1" applyAlignment="1">
      <alignment horizontal="center"/>
    </xf>
    <xf numFmtId="0" fontId="0" fillId="27" borderId="81" xfId="0" applyFill="1" applyBorder="1" applyAlignment="1">
      <alignment horizontal="center" vertical="center" wrapText="1"/>
    </xf>
    <xf numFmtId="171" fontId="0" fillId="27" borderId="163" xfId="0" applyNumberFormat="1" applyFill="1" applyBorder="1" applyAlignment="1">
      <alignment horizontal="center"/>
    </xf>
    <xf numFmtId="171" fontId="0" fillId="27" borderId="164" xfId="0" applyNumberFormat="1" applyFill="1" applyBorder="1" applyAlignment="1">
      <alignment horizontal="center"/>
    </xf>
    <xf numFmtId="3" fontId="0" fillId="0" borderId="77" xfId="0" applyNumberFormat="1" applyBorder="1" applyAlignment="1">
      <alignment horizontal="center"/>
    </xf>
    <xf numFmtId="3" fontId="0" fillId="0" borderId="79" xfId="0" applyNumberFormat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0" fillId="0" borderId="135" xfId="0" applyNumberFormat="1" applyBorder="1" applyAlignment="1">
      <alignment horizontal="center"/>
    </xf>
    <xf numFmtId="165" fontId="0" fillId="24" borderId="165" xfId="0" applyNumberFormat="1" applyFill="1" applyBorder="1" applyAlignment="1">
      <alignment horizontal="center"/>
    </xf>
    <xf numFmtId="165" fontId="0" fillId="24" borderId="166" xfId="0" applyNumberFormat="1" applyFill="1" applyBorder="1" applyAlignment="1">
      <alignment horizontal="center"/>
    </xf>
    <xf numFmtId="165" fontId="0" fillId="24" borderId="167" xfId="0" applyNumberFormat="1" applyFill="1" applyBorder="1" applyAlignment="1">
      <alignment horizontal="center"/>
    </xf>
    <xf numFmtId="165" fontId="0" fillId="24" borderId="37" xfId="0" applyNumberFormat="1" applyFill="1" applyBorder="1" applyAlignment="1">
      <alignment horizontal="center"/>
    </xf>
    <xf numFmtId="165" fontId="4" fillId="0" borderId="0" xfId="0" applyNumberFormat="1" applyFont="1" applyBorder="1"/>
    <xf numFmtId="172" fontId="0" fillId="0" borderId="0" xfId="0" applyNumberFormat="1" applyAlignment="1">
      <alignment horizontal="right" vertical="center"/>
    </xf>
    <xf numFmtId="2" fontId="0" fillId="0" borderId="22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/>
    </xf>
    <xf numFmtId="2" fontId="0" fillId="0" borderId="23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 vertical="center"/>
    </xf>
    <xf numFmtId="2" fontId="0" fillId="0" borderId="43" xfId="0" applyNumberFormat="1" applyBorder="1" applyAlignment="1" applyProtection="1">
      <alignment horizontal="center"/>
    </xf>
    <xf numFmtId="2" fontId="0" fillId="0" borderId="43" xfId="0" applyNumberForma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2" fontId="0" fillId="0" borderId="40" xfId="0" applyNumberFormat="1" applyBorder="1" applyAlignment="1" applyProtection="1">
      <alignment horizontal="center"/>
    </xf>
    <xf numFmtId="172" fontId="0" fillId="28" borderId="0" xfId="0" applyNumberFormat="1" applyFill="1" applyBorder="1" applyAlignment="1" applyProtection="1">
      <alignment horizontal="right"/>
    </xf>
    <xf numFmtId="165" fontId="0" fillId="0" borderId="0" xfId="0" applyNumberFormat="1" applyBorder="1"/>
    <xf numFmtId="165" fontId="0" fillId="0" borderId="0" xfId="0" applyNumberFormat="1" applyFill="1" applyBorder="1" applyAlignment="1">
      <alignment horizontal="center"/>
    </xf>
    <xf numFmtId="2" fontId="21" fillId="0" borderId="22" xfId="0" applyNumberFormat="1" applyFont="1" applyFill="1" applyBorder="1" applyAlignment="1" applyProtection="1">
      <alignment horizontal="center"/>
    </xf>
    <xf numFmtId="2" fontId="21" fillId="0" borderId="4" xfId="0" applyNumberFormat="1" applyFont="1" applyFill="1" applyBorder="1" applyAlignment="1" applyProtection="1">
      <alignment horizontal="center"/>
    </xf>
    <xf numFmtId="2" fontId="21" fillId="0" borderId="23" xfId="0" applyNumberFormat="1" applyFont="1" applyFill="1" applyBorder="1" applyAlignment="1" applyProtection="1">
      <alignment horizontal="center"/>
    </xf>
    <xf numFmtId="2" fontId="21" fillId="0" borderId="4" xfId="0" applyNumberFormat="1" applyFont="1" applyFill="1" applyBorder="1" applyAlignment="1" applyProtection="1">
      <alignment horizontal="center" vertical="center"/>
    </xf>
    <xf numFmtId="2" fontId="21" fillId="0" borderId="43" xfId="0" applyNumberFormat="1" applyFont="1" applyFill="1" applyBorder="1" applyAlignment="1" applyProtection="1">
      <alignment horizontal="center"/>
    </xf>
    <xf numFmtId="2" fontId="21" fillId="0" borderId="43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/>
    </xf>
    <xf numFmtId="172" fontId="0" fillId="28" borderId="168" xfId="0" applyNumberFormat="1" applyFill="1" applyBorder="1" applyAlignment="1" applyProtection="1">
      <alignment horizontal="right"/>
    </xf>
    <xf numFmtId="14" fontId="0" fillId="0" borderId="58" xfId="0" applyNumberFormat="1" applyBorder="1" applyAlignment="1">
      <alignment horizontal="right" vertical="center"/>
    </xf>
    <xf numFmtId="172" fontId="0" fillId="0" borderId="168" xfId="0" applyNumberFormat="1" applyFill="1" applyBorder="1" applyAlignment="1" applyProtection="1">
      <alignment horizontal="right"/>
    </xf>
    <xf numFmtId="172" fontId="0" fillId="0" borderId="96" xfId="0" applyNumberFormat="1" applyFill="1" applyBorder="1" applyAlignment="1" applyProtection="1">
      <alignment horizontal="right"/>
    </xf>
    <xf numFmtId="2" fontId="0" fillId="0" borderId="158" xfId="0" applyNumberFormat="1" applyFill="1" applyBorder="1" applyAlignment="1" applyProtection="1">
      <alignment horizontal="center" vertical="center"/>
      <protection locked="0"/>
    </xf>
    <xf numFmtId="2" fontId="0" fillId="0" borderId="169" xfId="0" applyNumberFormat="1" applyFill="1" applyBorder="1" applyAlignment="1" applyProtection="1">
      <alignment horizontal="center" vertical="center"/>
      <protection locked="0"/>
    </xf>
    <xf numFmtId="2" fontId="0" fillId="0" borderId="170" xfId="0" applyNumberFormat="1" applyFill="1" applyBorder="1" applyAlignment="1" applyProtection="1">
      <alignment horizontal="center" vertical="center"/>
      <protection locked="0"/>
    </xf>
    <xf numFmtId="2" fontId="0" fillId="0" borderId="151" xfId="0" applyNumberFormat="1" applyFill="1" applyBorder="1" applyAlignment="1" applyProtection="1">
      <alignment horizontal="center" vertical="center"/>
      <protection locked="0"/>
    </xf>
    <xf numFmtId="2" fontId="0" fillId="0" borderId="171" xfId="0" applyNumberFormat="1" applyFill="1" applyBorder="1" applyAlignment="1" applyProtection="1">
      <alignment horizontal="center" vertical="center"/>
      <protection locked="0"/>
    </xf>
    <xf numFmtId="2" fontId="0" fillId="0" borderId="12" xfId="0" applyNumberFormat="1" applyFill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Fill="1" applyBorder="1" applyAlignment="1" applyProtection="1">
      <alignment horizontal="center" vertical="center"/>
      <protection locked="0"/>
    </xf>
    <xf numFmtId="2" fontId="0" fillId="0" borderId="21" xfId="0" applyNumberFormat="1" applyFill="1" applyBorder="1" applyAlignment="1" applyProtection="1">
      <alignment horizontal="center" vertical="center"/>
      <protection locked="0"/>
    </xf>
    <xf numFmtId="165" fontId="0" fillId="0" borderId="74" xfId="0" applyNumberFormat="1" applyFill="1" applyBorder="1" applyAlignment="1">
      <alignment horizontal="center"/>
    </xf>
    <xf numFmtId="0" fontId="16" fillId="0" borderId="153" xfId="0" applyFont="1" applyBorder="1" applyAlignment="1">
      <alignment horizontal="center" vertical="center" textRotation="75"/>
    </xf>
    <xf numFmtId="0" fontId="16" fillId="0" borderId="158" xfId="0" applyFont="1" applyBorder="1" applyAlignment="1">
      <alignment horizontal="center" vertical="center" textRotation="75"/>
    </xf>
    <xf numFmtId="0" fontId="16" fillId="0" borderId="62" xfId="0" applyFont="1" applyBorder="1" applyAlignment="1">
      <alignment horizontal="center" vertical="center" textRotation="75"/>
    </xf>
    <xf numFmtId="0" fontId="0" fillId="0" borderId="162" xfId="0" applyBorder="1" applyAlignment="1"/>
    <xf numFmtId="0" fontId="16" fillId="0" borderId="150" xfId="0" applyFont="1" applyBorder="1" applyAlignment="1">
      <alignment horizontal="center" vertical="center" textRotation="75"/>
    </xf>
    <xf numFmtId="0" fontId="16" fillId="0" borderId="151" xfId="0" applyFont="1" applyBorder="1" applyAlignment="1">
      <alignment horizontal="center" vertical="center" textRotation="75"/>
    </xf>
    <xf numFmtId="0" fontId="0" fillId="0" borderId="152" xfId="0" applyBorder="1" applyAlignment="1"/>
    <xf numFmtId="0" fontId="16" fillId="0" borderId="6" xfId="0" applyFont="1" applyBorder="1" applyAlignment="1">
      <alignment horizontal="center" vertical="center" textRotation="75"/>
    </xf>
    <xf numFmtId="0" fontId="16" fillId="0" borderId="31" xfId="0" applyFont="1" applyBorder="1" applyAlignment="1">
      <alignment horizontal="center" vertical="center" textRotation="75"/>
    </xf>
    <xf numFmtId="0" fontId="16" fillId="0" borderId="12" xfId="0" applyFont="1" applyBorder="1" applyAlignment="1">
      <alignment horizontal="center" vertical="center" textRotation="75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0" fontId="4" fillId="12" borderId="63" xfId="0" applyFont="1" applyFill="1" applyBorder="1" applyAlignment="1">
      <alignment horizontal="center" vertical="center"/>
    </xf>
    <xf numFmtId="0" fontId="4" fillId="12" borderId="74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66" xfId="0" applyFont="1" applyBorder="1" applyAlignment="1">
      <alignment horizontal="left" vertical="center"/>
    </xf>
    <xf numFmtId="0" fontId="14" fillId="0" borderId="92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14" borderId="86" xfId="0" applyFont="1" applyFill="1" applyBorder="1" applyAlignment="1">
      <alignment horizontal="center" vertical="center"/>
    </xf>
    <xf numFmtId="0" fontId="15" fillId="14" borderId="87" xfId="0" applyFont="1" applyFill="1" applyBorder="1" applyAlignment="1">
      <alignment horizontal="center" vertical="center"/>
    </xf>
    <xf numFmtId="0" fontId="15" fillId="14" borderId="102" xfId="0" applyFont="1" applyFill="1" applyBorder="1" applyAlignment="1">
      <alignment horizontal="center" vertical="center"/>
    </xf>
    <xf numFmtId="0" fontId="15" fillId="9" borderId="86" xfId="0" applyFont="1" applyFill="1" applyBorder="1" applyAlignment="1">
      <alignment horizontal="center" vertical="center"/>
    </xf>
    <xf numFmtId="0" fontId="15" fillId="9" borderId="87" xfId="0" applyFont="1" applyFill="1" applyBorder="1" applyAlignment="1">
      <alignment horizontal="center" vertical="center"/>
    </xf>
    <xf numFmtId="0" fontId="15" fillId="9" borderId="88" xfId="0" applyFont="1" applyFill="1" applyBorder="1" applyAlignment="1">
      <alignment horizontal="center" vertical="center"/>
    </xf>
    <xf numFmtId="0" fontId="15" fillId="11" borderId="86" xfId="0" applyFont="1" applyFill="1" applyBorder="1" applyAlignment="1">
      <alignment horizontal="center" vertical="center"/>
    </xf>
    <xf numFmtId="0" fontId="15" fillId="11" borderId="87" xfId="0" applyFont="1" applyFill="1" applyBorder="1" applyAlignment="1">
      <alignment horizontal="center" vertical="center"/>
    </xf>
    <xf numFmtId="0" fontId="15" fillId="11" borderId="88" xfId="0" applyFont="1" applyFill="1" applyBorder="1" applyAlignment="1">
      <alignment horizontal="center" vertical="center"/>
    </xf>
    <xf numFmtId="0" fontId="15" fillId="2" borderId="86" xfId="0" applyFont="1" applyFill="1" applyBorder="1" applyAlignment="1">
      <alignment horizontal="center" vertical="center"/>
    </xf>
    <xf numFmtId="0" fontId="15" fillId="2" borderId="87" xfId="0" applyFont="1" applyFill="1" applyBorder="1" applyAlignment="1">
      <alignment horizontal="center" vertical="center"/>
    </xf>
    <xf numFmtId="0" fontId="15" fillId="2" borderId="88" xfId="0" applyFont="1" applyFill="1" applyBorder="1" applyAlignment="1">
      <alignment horizontal="center" vertical="center"/>
    </xf>
    <xf numFmtId="0" fontId="15" fillId="8" borderId="67" xfId="0" applyFont="1" applyFill="1" applyBorder="1" applyAlignment="1">
      <alignment horizontal="center" vertical="center"/>
    </xf>
    <xf numFmtId="0" fontId="15" fillId="8" borderId="60" xfId="0" applyFont="1" applyFill="1" applyBorder="1" applyAlignment="1">
      <alignment horizontal="center" vertical="center"/>
    </xf>
    <xf numFmtId="0" fontId="15" fillId="8" borderId="68" xfId="0" applyFont="1" applyFill="1" applyBorder="1" applyAlignment="1">
      <alignment horizontal="center" vertical="center"/>
    </xf>
    <xf numFmtId="0" fontId="15" fillId="10" borderId="86" xfId="0" applyFont="1" applyFill="1" applyBorder="1" applyAlignment="1">
      <alignment horizontal="center" vertical="center" wrapText="1"/>
    </xf>
    <xf numFmtId="0" fontId="15" fillId="10" borderId="88" xfId="0" applyFont="1" applyFill="1" applyBorder="1" applyAlignment="1">
      <alignment horizontal="center" vertical="center" wrapText="1"/>
    </xf>
    <xf numFmtId="0" fontId="15" fillId="7" borderId="94" xfId="0" applyFont="1" applyFill="1" applyBorder="1" applyAlignment="1">
      <alignment horizontal="center" vertical="center" wrapText="1"/>
    </xf>
    <xf numFmtId="0" fontId="15" fillId="7" borderId="95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15" fillId="7" borderId="96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100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103" xfId="0" applyFont="1" applyFill="1" applyBorder="1" applyAlignment="1">
      <alignment horizontal="center" vertical="center" wrapText="1"/>
    </xf>
    <xf numFmtId="0" fontId="4" fillId="19" borderId="107" xfId="0" applyFont="1" applyFill="1" applyBorder="1" applyAlignment="1">
      <alignment horizontal="center" vertical="center" wrapText="1"/>
    </xf>
    <xf numFmtId="0" fontId="4" fillId="19" borderId="32" xfId="0" applyFont="1" applyFill="1" applyBorder="1" applyAlignment="1">
      <alignment horizontal="center" vertical="center" wrapText="1"/>
    </xf>
    <xf numFmtId="0" fontId="4" fillId="20" borderId="107" xfId="0" applyFont="1" applyFill="1" applyBorder="1" applyAlignment="1">
      <alignment horizontal="center" vertical="center" wrapText="1"/>
    </xf>
    <xf numFmtId="0" fontId="4" fillId="20" borderId="32" xfId="0" applyFont="1" applyFill="1" applyBorder="1" applyAlignment="1">
      <alignment horizontal="center" vertical="center" wrapText="1"/>
    </xf>
    <xf numFmtId="1" fontId="14" fillId="0" borderId="86" xfId="0" applyNumberFormat="1" applyFont="1" applyBorder="1" applyAlignment="1">
      <alignment horizontal="center" vertical="center"/>
    </xf>
    <xf numFmtId="1" fontId="14" fillId="0" borderId="88" xfId="0" applyNumberFormat="1" applyFont="1" applyBorder="1" applyAlignment="1">
      <alignment horizontal="center" vertical="center"/>
    </xf>
    <xf numFmtId="0" fontId="14" fillId="0" borderId="94" xfId="0" applyFont="1" applyBorder="1" applyAlignment="1">
      <alignment horizontal="left" vertical="center"/>
    </xf>
    <xf numFmtId="0" fontId="14" fillId="0" borderId="95" xfId="0" applyFont="1" applyBorder="1" applyAlignment="1">
      <alignment horizontal="left" vertical="center"/>
    </xf>
    <xf numFmtId="0" fontId="14" fillId="0" borderId="87" xfId="0" applyFont="1" applyBorder="1" applyAlignment="1">
      <alignment horizontal="left" vertical="center"/>
    </xf>
    <xf numFmtId="0" fontId="14" fillId="0" borderId="88" xfId="0" applyFont="1" applyBorder="1" applyAlignment="1">
      <alignment horizontal="left" vertical="center"/>
    </xf>
    <xf numFmtId="0" fontId="0" fillId="0" borderId="96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9" borderId="97" xfId="0" applyFont="1" applyFill="1" applyBorder="1" applyAlignment="1">
      <alignment horizontal="center" vertical="center"/>
    </xf>
    <xf numFmtId="0" fontId="15" fillId="9" borderId="95" xfId="0" applyFont="1" applyFill="1" applyBorder="1" applyAlignment="1">
      <alignment horizontal="center" vertical="center"/>
    </xf>
    <xf numFmtId="0" fontId="15" fillId="9" borderId="98" xfId="0" applyFont="1" applyFill="1" applyBorder="1" applyAlignment="1">
      <alignment horizontal="center" vertical="center"/>
    </xf>
    <xf numFmtId="0" fontId="15" fillId="11" borderId="99" xfId="0" applyFont="1" applyFill="1" applyBorder="1" applyAlignment="1">
      <alignment horizontal="center" vertical="center"/>
    </xf>
    <xf numFmtId="0" fontId="15" fillId="11" borderId="95" xfId="0" applyFont="1" applyFill="1" applyBorder="1" applyAlignment="1">
      <alignment horizontal="center" vertical="center"/>
    </xf>
    <xf numFmtId="0" fontId="15" fillId="11" borderId="98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 wrapText="1"/>
    </xf>
    <xf numFmtId="0" fontId="15" fillId="10" borderId="10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103" xfId="0" applyFont="1" applyFill="1" applyBorder="1" applyAlignment="1">
      <alignment horizontal="center" vertical="center" wrapText="1"/>
    </xf>
    <xf numFmtId="0" fontId="15" fillId="14" borderId="94" xfId="0" applyFont="1" applyFill="1" applyBorder="1" applyAlignment="1">
      <alignment horizontal="center" vertical="center" wrapText="1"/>
    </xf>
    <xf numFmtId="0" fontId="15" fillId="14" borderId="95" xfId="0" applyFont="1" applyFill="1" applyBorder="1" applyAlignment="1">
      <alignment horizontal="center" vertical="center" wrapText="1"/>
    </xf>
    <xf numFmtId="0" fontId="15" fillId="14" borderId="101" xfId="0" applyFont="1" applyFill="1" applyBorder="1" applyAlignment="1">
      <alignment horizontal="center" vertical="center" wrapText="1"/>
    </xf>
    <xf numFmtId="0" fontId="15" fillId="14" borderId="104" xfId="0" applyFont="1" applyFill="1" applyBorder="1" applyAlignment="1">
      <alignment horizontal="center" vertical="center" wrapText="1"/>
    </xf>
    <xf numFmtId="0" fontId="15" fillId="14" borderId="5" xfId="0" applyFont="1" applyFill="1" applyBorder="1" applyAlignment="1">
      <alignment horizontal="center" vertical="center" wrapText="1"/>
    </xf>
    <xf numFmtId="0" fontId="15" fillId="14" borderId="103" xfId="0" applyFont="1" applyFill="1" applyBorder="1" applyAlignment="1">
      <alignment horizontal="center" vertical="center" wrapText="1"/>
    </xf>
    <xf numFmtId="0" fontId="15" fillId="8" borderId="86" xfId="0" applyFont="1" applyFill="1" applyBorder="1" applyAlignment="1">
      <alignment horizontal="center" vertical="center"/>
    </xf>
    <xf numFmtId="0" fontId="15" fillId="8" borderId="87" xfId="0" applyFont="1" applyFill="1" applyBorder="1" applyAlignment="1">
      <alignment horizontal="center" vertical="center"/>
    </xf>
    <xf numFmtId="0" fontId="15" fillId="8" borderId="102" xfId="0" applyFont="1" applyFill="1" applyBorder="1" applyAlignment="1">
      <alignment horizontal="center" vertical="center"/>
    </xf>
    <xf numFmtId="0" fontId="4" fillId="13" borderId="116" xfId="0" applyFont="1" applyFill="1" applyBorder="1" applyAlignment="1">
      <alignment horizontal="center" vertical="center"/>
    </xf>
    <xf numFmtId="0" fontId="4" fillId="13" borderId="134" xfId="0" applyFont="1" applyFill="1" applyBorder="1" applyAlignment="1">
      <alignment horizontal="center" vertical="center"/>
    </xf>
    <xf numFmtId="1" fontId="14" fillId="0" borderId="87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166" fontId="0" fillId="10" borderId="97" xfId="0" applyNumberFormat="1" applyFill="1" applyBorder="1" applyAlignment="1">
      <alignment horizontal="center"/>
    </xf>
    <xf numFmtId="0" fontId="0" fillId="0" borderId="87" xfId="0" applyBorder="1"/>
    <xf numFmtId="166" fontId="0" fillId="10" borderId="86" xfId="0" applyNumberFormat="1" applyFill="1" applyBorder="1" applyAlignment="1">
      <alignment horizontal="center"/>
    </xf>
    <xf numFmtId="166" fontId="0" fillId="10" borderId="87" xfId="0" applyNumberFormat="1" applyFill="1" applyBorder="1" applyAlignment="1">
      <alignment horizontal="center"/>
    </xf>
    <xf numFmtId="0" fontId="15" fillId="11" borderId="97" xfId="0" applyFont="1" applyFill="1" applyBorder="1" applyAlignment="1">
      <alignment horizontal="center" vertical="center"/>
    </xf>
    <xf numFmtId="0" fontId="4" fillId="12" borderId="105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2" borderId="107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4" fillId="18" borderId="107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166" fontId="0" fillId="10" borderId="88" xfId="0" applyNumberFormat="1" applyFill="1" applyBorder="1" applyAlignment="1">
      <alignment horizontal="center"/>
    </xf>
    <xf numFmtId="166" fontId="0" fillId="21" borderId="86" xfId="0" applyNumberFormat="1" applyFill="1" applyBorder="1" applyAlignment="1">
      <alignment horizontal="center"/>
    </xf>
    <xf numFmtId="166" fontId="0" fillId="21" borderId="87" xfId="0" applyNumberFormat="1" applyFill="1" applyBorder="1" applyAlignment="1">
      <alignment horizontal="center"/>
    </xf>
    <xf numFmtId="0" fontId="0" fillId="0" borderId="60" xfId="0" applyBorder="1" applyAlignment="1">
      <alignment horizontal="center"/>
    </xf>
    <xf numFmtId="1" fontId="16" fillId="22" borderId="105" xfId="0" applyNumberFormat="1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22" borderId="125" xfId="0" applyFont="1" applyFill="1" applyBorder="1" applyAlignment="1">
      <alignment horizontal="center"/>
    </xf>
    <xf numFmtId="0" fontId="16" fillId="24" borderId="127" xfId="0" applyFont="1" applyFill="1" applyBorder="1" applyAlignment="1">
      <alignment horizontal="left" vertical="center"/>
    </xf>
    <xf numFmtId="0" fontId="16" fillId="24" borderId="128" xfId="0" applyFont="1" applyFill="1" applyBorder="1" applyAlignment="1">
      <alignment horizontal="left" vertical="center"/>
    </xf>
    <xf numFmtId="0" fontId="0" fillId="24" borderId="36" xfId="0" applyFill="1" applyBorder="1" applyAlignment="1">
      <alignment horizontal="center"/>
    </xf>
    <xf numFmtId="0" fontId="0" fillId="24" borderId="127" xfId="0" applyFill="1" applyBorder="1" applyAlignment="1">
      <alignment horizontal="center"/>
    </xf>
    <xf numFmtId="0" fontId="0" fillId="24" borderId="128" xfId="0" applyFill="1" applyBorder="1" applyAlignment="1">
      <alignment horizontal="center"/>
    </xf>
    <xf numFmtId="0" fontId="4" fillId="12" borderId="37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3" borderId="117" xfId="0" applyFont="1" applyFill="1" applyBorder="1" applyAlignment="1">
      <alignment horizontal="center" vertical="center"/>
    </xf>
    <xf numFmtId="0" fontId="4" fillId="0" borderId="95" xfId="0" applyFont="1" applyFill="1" applyBorder="1" applyAlignment="1">
      <alignment horizontal="center" vertical="center"/>
    </xf>
    <xf numFmtId="0" fontId="4" fillId="0" borderId="98" xfId="0" applyFont="1" applyFill="1" applyBorder="1" applyAlignment="1">
      <alignment horizontal="center" vertical="center"/>
    </xf>
    <xf numFmtId="166" fontId="0" fillId="10" borderId="121" xfId="0" applyNumberFormat="1" applyFill="1" applyBorder="1" applyAlignment="1">
      <alignment horizontal="center"/>
    </xf>
    <xf numFmtId="0" fontId="0" fillId="0" borderId="122" xfId="0" applyBorder="1"/>
    <xf numFmtId="166" fontId="0" fillId="10" borderId="83" xfId="0" applyNumberFormat="1" applyFill="1" applyBorder="1" applyAlignment="1">
      <alignment horizontal="center"/>
    </xf>
    <xf numFmtId="166" fontId="0" fillId="10" borderId="122" xfId="0" applyNumberFormat="1" applyFill="1" applyBorder="1" applyAlignment="1">
      <alignment horizontal="center"/>
    </xf>
    <xf numFmtId="166" fontId="0" fillId="10" borderId="95" xfId="0" applyNumberForma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94" xfId="0" applyNumberFormat="1" applyFill="1" applyBorder="1" applyAlignment="1">
      <alignment horizontal="center"/>
    </xf>
    <xf numFmtId="166" fontId="0" fillId="0" borderId="95" xfId="0" applyNumberFormat="1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127" xfId="0" applyFill="1" applyBorder="1" applyAlignment="1">
      <alignment horizontal="center"/>
    </xf>
    <xf numFmtId="0" fontId="0" fillId="12" borderId="128" xfId="0" applyFill="1" applyBorder="1" applyAlignment="1">
      <alignment horizontal="center"/>
    </xf>
    <xf numFmtId="0" fontId="0" fillId="19" borderId="36" xfId="0" applyFill="1" applyBorder="1" applyAlignment="1">
      <alignment horizontal="center"/>
    </xf>
    <xf numFmtId="0" fontId="0" fillId="19" borderId="127" xfId="0" applyFill="1" applyBorder="1" applyAlignment="1">
      <alignment horizontal="center"/>
    </xf>
    <xf numFmtId="0" fontId="0" fillId="19" borderId="129" xfId="0" applyFill="1" applyBorder="1" applyAlignment="1">
      <alignment horizontal="center"/>
    </xf>
    <xf numFmtId="0" fontId="4" fillId="22" borderId="90" xfId="0" applyFont="1" applyFill="1" applyBorder="1" applyAlignment="1">
      <alignment horizontal="center"/>
    </xf>
    <xf numFmtId="0" fontId="4" fillId="22" borderId="130" xfId="0" applyFont="1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6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131" xfId="0" applyFill="1" applyBorder="1" applyAlignment="1">
      <alignment horizontal="center"/>
    </xf>
    <xf numFmtId="0" fontId="4" fillId="24" borderId="107" xfId="0" applyFont="1" applyFill="1" applyBorder="1" applyAlignment="1">
      <alignment horizontal="left"/>
    </xf>
    <xf numFmtId="0" fontId="4" fillId="24" borderId="30" xfId="0" applyFont="1" applyFill="1" applyBorder="1" applyAlignment="1">
      <alignment horizontal="left"/>
    </xf>
    <xf numFmtId="165" fontId="0" fillId="22" borderId="30" xfId="0" applyNumberFormat="1" applyFill="1" applyBorder="1" applyAlignment="1">
      <alignment horizontal="center"/>
    </xf>
    <xf numFmtId="0" fontId="4" fillId="22" borderId="107" xfId="0" applyFont="1" applyFill="1" applyBorder="1" applyAlignment="1">
      <alignment horizontal="left"/>
    </xf>
    <xf numFmtId="0" fontId="4" fillId="22" borderId="30" xfId="0" applyFont="1" applyFill="1" applyBorder="1" applyAlignment="1">
      <alignment horizontal="left"/>
    </xf>
    <xf numFmtId="168" fontId="0" fillId="22" borderId="30" xfId="0" applyNumberFormat="1" applyFill="1" applyBorder="1" applyAlignment="1">
      <alignment horizontal="center"/>
    </xf>
    <xf numFmtId="166" fontId="0" fillId="22" borderId="30" xfId="0" applyNumberFormat="1" applyFill="1" applyBorder="1" applyAlignment="1">
      <alignment horizontal="center"/>
    </xf>
    <xf numFmtId="166" fontId="0" fillId="22" borderId="37" xfId="0" applyNumberFormat="1" applyFill="1" applyBorder="1" applyAlignment="1">
      <alignment horizontal="center"/>
    </xf>
    <xf numFmtId="1" fontId="0" fillId="22" borderId="30" xfId="0" applyNumberFormat="1" applyFill="1" applyBorder="1" applyAlignment="1">
      <alignment horizontal="center"/>
    </xf>
    <xf numFmtId="2" fontId="0" fillId="22" borderId="37" xfId="0" applyNumberFormat="1" applyFill="1" applyBorder="1" applyAlignment="1">
      <alignment horizontal="center"/>
    </xf>
    <xf numFmtId="2" fontId="0" fillId="22" borderId="130" xfId="0" applyNumberFormat="1" applyFill="1" applyBorder="1" applyAlignment="1">
      <alignment horizontal="center"/>
    </xf>
    <xf numFmtId="167" fontId="0" fillId="22" borderId="30" xfId="0" applyNumberFormat="1" applyFill="1" applyBorder="1" applyAlignment="1">
      <alignment horizontal="center"/>
    </xf>
    <xf numFmtId="164" fontId="4" fillId="7" borderId="114" xfId="0" applyNumberFormat="1" applyFont="1" applyFill="1" applyBorder="1" applyAlignment="1">
      <alignment horizontal="center" vertical="center" textRotation="180"/>
    </xf>
    <xf numFmtId="164" fontId="4" fillId="7" borderId="115" xfId="0" applyNumberFormat="1" applyFont="1" applyFill="1" applyBorder="1" applyAlignment="1">
      <alignment horizontal="center" vertical="center" textRotation="180"/>
    </xf>
    <xf numFmtId="164" fontId="4" fillId="7" borderId="112" xfId="0" applyNumberFormat="1" applyFont="1" applyFill="1" applyBorder="1" applyAlignment="1">
      <alignment horizontal="center" vertical="center" textRotation="180"/>
    </xf>
    <xf numFmtId="0" fontId="4" fillId="22" borderId="132" xfId="0" applyFont="1" applyFill="1" applyBorder="1" applyAlignment="1">
      <alignment horizontal="left"/>
    </xf>
    <xf numFmtId="0" fontId="4" fillId="22" borderId="3" xfId="0" applyFont="1" applyFill="1" applyBorder="1" applyAlignment="1">
      <alignment horizontal="left"/>
    </xf>
    <xf numFmtId="168" fontId="0" fillId="22" borderId="3" xfId="0" applyNumberForma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166" fontId="0" fillId="22" borderId="3" xfId="0" applyNumberFormat="1" applyFill="1" applyBorder="1" applyAlignment="1">
      <alignment horizontal="center"/>
    </xf>
    <xf numFmtId="166" fontId="0" fillId="22" borderId="39" xfId="0" applyNumberFormat="1" applyFill="1" applyBorder="1" applyAlignment="1">
      <alignment horizontal="center"/>
    </xf>
    <xf numFmtId="1" fontId="0" fillId="22" borderId="3" xfId="0" applyNumberFormat="1" applyFill="1" applyBorder="1" applyAlignment="1">
      <alignment horizontal="center"/>
    </xf>
    <xf numFmtId="2" fontId="0" fillId="22" borderId="39" xfId="0" applyNumberFormat="1" applyFill="1" applyBorder="1" applyAlignment="1">
      <alignment horizontal="center"/>
    </xf>
    <xf numFmtId="2" fontId="0" fillId="22" borderId="26" xfId="0" applyNumberFormat="1" applyFill="1" applyBorder="1" applyAlignment="1">
      <alignment horizontal="center"/>
    </xf>
    <xf numFmtId="167" fontId="0" fillId="22" borderId="3" xfId="0" applyNumberForma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165" fontId="0" fillId="22" borderId="3" xfId="0" applyNumberFormat="1" applyFill="1" applyBorder="1" applyAlignment="1">
      <alignment horizontal="center"/>
    </xf>
    <xf numFmtId="0" fontId="0" fillId="22" borderId="133" xfId="0" applyFill="1" applyBorder="1" applyAlignment="1">
      <alignment horizontal="center"/>
    </xf>
    <xf numFmtId="0" fontId="4" fillId="24" borderId="132" xfId="0" applyFont="1" applyFill="1" applyBorder="1" applyAlignment="1">
      <alignment horizontal="left"/>
    </xf>
    <xf numFmtId="0" fontId="4" fillId="24" borderId="3" xfId="0" applyFont="1" applyFill="1" applyBorder="1" applyAlignment="1">
      <alignment horizontal="left"/>
    </xf>
    <xf numFmtId="0" fontId="4" fillId="22" borderId="116" xfId="0" applyFont="1" applyFill="1" applyBorder="1" applyAlignment="1">
      <alignment horizontal="left"/>
    </xf>
    <xf numFmtId="0" fontId="4" fillId="22" borderId="26" xfId="0" applyFont="1" applyFill="1" applyBorder="1" applyAlignment="1">
      <alignment horizontal="left"/>
    </xf>
    <xf numFmtId="0" fontId="4" fillId="0" borderId="95" xfId="0" applyFont="1" applyFill="1" applyBorder="1" applyAlignment="1">
      <alignment horizontal="left"/>
    </xf>
    <xf numFmtId="1" fontId="14" fillId="22" borderId="86" xfId="0" applyNumberFormat="1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165" fontId="10" fillId="0" borderId="59" xfId="0" applyNumberFormat="1" applyFont="1" applyFill="1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9" fontId="11" fillId="0" borderId="55" xfId="0" applyNumberFormat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0" fontId="0" fillId="0" borderId="10" xfId="0" applyBorder="1" applyAlignment="1"/>
    <xf numFmtId="0" fontId="2" fillId="0" borderId="14" xfId="0" applyFont="1" applyBorder="1" applyAlignment="1"/>
    <xf numFmtId="0" fontId="2" fillId="0" borderId="5" xfId="0" applyFont="1" applyBorder="1" applyAlignment="1"/>
    <xf numFmtId="0" fontId="0" fillId="0" borderId="5" xfId="0" applyBorder="1" applyAlignme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7" fillId="0" borderId="121" xfId="0" applyFont="1" applyFill="1" applyBorder="1" applyAlignment="1">
      <alignment vertical="center" wrapText="1"/>
    </xf>
    <xf numFmtId="0" fontId="0" fillId="0" borderId="122" xfId="0" applyBorder="1" applyAlignment="1">
      <alignment vertical="center"/>
    </xf>
    <xf numFmtId="0" fontId="0" fillId="0" borderId="145" xfId="0" applyBorder="1" applyAlignment="1">
      <alignment vertical="center"/>
    </xf>
    <xf numFmtId="165" fontId="10" fillId="0" borderId="66" xfId="0" applyNumberFormat="1" applyFont="1" applyFill="1" applyBorder="1" applyAlignment="1">
      <alignment horizontal="center" vertical="center"/>
    </xf>
    <xf numFmtId="165" fontId="10" fillId="0" borderId="29" xfId="0" applyNumberFormat="1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5" fontId="10" fillId="0" borderId="55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0" borderId="146" xfId="0" applyFont="1" applyFill="1" applyBorder="1" applyAlignment="1">
      <alignment horizontal="left"/>
    </xf>
    <xf numFmtId="0" fontId="4" fillId="22" borderId="147" xfId="0" applyFont="1" applyFill="1" applyBorder="1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  <color rgb="FFDB6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19050</xdr:rowOff>
        </xdr:from>
        <xdr:to>
          <xdr:col>10</xdr:col>
          <xdr:colOff>476250</xdr:colOff>
          <xdr:row>45</xdr:row>
          <xdr:rowOff>57150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</xdr:row>
          <xdr:rowOff>9525</xdr:rowOff>
        </xdr:from>
        <xdr:to>
          <xdr:col>22</xdr:col>
          <xdr:colOff>95250</xdr:colOff>
          <xdr:row>45</xdr:row>
          <xdr:rowOff>28575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9</xdr:col>
          <xdr:colOff>361950</xdr:colOff>
          <xdr:row>42</xdr:row>
          <xdr:rowOff>114300</xdr:rowOff>
        </xdr:to>
        <xdr:sp macro="" textlink="">
          <xdr:nvSpPr>
            <xdr:cNvPr id="62465" name="Object 1" hidden="1">
              <a:extLst>
                <a:ext uri="{63B3BB69-23CF-44E3-9099-C40C66FF867C}">
                  <a14:compatExt spid="_x0000_s62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0</xdr:row>
          <xdr:rowOff>0</xdr:rowOff>
        </xdr:from>
        <xdr:to>
          <xdr:col>20</xdr:col>
          <xdr:colOff>466725</xdr:colOff>
          <xdr:row>31</xdr:row>
          <xdr:rowOff>85725</xdr:rowOff>
        </xdr:to>
        <xdr:sp macro="" textlink="">
          <xdr:nvSpPr>
            <xdr:cNvPr id="62466" name="Object 2" hidden="1">
              <a:extLst>
                <a:ext uri="{63B3BB69-23CF-44E3-9099-C40C66FF867C}">
                  <a14:compatExt spid="_x0000_s62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rora\files\Dept\Utilities%20Department\Divisions\Water%20Treatment\Binney\BWPF%20Operating%20Reports\BWPF%20Flow%20Reports%20and%20Query%20Tool\BWPF%20Monthly%20Plant%20Flows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 Summary 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heet4"/>
    </sheetNames>
    <sheetDataSet>
      <sheetData sheetId="0">
        <row r="29">
          <cell r="C29">
            <v>3046.1644149070598</v>
          </cell>
          <cell r="D29">
            <v>520.85895995015176</v>
          </cell>
          <cell r="Q29">
            <v>42.185885911956788</v>
          </cell>
          <cell r="R29">
            <v>89.382557874206555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5E5E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4.docx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3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L19" sqref="L1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3793" r:id="rId4">
          <objectPr defaultSize="0" r:id="rId5">
            <anchor moveWithCells="1">
              <from>
                <xdr:col>1</xdr:col>
                <xdr:colOff>19050</xdr:colOff>
                <xdr:row>1</xdr:row>
                <xdr:rowOff>19050</xdr:rowOff>
              </from>
              <to>
                <xdr:col>10</xdr:col>
                <xdr:colOff>476250</xdr:colOff>
                <xdr:row>45</xdr:row>
                <xdr:rowOff>57150</xdr:rowOff>
              </to>
            </anchor>
          </objectPr>
        </oleObject>
      </mc:Choice>
      <mc:Fallback>
        <oleObject progId="Word.Document.12" shapeId="33793" r:id="rId4"/>
      </mc:Fallback>
    </mc:AlternateContent>
    <mc:AlternateContent xmlns:mc="http://schemas.openxmlformats.org/markup-compatibility/2006">
      <mc:Choice Requires="x14">
        <oleObject progId="Word.Document.12" shapeId="33794" r:id="rId6">
          <objectPr defaultSize="0" r:id="rId7">
            <anchor moveWithCells="1">
              <from>
                <xdr:col>12</xdr:col>
                <xdr:colOff>19050</xdr:colOff>
                <xdr:row>1</xdr:row>
                <xdr:rowOff>9525</xdr:rowOff>
              </from>
              <to>
                <xdr:col>22</xdr:col>
                <xdr:colOff>95250</xdr:colOff>
                <xdr:row>45</xdr:row>
                <xdr:rowOff>28575</xdr:rowOff>
              </to>
            </anchor>
          </objectPr>
        </oleObject>
      </mc:Choice>
      <mc:Fallback>
        <oleObject progId="Word.Document.12" shapeId="33794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2"/>
  <sheetViews>
    <sheetView topLeftCell="A10" zoomScale="80" zoomScaleNormal="80" workbookViewId="0">
      <selection activeCell="E45" sqref="E45"/>
    </sheetView>
  </sheetViews>
  <sheetFormatPr defaultRowHeight="15" x14ac:dyDescent="0.25"/>
  <cols>
    <col min="1" max="1" width="35.140625" bestFit="1" customWidth="1"/>
    <col min="2" max="2" width="28.7109375" bestFit="1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1.85546875" bestFit="1" customWidth="1"/>
    <col min="9" max="9" width="23" bestFit="1" customWidth="1"/>
    <col min="10" max="10" width="25.85546875" bestFit="1" customWidth="1"/>
    <col min="11" max="11" width="19" bestFit="1" customWidth="1"/>
    <col min="12" max="12" width="17" bestFit="1" customWidth="1"/>
    <col min="13" max="13" width="16" bestFit="1" customWidth="1"/>
    <col min="14" max="14" width="19.570312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1" width="15.140625" customWidth="1"/>
    <col min="42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81" t="s">
        <v>3</v>
      </c>
      <c r="C4" s="582"/>
      <c r="D4" s="582"/>
      <c r="E4" s="582"/>
      <c r="F4" s="582"/>
      <c r="G4" s="582"/>
      <c r="H4" s="583"/>
      <c r="I4" s="581" t="s">
        <v>4</v>
      </c>
      <c r="J4" s="582"/>
      <c r="K4" s="582"/>
      <c r="L4" s="582"/>
      <c r="M4" s="582"/>
      <c r="N4" s="583"/>
      <c r="O4" s="587" t="s">
        <v>5</v>
      </c>
      <c r="P4" s="588"/>
      <c r="Q4" s="589"/>
      <c r="R4" s="589"/>
      <c r="S4" s="589"/>
      <c r="T4" s="590"/>
      <c r="U4" s="581" t="s">
        <v>6</v>
      </c>
      <c r="V4" s="594"/>
      <c r="W4" s="594"/>
      <c r="X4" s="594"/>
      <c r="Y4" s="594"/>
      <c r="Z4" s="594"/>
      <c r="AA4" s="595"/>
      <c r="AB4" s="574" t="s">
        <v>7</v>
      </c>
      <c r="AC4" s="600" t="s">
        <v>8</v>
      </c>
      <c r="AD4" s="579" t="s">
        <v>27</v>
      </c>
      <c r="AE4" s="579" t="s">
        <v>31</v>
      </c>
      <c r="AF4" s="579" t="s">
        <v>32</v>
      </c>
      <c r="AG4" s="579" t="s">
        <v>33</v>
      </c>
      <c r="AH4" s="574" t="s">
        <v>175</v>
      </c>
      <c r="AI4" s="574" t="s">
        <v>176</v>
      </c>
      <c r="AJ4" s="574" t="s">
        <v>177</v>
      </c>
      <c r="AK4" s="574" t="s">
        <v>178</v>
      </c>
      <c r="AL4" s="574" t="s">
        <v>179</v>
      </c>
      <c r="AM4" s="574" t="s">
        <v>180</v>
      </c>
      <c r="AN4" s="574" t="s">
        <v>181</v>
      </c>
      <c r="AO4" s="574" t="s">
        <v>184</v>
      </c>
      <c r="AP4" s="574" t="s">
        <v>182</v>
      </c>
      <c r="AQ4" s="574" t="s">
        <v>183</v>
      </c>
      <c r="AT4" t="s">
        <v>171</v>
      </c>
      <c r="AU4" s="338" t="s">
        <v>209</v>
      </c>
    </row>
    <row r="5" spans="1:47" ht="30" customHeight="1" thickBot="1" x14ac:dyDescent="0.3">
      <c r="A5" s="13"/>
      <c r="B5" s="584"/>
      <c r="C5" s="585"/>
      <c r="D5" s="585"/>
      <c r="E5" s="585"/>
      <c r="F5" s="585"/>
      <c r="G5" s="585"/>
      <c r="H5" s="586"/>
      <c r="I5" s="584"/>
      <c r="J5" s="585"/>
      <c r="K5" s="585"/>
      <c r="L5" s="585"/>
      <c r="M5" s="585"/>
      <c r="N5" s="586"/>
      <c r="O5" s="591"/>
      <c r="P5" s="592"/>
      <c r="Q5" s="592"/>
      <c r="R5" s="592"/>
      <c r="S5" s="592"/>
      <c r="T5" s="593"/>
      <c r="U5" s="596"/>
      <c r="V5" s="597"/>
      <c r="W5" s="597"/>
      <c r="X5" s="597"/>
      <c r="Y5" s="597"/>
      <c r="Z5" s="597"/>
      <c r="AA5" s="598"/>
      <c r="AB5" s="599"/>
      <c r="AC5" s="601"/>
      <c r="AD5" s="580"/>
      <c r="AE5" s="580"/>
      <c r="AF5" s="580"/>
      <c r="AG5" s="580"/>
      <c r="AH5" s="575"/>
      <c r="AI5" s="575"/>
      <c r="AJ5" s="575"/>
      <c r="AK5" s="575"/>
      <c r="AL5" s="575"/>
      <c r="AM5" s="575"/>
      <c r="AN5" s="575"/>
      <c r="AO5" s="575"/>
      <c r="AP5" s="575"/>
      <c r="AQ5" s="575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42522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479.76061153411882</v>
      </c>
      <c r="J8" s="50">
        <v>1328.6265036900866</v>
      </c>
      <c r="K8" s="50">
        <v>66.754456826051012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729.43745587666297</v>
      </c>
      <c r="V8" s="54">
        <v>0</v>
      </c>
      <c r="W8" s="54">
        <v>52.005289590358586</v>
      </c>
      <c r="X8" s="54">
        <v>0</v>
      </c>
      <c r="Y8" s="54">
        <v>592.47539741198216</v>
      </c>
      <c r="Z8" s="54">
        <v>0</v>
      </c>
      <c r="AA8" s="55">
        <v>0</v>
      </c>
      <c r="AB8" s="56">
        <v>69.180543118054004</v>
      </c>
      <c r="AC8" s="57">
        <v>0</v>
      </c>
      <c r="AD8" s="57">
        <v>19.982790976762807</v>
      </c>
      <c r="AE8" s="58">
        <v>19.729885654223345</v>
      </c>
      <c r="AF8" s="58">
        <v>0</v>
      </c>
      <c r="AG8" s="58">
        <v>1</v>
      </c>
      <c r="AH8" s="57">
        <v>202.24860841433207</v>
      </c>
      <c r="AI8" s="57">
        <v>411.97115763028461</v>
      </c>
      <c r="AJ8" s="57">
        <v>1237.3364601771036</v>
      </c>
      <c r="AK8" s="57">
        <v>639.26732651392615</v>
      </c>
      <c r="AL8" s="57">
        <v>1778.6043212890622</v>
      </c>
      <c r="AM8" s="57">
        <v>2009.9443317413329</v>
      </c>
      <c r="AN8" s="57">
        <v>503.78632896741226</v>
      </c>
      <c r="AO8" s="57">
        <v>2420.5280954996747</v>
      </c>
      <c r="AP8" s="57">
        <v>349.64688968658447</v>
      </c>
      <c r="AQ8" s="57">
        <v>749.51257476806643</v>
      </c>
    </row>
    <row r="9" spans="1:47" x14ac:dyDescent="0.25">
      <c r="A9" s="11">
        <v>42523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460.21768703460623</v>
      </c>
      <c r="J9" s="60">
        <v>1248.9261817296347</v>
      </c>
      <c r="K9" s="60">
        <v>62.770026655991778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691.43511771984538</v>
      </c>
      <c r="V9" s="62">
        <v>0</v>
      </c>
      <c r="W9" s="62">
        <v>47.237962825616982</v>
      </c>
      <c r="X9" s="62">
        <v>0</v>
      </c>
      <c r="Y9" s="66">
        <v>559.34266667235113</v>
      </c>
      <c r="Z9" s="66">
        <v>0</v>
      </c>
      <c r="AA9" s="67">
        <v>0</v>
      </c>
      <c r="AB9" s="68">
        <v>56.54384820196411</v>
      </c>
      <c r="AC9" s="69">
        <v>0</v>
      </c>
      <c r="AD9" s="69">
        <v>18.6234568350845</v>
      </c>
      <c r="AE9" s="68">
        <v>18.451202622662613</v>
      </c>
      <c r="AF9" s="68">
        <v>0</v>
      </c>
      <c r="AG9" s="68">
        <v>1.0000586166826064</v>
      </c>
      <c r="AH9" s="69">
        <v>196.14208234151204</v>
      </c>
      <c r="AI9" s="69">
        <v>416.26610549290967</v>
      </c>
      <c r="AJ9" s="69">
        <v>1281.4812679290771</v>
      </c>
      <c r="AK9" s="69">
        <v>649.48710327148433</v>
      </c>
      <c r="AL9" s="69">
        <v>1749.5161315282189</v>
      </c>
      <c r="AM9" s="69">
        <v>2005.5942691802982</v>
      </c>
      <c r="AN9" s="69">
        <v>528.43449557622273</v>
      </c>
      <c r="AO9" s="69">
        <v>2207.5906663258866</v>
      </c>
      <c r="AP9" s="69">
        <v>419.66302596728008</v>
      </c>
      <c r="AQ9" s="69">
        <v>824.93334716161098</v>
      </c>
    </row>
    <row r="10" spans="1:47" x14ac:dyDescent="0.25">
      <c r="A10" s="11">
        <v>42524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507.28141501744648</v>
      </c>
      <c r="J10" s="60">
        <v>1347.0486991246523</v>
      </c>
      <c r="K10" s="60">
        <v>67.743596204122071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718.12678889352424</v>
      </c>
      <c r="V10" s="62">
        <v>0</v>
      </c>
      <c r="W10" s="62">
        <v>48.780047029994272</v>
      </c>
      <c r="X10" s="62">
        <v>0</v>
      </c>
      <c r="Y10" s="66">
        <v>587.69781828826251</v>
      </c>
      <c r="Z10" s="66">
        <v>0</v>
      </c>
      <c r="AA10" s="67">
        <v>0</v>
      </c>
      <c r="AB10" s="68">
        <v>54.536589352289461</v>
      </c>
      <c r="AC10" s="69">
        <v>0</v>
      </c>
      <c r="AD10" s="69">
        <v>19.556791851255667</v>
      </c>
      <c r="AE10" s="68">
        <v>19.279938015879807</v>
      </c>
      <c r="AF10" s="68">
        <v>0</v>
      </c>
      <c r="AG10" s="68">
        <v>1.0029000712994334</v>
      </c>
      <c r="AH10" s="69">
        <v>215.70753938357035</v>
      </c>
      <c r="AI10" s="69">
        <v>433.50958231290184</v>
      </c>
      <c r="AJ10" s="69">
        <v>1315.6151027043659</v>
      </c>
      <c r="AK10" s="69">
        <v>662.86279026667273</v>
      </c>
      <c r="AL10" s="69">
        <v>1804.5141123453773</v>
      </c>
      <c r="AM10" s="69">
        <v>1979.1984268188476</v>
      </c>
      <c r="AN10" s="69">
        <v>549.82413218816123</v>
      </c>
      <c r="AO10" s="69">
        <v>2606.8272125244143</v>
      </c>
      <c r="AP10" s="69">
        <v>400.74339688618977</v>
      </c>
      <c r="AQ10" s="69">
        <v>848.25848700205484</v>
      </c>
    </row>
    <row r="11" spans="1:47" x14ac:dyDescent="0.25">
      <c r="A11" s="11">
        <v>42525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524.69362198511817</v>
      </c>
      <c r="J11" s="60">
        <v>1393.6630261739094</v>
      </c>
      <c r="K11" s="60">
        <v>70.481577595075279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782.95130052566287</v>
      </c>
      <c r="V11" s="62">
        <v>0</v>
      </c>
      <c r="W11" s="62">
        <v>53.007101877530403</v>
      </c>
      <c r="X11" s="62">
        <v>0</v>
      </c>
      <c r="Y11" s="66">
        <v>676.67436145146689</v>
      </c>
      <c r="Z11" s="66">
        <v>0</v>
      </c>
      <c r="AA11" s="67">
        <v>0</v>
      </c>
      <c r="AB11" s="68">
        <v>53.783375060558193</v>
      </c>
      <c r="AC11" s="69">
        <v>0</v>
      </c>
      <c r="AD11" s="69">
        <v>21.321928094493018</v>
      </c>
      <c r="AE11" s="68">
        <v>20.998424131158497</v>
      </c>
      <c r="AF11" s="68">
        <v>0</v>
      </c>
      <c r="AG11" s="68">
        <v>1</v>
      </c>
      <c r="AH11" s="69">
        <v>215.6853842576345</v>
      </c>
      <c r="AI11" s="69">
        <v>431.11078189214061</v>
      </c>
      <c r="AJ11" s="69">
        <v>1224.5584806442262</v>
      </c>
      <c r="AK11" s="69">
        <v>663.4582431157429</v>
      </c>
      <c r="AL11" s="69">
        <v>1555.7782168706256</v>
      </c>
      <c r="AM11" s="69">
        <v>1918.5782012939449</v>
      </c>
      <c r="AN11" s="69">
        <v>550.70673470497138</v>
      </c>
      <c r="AO11" s="69">
        <v>2560.9059425354003</v>
      </c>
      <c r="AP11" s="69">
        <v>414.75851667722071</v>
      </c>
      <c r="AQ11" s="69">
        <v>750.71598240534456</v>
      </c>
    </row>
    <row r="12" spans="1:47" x14ac:dyDescent="0.25">
      <c r="A12" s="11">
        <v>42526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511.25669918060322</v>
      </c>
      <c r="J12" s="60">
        <v>1347.0009768168134</v>
      </c>
      <c r="K12" s="60">
        <v>68.042560795942961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707.49876395331319</v>
      </c>
      <c r="V12" s="62">
        <v>0</v>
      </c>
      <c r="W12" s="62">
        <v>50.004268042246558</v>
      </c>
      <c r="X12" s="62">
        <v>0</v>
      </c>
      <c r="Y12" s="66">
        <v>650.7235421180709</v>
      </c>
      <c r="Z12" s="66">
        <v>0</v>
      </c>
      <c r="AA12" s="67">
        <v>0</v>
      </c>
      <c r="AB12" s="68">
        <v>58.478586747911713</v>
      </c>
      <c r="AC12" s="69">
        <v>0</v>
      </c>
      <c r="AD12" s="69">
        <v>20.610601916578119</v>
      </c>
      <c r="AE12" s="68">
        <v>20.298225056970001</v>
      </c>
      <c r="AF12" s="68">
        <v>0</v>
      </c>
      <c r="AG12" s="68">
        <v>1</v>
      </c>
      <c r="AH12" s="69">
        <v>228.03750508626305</v>
      </c>
      <c r="AI12" s="69">
        <v>437.15669941902155</v>
      </c>
      <c r="AJ12" s="69">
        <v>1264.6262083689373</v>
      </c>
      <c r="AK12" s="69">
        <v>666.34534406661987</v>
      </c>
      <c r="AL12" s="69">
        <v>1373.3268225987754</v>
      </c>
      <c r="AM12" s="69">
        <v>1927.3864939371745</v>
      </c>
      <c r="AN12" s="69">
        <v>560.39569988250742</v>
      </c>
      <c r="AO12" s="69">
        <v>2512.6053078969317</v>
      </c>
      <c r="AP12" s="69">
        <v>406.52453289031985</v>
      </c>
      <c r="AQ12" s="69">
        <v>763.05613511403408</v>
      </c>
    </row>
    <row r="13" spans="1:47" x14ac:dyDescent="0.25">
      <c r="A13" s="11">
        <v>42527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509.34762732187897</v>
      </c>
      <c r="J13" s="60">
        <v>1339.8226937611905</v>
      </c>
      <c r="K13" s="60">
        <v>67.289683481057637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714.45519911863346</v>
      </c>
      <c r="V13" s="62">
        <v>0</v>
      </c>
      <c r="W13" s="62">
        <v>49.39764606400378</v>
      </c>
      <c r="X13" s="62">
        <v>0</v>
      </c>
      <c r="Y13" s="66">
        <v>652.19801236781529</v>
      </c>
      <c r="Z13" s="66">
        <v>0</v>
      </c>
      <c r="AA13" s="67">
        <v>0</v>
      </c>
      <c r="AB13" s="68">
        <v>53.677895095613636</v>
      </c>
      <c r="AC13" s="69">
        <v>0</v>
      </c>
      <c r="AD13" s="69">
        <v>20.49455089436632</v>
      </c>
      <c r="AE13" s="68">
        <v>20.18879759327849</v>
      </c>
      <c r="AF13" s="68">
        <v>0</v>
      </c>
      <c r="AG13" s="68">
        <v>1.0013803535636221</v>
      </c>
      <c r="AH13" s="69">
        <v>215.90560590426128</v>
      </c>
      <c r="AI13" s="69">
        <v>461.21837466557815</v>
      </c>
      <c r="AJ13" s="69">
        <v>1299.8358121236163</v>
      </c>
      <c r="AK13" s="69">
        <v>667.46318858464554</v>
      </c>
      <c r="AL13" s="69">
        <v>1268.8396858215333</v>
      </c>
      <c r="AM13" s="69">
        <v>2004.092941157023</v>
      </c>
      <c r="AN13" s="69">
        <v>570.19194676081338</v>
      </c>
      <c r="AO13" s="69">
        <v>2423.9113938649498</v>
      </c>
      <c r="AP13" s="69">
        <v>418.19040913581853</v>
      </c>
      <c r="AQ13" s="69">
        <v>779.87075227101661</v>
      </c>
    </row>
    <row r="14" spans="1:47" x14ac:dyDescent="0.25">
      <c r="A14" s="11">
        <v>42528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524.12174386978165</v>
      </c>
      <c r="J14" s="60">
        <v>1392.5198247909545</v>
      </c>
      <c r="K14" s="60">
        <v>69.869399483998848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742.74973267884081</v>
      </c>
      <c r="V14" s="62">
        <v>0</v>
      </c>
      <c r="W14" s="62">
        <v>54.920336779540641</v>
      </c>
      <c r="X14" s="62">
        <v>0</v>
      </c>
      <c r="Y14" s="66">
        <v>623.29910927606988</v>
      </c>
      <c r="Z14" s="66">
        <v>0</v>
      </c>
      <c r="AA14" s="67">
        <v>0</v>
      </c>
      <c r="AB14" s="68">
        <v>52.139750930998332</v>
      </c>
      <c r="AC14" s="69">
        <v>0</v>
      </c>
      <c r="AD14" s="69">
        <v>20.726973376671502</v>
      </c>
      <c r="AE14" s="68">
        <v>20.472337603900577</v>
      </c>
      <c r="AF14" s="68">
        <v>0</v>
      </c>
      <c r="AG14" s="68">
        <v>1.0040407744949638</v>
      </c>
      <c r="AH14" s="69">
        <v>212.6280744234721</v>
      </c>
      <c r="AI14" s="69">
        <v>443.00954825083426</v>
      </c>
      <c r="AJ14" s="69">
        <v>1269.9071413040158</v>
      </c>
      <c r="AK14" s="69">
        <v>658.99808743794745</v>
      </c>
      <c r="AL14" s="69">
        <v>1223.7869309743246</v>
      </c>
      <c r="AM14" s="69">
        <v>2006.9148296356202</v>
      </c>
      <c r="AN14" s="69">
        <v>565.82611246109013</v>
      </c>
      <c r="AO14" s="69">
        <v>2599.2676708221429</v>
      </c>
      <c r="AP14" s="69">
        <v>305.2988744735718</v>
      </c>
      <c r="AQ14" s="69">
        <v>831.07040732701626</v>
      </c>
    </row>
    <row r="15" spans="1:47" x14ac:dyDescent="0.25">
      <c r="A15" s="11">
        <v>42529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517.79319521586126</v>
      </c>
      <c r="J15" s="60">
        <v>1392.8627820332831</v>
      </c>
      <c r="K15" s="60">
        <v>69.975458371639334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716.7259736877802</v>
      </c>
      <c r="V15" s="62">
        <v>0</v>
      </c>
      <c r="W15" s="62">
        <v>52.549971285792694</v>
      </c>
      <c r="X15" s="62">
        <v>0</v>
      </c>
      <c r="Y15" s="66">
        <v>600.60967194623584</v>
      </c>
      <c r="Z15" s="66">
        <v>0</v>
      </c>
      <c r="AA15" s="67">
        <v>0</v>
      </c>
      <c r="AB15" s="68">
        <v>52.141504107582293</v>
      </c>
      <c r="AC15" s="69">
        <v>0</v>
      </c>
      <c r="AD15" s="69">
        <v>20.216189510954763</v>
      </c>
      <c r="AE15" s="68">
        <v>19.914698682643841</v>
      </c>
      <c r="AF15" s="68">
        <v>0</v>
      </c>
      <c r="AG15" s="68">
        <v>1.0017290730635611</v>
      </c>
      <c r="AH15" s="69">
        <v>192.86414337158203</v>
      </c>
      <c r="AI15" s="69">
        <v>484.22560987472536</v>
      </c>
      <c r="AJ15" s="69">
        <v>1329.3350493113198</v>
      </c>
      <c r="AK15" s="69">
        <v>647.54474185307811</v>
      </c>
      <c r="AL15" s="69">
        <v>1231.5486775716145</v>
      </c>
      <c r="AM15" s="69">
        <v>2025.9450529734295</v>
      </c>
      <c r="AN15" s="69">
        <v>559.47421838442472</v>
      </c>
      <c r="AO15" s="69">
        <v>2643.4439425150554</v>
      </c>
      <c r="AP15" s="69">
        <v>306.53198103904725</v>
      </c>
      <c r="AQ15" s="69">
        <v>849.47649094263704</v>
      </c>
    </row>
    <row r="16" spans="1:47" x14ac:dyDescent="0.25">
      <c r="A16" s="11">
        <v>42530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529.22910121281927</v>
      </c>
      <c r="J16" s="60">
        <v>1468.6509075800591</v>
      </c>
      <c r="K16" s="60">
        <v>73.795814243952179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776.04696764932783</v>
      </c>
      <c r="V16" s="62">
        <v>0</v>
      </c>
      <c r="W16" s="62">
        <v>56.496561460226566</v>
      </c>
      <c r="X16" s="62">
        <v>0</v>
      </c>
      <c r="Y16" s="66">
        <v>654.92092607546749</v>
      </c>
      <c r="Z16" s="66">
        <v>0</v>
      </c>
      <c r="AA16" s="67">
        <v>0</v>
      </c>
      <c r="AB16" s="68">
        <v>55.20586374335825</v>
      </c>
      <c r="AC16" s="69">
        <v>0</v>
      </c>
      <c r="AD16" s="69">
        <v>21.82152565585243</v>
      </c>
      <c r="AE16" s="68">
        <v>21.533468507393913</v>
      </c>
      <c r="AF16" s="68">
        <v>0</v>
      </c>
      <c r="AG16" s="68">
        <v>1.0023849027393945</v>
      </c>
      <c r="AH16" s="69">
        <v>216.58563950856527</v>
      </c>
      <c r="AI16" s="69">
        <v>463.83598772684741</v>
      </c>
      <c r="AJ16" s="69">
        <v>1410.1446119308473</v>
      </c>
      <c r="AK16" s="69">
        <v>663.81727752685549</v>
      </c>
      <c r="AL16" s="69">
        <v>1251.4582674662274</v>
      </c>
      <c r="AM16" s="69">
        <v>1985.5785990397135</v>
      </c>
      <c r="AN16" s="69">
        <v>579.83626653353383</v>
      </c>
      <c r="AO16" s="69">
        <v>2604.1870688120525</v>
      </c>
      <c r="AP16" s="69">
        <v>329.47104255358369</v>
      </c>
      <c r="AQ16" s="69">
        <v>879.86445468266822</v>
      </c>
    </row>
    <row r="17" spans="1:43" x14ac:dyDescent="0.25">
      <c r="A17" s="11">
        <v>42531</v>
      </c>
      <c r="B17" s="49"/>
      <c r="C17" s="50">
        <v>22.381829039255773</v>
      </c>
      <c r="D17" s="50">
        <v>1.1923753956953684</v>
      </c>
      <c r="E17" s="50">
        <v>21.344204611082866</v>
      </c>
      <c r="F17" s="50">
        <v>0</v>
      </c>
      <c r="G17" s="50">
        <v>0</v>
      </c>
      <c r="H17" s="51">
        <v>0</v>
      </c>
      <c r="I17" s="49">
        <v>570.36386979420968</v>
      </c>
      <c r="J17" s="50">
        <v>1648.591751861574</v>
      </c>
      <c r="K17" s="50">
        <v>82.808877865473306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834.80862794174016</v>
      </c>
      <c r="V17" s="66">
        <v>-0.99423212196949451</v>
      </c>
      <c r="W17" s="62">
        <v>59.139237399560415</v>
      </c>
      <c r="X17" s="62">
        <v>-7.0433063966279547E-2</v>
      </c>
      <c r="Y17" s="66">
        <v>709.46958774542907</v>
      </c>
      <c r="Z17" s="66">
        <v>0</v>
      </c>
      <c r="AA17" s="67">
        <v>0</v>
      </c>
      <c r="AB17" s="68">
        <v>59.941719455190466</v>
      </c>
      <c r="AC17" s="69">
        <v>0</v>
      </c>
      <c r="AD17" s="69">
        <v>23.516743318902144</v>
      </c>
      <c r="AE17" s="68">
        <v>23.299470553455599</v>
      </c>
      <c r="AF17" s="68">
        <v>0</v>
      </c>
      <c r="AG17" s="68">
        <v>1.0011923902093247</v>
      </c>
      <c r="AH17" s="69">
        <v>217.07219432195026</v>
      </c>
      <c r="AI17" s="69">
        <v>472.10466547012328</v>
      </c>
      <c r="AJ17" s="69">
        <v>2500.6225460052492</v>
      </c>
      <c r="AK17" s="69">
        <v>667.09701271057111</v>
      </c>
      <c r="AL17" s="69">
        <v>1249.3378800710045</v>
      </c>
      <c r="AM17" s="69">
        <v>2034.4483453114826</v>
      </c>
      <c r="AN17" s="69">
        <v>598.21266174316406</v>
      </c>
      <c r="AO17" s="69">
        <v>3037.5356538136803</v>
      </c>
      <c r="AP17" s="69">
        <v>367.03167850176487</v>
      </c>
      <c r="AQ17" s="69">
        <v>886.76948801676417</v>
      </c>
    </row>
    <row r="18" spans="1:43" x14ac:dyDescent="0.25">
      <c r="A18" s="11">
        <v>42532</v>
      </c>
      <c r="B18" s="59"/>
      <c r="C18" s="60">
        <v>0</v>
      </c>
      <c r="D18" s="60">
        <v>0</v>
      </c>
      <c r="E18" s="60">
        <v>0.71715856840213243</v>
      </c>
      <c r="F18" s="60">
        <v>0</v>
      </c>
      <c r="G18" s="60">
        <v>0</v>
      </c>
      <c r="H18" s="61">
        <v>0</v>
      </c>
      <c r="I18" s="59">
        <v>545.34203834533616</v>
      </c>
      <c r="J18" s="60">
        <v>1525.7626635869321</v>
      </c>
      <c r="K18" s="60">
        <v>76.957229236761549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848.19381777445506</v>
      </c>
      <c r="V18" s="62">
        <v>0</v>
      </c>
      <c r="W18" s="62">
        <v>60.936912846565249</v>
      </c>
      <c r="X18" s="62">
        <v>0</v>
      </c>
      <c r="Y18" s="66">
        <v>714.69847602844129</v>
      </c>
      <c r="Z18" s="66">
        <v>0</v>
      </c>
      <c r="AA18" s="67">
        <v>0</v>
      </c>
      <c r="AB18" s="68">
        <v>58.438982046974637</v>
      </c>
      <c r="AC18" s="69">
        <v>0</v>
      </c>
      <c r="AD18" s="69">
        <v>23.41122036311365</v>
      </c>
      <c r="AE18" s="68">
        <v>23.218215301794714</v>
      </c>
      <c r="AF18" s="68">
        <v>0</v>
      </c>
      <c r="AG18" s="68">
        <v>1</v>
      </c>
      <c r="AH18" s="69">
        <v>216.1576883951823</v>
      </c>
      <c r="AI18" s="69">
        <v>475.01301132837938</v>
      </c>
      <c r="AJ18" s="69">
        <v>3335.1470541636149</v>
      </c>
      <c r="AK18" s="69">
        <v>662.19198188781741</v>
      </c>
      <c r="AL18" s="69">
        <v>1262.9265749613446</v>
      </c>
      <c r="AM18" s="69">
        <v>2019.7188475290934</v>
      </c>
      <c r="AN18" s="69">
        <v>601.61951669057203</v>
      </c>
      <c r="AO18" s="69">
        <v>3054.0433787027991</v>
      </c>
      <c r="AP18" s="69">
        <v>345.32040031751001</v>
      </c>
      <c r="AQ18" s="69">
        <v>872.13581266403207</v>
      </c>
    </row>
    <row r="19" spans="1:43" x14ac:dyDescent="0.25">
      <c r="A19" s="11">
        <v>42533</v>
      </c>
      <c r="B19" s="59"/>
      <c r="C19" s="60">
        <v>0</v>
      </c>
      <c r="D19" s="60">
        <v>0</v>
      </c>
      <c r="E19" s="60">
        <v>0.59946178644895542</v>
      </c>
      <c r="F19" s="60">
        <v>0</v>
      </c>
      <c r="G19" s="60">
        <v>0</v>
      </c>
      <c r="H19" s="61">
        <v>0</v>
      </c>
      <c r="I19" s="59">
        <v>526.00333477656102</v>
      </c>
      <c r="J19" s="60">
        <v>1456.1697029749519</v>
      </c>
      <c r="K19" s="60">
        <v>73.175694437821804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825.01085578070547</v>
      </c>
      <c r="V19" s="62">
        <v>0</v>
      </c>
      <c r="W19" s="62">
        <v>60.62543276151019</v>
      </c>
      <c r="X19" s="62">
        <v>0</v>
      </c>
      <c r="Y19" s="66">
        <v>689.12162879308141</v>
      </c>
      <c r="Z19" s="66">
        <v>0</v>
      </c>
      <c r="AA19" s="67">
        <v>0</v>
      </c>
      <c r="AB19" s="68">
        <v>55.425804262691564</v>
      </c>
      <c r="AC19" s="69">
        <v>0</v>
      </c>
      <c r="AD19" s="69">
        <v>22.33799819449586</v>
      </c>
      <c r="AE19" s="68">
        <v>22.128743781058006</v>
      </c>
      <c r="AF19" s="68">
        <v>0</v>
      </c>
      <c r="AG19" s="68">
        <v>1</v>
      </c>
      <c r="AH19" s="69">
        <v>219.06492481231689</v>
      </c>
      <c r="AI19" s="69">
        <v>469.70532519022623</v>
      </c>
      <c r="AJ19" s="69">
        <v>3319.1990982055668</v>
      </c>
      <c r="AK19" s="69">
        <v>648.33595943450928</v>
      </c>
      <c r="AL19" s="69">
        <v>1246.1781394958496</v>
      </c>
      <c r="AM19" s="69">
        <v>2043.7340377807618</v>
      </c>
      <c r="AN19" s="69">
        <v>599.86644395192457</v>
      </c>
      <c r="AO19" s="69">
        <v>2832.5109770456947</v>
      </c>
      <c r="AP19" s="69">
        <v>328.825528939565</v>
      </c>
      <c r="AQ19" s="69">
        <v>860.63985106150312</v>
      </c>
    </row>
    <row r="20" spans="1:43" x14ac:dyDescent="0.25">
      <c r="A20" s="11">
        <v>42534</v>
      </c>
      <c r="B20" s="59"/>
      <c r="C20" s="60">
        <v>22.227059535185528</v>
      </c>
      <c r="D20" s="60">
        <v>269.1828623135886</v>
      </c>
      <c r="E20" s="60">
        <v>12.125040706992168</v>
      </c>
      <c r="F20" s="60">
        <v>0</v>
      </c>
      <c r="G20" s="60">
        <v>765.82572142283084</v>
      </c>
      <c r="H20" s="61">
        <v>0</v>
      </c>
      <c r="I20" s="59">
        <v>522.84147802988753</v>
      </c>
      <c r="J20" s="60">
        <v>1447.2335374832185</v>
      </c>
      <c r="K20" s="60">
        <v>73.001972782611972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798.0996977912049</v>
      </c>
      <c r="V20" s="62">
        <v>0</v>
      </c>
      <c r="W20" s="62">
        <v>57.510252332687273</v>
      </c>
      <c r="X20" s="62">
        <v>0</v>
      </c>
      <c r="Y20" s="66">
        <v>690.6686978340141</v>
      </c>
      <c r="Z20" s="66">
        <v>0</v>
      </c>
      <c r="AA20" s="67">
        <v>0</v>
      </c>
      <c r="AB20" s="68">
        <v>55.084576325947332</v>
      </c>
      <c r="AC20" s="69">
        <v>0</v>
      </c>
      <c r="AD20" s="69">
        <v>22.177285128169597</v>
      </c>
      <c r="AE20" s="68">
        <v>22.001966499788558</v>
      </c>
      <c r="AF20" s="68">
        <v>0</v>
      </c>
      <c r="AG20" s="68">
        <v>1</v>
      </c>
      <c r="AH20" s="69">
        <v>235.89372227986652</v>
      </c>
      <c r="AI20" s="69">
        <v>797.18880058924356</v>
      </c>
      <c r="AJ20" s="69">
        <v>3143.5423824310301</v>
      </c>
      <c r="AK20" s="69">
        <v>637.18328193028754</v>
      </c>
      <c r="AL20" s="69">
        <v>1726.8012222925822</v>
      </c>
      <c r="AM20" s="69">
        <v>1991.0250036875402</v>
      </c>
      <c r="AN20" s="69">
        <v>567.02711277008063</v>
      </c>
      <c r="AO20" s="69">
        <v>2725.2465169270831</v>
      </c>
      <c r="AP20" s="69">
        <v>322.48219540913897</v>
      </c>
      <c r="AQ20" s="69">
        <v>805.38030621210726</v>
      </c>
    </row>
    <row r="21" spans="1:43" x14ac:dyDescent="0.25">
      <c r="A21" s="11">
        <v>42535</v>
      </c>
      <c r="B21" s="59"/>
      <c r="C21" s="60">
        <v>40.720824704567264</v>
      </c>
      <c r="D21" s="60">
        <v>356.26606424649611</v>
      </c>
      <c r="E21" s="60">
        <v>9.3521676585078328</v>
      </c>
      <c r="F21" s="60">
        <v>0</v>
      </c>
      <c r="G21" s="60">
        <v>1764.6727238337157</v>
      </c>
      <c r="H21" s="61">
        <v>16.566220529874151</v>
      </c>
      <c r="I21" s="59">
        <v>469.80654122034781</v>
      </c>
      <c r="J21" s="60">
        <v>1195.9796784083037</v>
      </c>
      <c r="K21" s="60">
        <v>60.025654458999661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620.39797600640077</v>
      </c>
      <c r="V21" s="62">
        <v>0</v>
      </c>
      <c r="W21" s="62">
        <v>44.226818454265462</v>
      </c>
      <c r="X21" s="62">
        <v>0</v>
      </c>
      <c r="Y21" s="66">
        <v>549.40545543034943</v>
      </c>
      <c r="Z21" s="66">
        <v>0</v>
      </c>
      <c r="AA21" s="67">
        <v>0</v>
      </c>
      <c r="AB21" s="68">
        <v>48.674772930144627</v>
      </c>
      <c r="AC21" s="69">
        <v>0</v>
      </c>
      <c r="AD21" s="69">
        <v>17.716143483916937</v>
      </c>
      <c r="AE21" s="68">
        <v>17.588267804487522</v>
      </c>
      <c r="AF21" s="68">
        <v>0</v>
      </c>
      <c r="AG21" s="68">
        <v>1</v>
      </c>
      <c r="AH21" s="69">
        <v>220.3847657998403</v>
      </c>
      <c r="AI21" s="69">
        <v>1063.52504863739</v>
      </c>
      <c r="AJ21" s="69">
        <v>3194.2995047251379</v>
      </c>
      <c r="AK21" s="69">
        <v>631.29001839955663</v>
      </c>
      <c r="AL21" s="69">
        <v>1905.5557289759315</v>
      </c>
      <c r="AM21" s="69">
        <v>2132.3443181355797</v>
      </c>
      <c r="AN21" s="69">
        <v>559.69247727394111</v>
      </c>
      <c r="AO21" s="69">
        <v>2354.2673782348634</v>
      </c>
      <c r="AP21" s="69">
        <v>319.63500231107076</v>
      </c>
      <c r="AQ21" s="69">
        <v>827.75221786499026</v>
      </c>
    </row>
    <row r="22" spans="1:43" x14ac:dyDescent="0.25">
      <c r="A22" s="11">
        <v>42536</v>
      </c>
      <c r="B22" s="59"/>
      <c r="C22" s="60">
        <v>41.947697049379528</v>
      </c>
      <c r="D22" s="60">
        <v>325.13228011926071</v>
      </c>
      <c r="E22" s="60">
        <v>9.5858827903866715</v>
      </c>
      <c r="F22" s="60">
        <v>0</v>
      </c>
      <c r="G22" s="60">
        <v>1458.0367331822717</v>
      </c>
      <c r="H22" s="61">
        <v>29.907400937875224</v>
      </c>
      <c r="I22" s="59">
        <v>548.36383419036849</v>
      </c>
      <c r="J22" s="60">
        <v>1394.5061116536476</v>
      </c>
      <c r="K22" s="60">
        <v>70.150896008809241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772.91611891840284</v>
      </c>
      <c r="V22" s="62">
        <v>121.37254795510889</v>
      </c>
      <c r="W22" s="62">
        <v>53.06118536412049</v>
      </c>
      <c r="X22" s="62">
        <v>8.33230295956802</v>
      </c>
      <c r="Y22" s="66">
        <v>679.61243680926327</v>
      </c>
      <c r="Z22" s="66">
        <v>106.72088608133795</v>
      </c>
      <c r="AA22" s="67">
        <v>0</v>
      </c>
      <c r="AB22" s="68">
        <v>60.526031809382921</v>
      </c>
      <c r="AC22" s="69">
        <v>0</v>
      </c>
      <c r="AD22" s="69">
        <v>24.033181508051019</v>
      </c>
      <c r="AE22" s="68">
        <v>20.475579685452868</v>
      </c>
      <c r="AF22" s="68">
        <v>3.2153208044864745</v>
      </c>
      <c r="AG22" s="68">
        <v>0.86428034654689878</v>
      </c>
      <c r="AH22" s="69">
        <v>223.6626425266266</v>
      </c>
      <c r="AI22" s="69">
        <v>1066.6740259806315</v>
      </c>
      <c r="AJ22" s="69">
        <v>3237.9615990956627</v>
      </c>
      <c r="AK22" s="69">
        <v>644.94957380294795</v>
      </c>
      <c r="AL22" s="69">
        <v>2715.085946273804</v>
      </c>
      <c r="AM22" s="69">
        <v>2488.9233921051027</v>
      </c>
      <c r="AN22" s="69">
        <v>585.30151330629985</v>
      </c>
      <c r="AO22" s="69">
        <v>3051.5314881642662</v>
      </c>
      <c r="AP22" s="69">
        <v>330.63851354916892</v>
      </c>
      <c r="AQ22" s="69">
        <v>957.74111970265687</v>
      </c>
    </row>
    <row r="23" spans="1:43" x14ac:dyDescent="0.25">
      <c r="A23" s="11">
        <v>42537</v>
      </c>
      <c r="B23" s="59"/>
      <c r="C23" s="60">
        <v>42.171139661471543</v>
      </c>
      <c r="D23" s="60">
        <v>273.67471461296145</v>
      </c>
      <c r="E23" s="60">
        <v>9.5924640918771349</v>
      </c>
      <c r="F23" s="60">
        <v>0</v>
      </c>
      <c r="G23" s="60">
        <v>1179.1890490214057</v>
      </c>
      <c r="H23" s="61">
        <v>29.684645391504056</v>
      </c>
      <c r="I23" s="59">
        <v>548.80502732594778</v>
      </c>
      <c r="J23" s="60">
        <v>1430.3823371251435</v>
      </c>
      <c r="K23" s="60">
        <v>71.985095441341315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764.51715268532075</v>
      </c>
      <c r="V23" s="62">
        <v>142.00271921714543</v>
      </c>
      <c r="W23" s="62">
        <v>54.485318341886511</v>
      </c>
      <c r="X23" s="62">
        <v>10.120195910299358</v>
      </c>
      <c r="Y23" s="66">
        <v>663.08716892826203</v>
      </c>
      <c r="Z23" s="66">
        <v>123.16294112575483</v>
      </c>
      <c r="AA23" s="67">
        <v>0</v>
      </c>
      <c r="AB23" s="68">
        <v>64.080409961276004</v>
      </c>
      <c r="AC23" s="69">
        <v>0</v>
      </c>
      <c r="AD23" s="69">
        <v>25.685739359590713</v>
      </c>
      <c r="AE23" s="68">
        <v>21.34726521313873</v>
      </c>
      <c r="AF23" s="68">
        <v>3.9650774315105553</v>
      </c>
      <c r="AG23" s="68">
        <v>0.84335399187760585</v>
      </c>
      <c r="AH23" s="69">
        <v>217.70091247558594</v>
      </c>
      <c r="AI23" s="69">
        <v>1070.0978718439737</v>
      </c>
      <c r="AJ23" s="69">
        <v>3395.970850626627</v>
      </c>
      <c r="AK23" s="69">
        <v>585.67423601150517</v>
      </c>
      <c r="AL23" s="69">
        <v>2732.4396664937335</v>
      </c>
      <c r="AM23" s="69">
        <v>2513.596994145712</v>
      </c>
      <c r="AN23" s="69">
        <v>606.61102522214253</v>
      </c>
      <c r="AO23" s="69">
        <v>3097.6619918823239</v>
      </c>
      <c r="AP23" s="69">
        <v>340.53061472574871</v>
      </c>
      <c r="AQ23" s="69">
        <v>979.47768300374366</v>
      </c>
    </row>
    <row r="24" spans="1:43" x14ac:dyDescent="0.25">
      <c r="A24" s="11">
        <v>42538</v>
      </c>
      <c r="B24" s="59"/>
      <c r="C24" s="60">
        <v>43.372753387689478</v>
      </c>
      <c r="D24" s="60">
        <v>257.47109770774847</v>
      </c>
      <c r="E24" s="60">
        <v>9.8549889301260123</v>
      </c>
      <c r="F24" s="60">
        <v>0</v>
      </c>
      <c r="G24" s="60">
        <v>1154.8101051966348</v>
      </c>
      <c r="H24" s="61">
        <v>30.938438072800725</v>
      </c>
      <c r="I24" s="59">
        <v>511.17348612149584</v>
      </c>
      <c r="J24" s="60">
        <v>1362.3939251581851</v>
      </c>
      <c r="K24" s="60">
        <v>68.302577773729766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728.20076133216708</v>
      </c>
      <c r="V24" s="62">
        <v>141.20852999880515</v>
      </c>
      <c r="W24" s="62">
        <v>52.6730646478536</v>
      </c>
      <c r="X24" s="62">
        <v>10.214059672017651</v>
      </c>
      <c r="Y24" s="66">
        <v>621.20939671880035</v>
      </c>
      <c r="Z24" s="66">
        <v>120.46137602442448</v>
      </c>
      <c r="AA24" s="67">
        <v>0</v>
      </c>
      <c r="AB24" s="68">
        <v>62.674873291121422</v>
      </c>
      <c r="AC24" s="69">
        <v>0</v>
      </c>
      <c r="AD24" s="69">
        <v>24.647507684098329</v>
      </c>
      <c r="AE24" s="68">
        <v>20.339984447070968</v>
      </c>
      <c r="AF24" s="68">
        <v>3.9442135417643596</v>
      </c>
      <c r="AG24" s="68">
        <v>0.83758106635526053</v>
      </c>
      <c r="AH24" s="69">
        <v>236.78548981348672</v>
      </c>
      <c r="AI24" s="69">
        <v>1064.2514298756917</v>
      </c>
      <c r="AJ24" s="69">
        <v>3398.3992300669347</v>
      </c>
      <c r="AK24" s="69">
        <v>556.12872730890911</v>
      </c>
      <c r="AL24" s="69">
        <v>2704.4407660166421</v>
      </c>
      <c r="AM24" s="69">
        <v>2550.1592046101887</v>
      </c>
      <c r="AN24" s="69">
        <v>613.73690128326416</v>
      </c>
      <c r="AO24" s="69">
        <v>3097.0753681182864</v>
      </c>
      <c r="AP24" s="69">
        <v>339.77288322448726</v>
      </c>
      <c r="AQ24" s="69">
        <v>911.40680294036861</v>
      </c>
    </row>
    <row r="25" spans="1:43" x14ac:dyDescent="0.25">
      <c r="A25" s="11">
        <v>42539</v>
      </c>
      <c r="B25" s="59"/>
      <c r="C25" s="60">
        <v>44.213126945495794</v>
      </c>
      <c r="D25" s="60">
        <v>313.84525170326333</v>
      </c>
      <c r="E25" s="60">
        <v>10.018207219243049</v>
      </c>
      <c r="F25" s="60">
        <v>0</v>
      </c>
      <c r="G25" s="60">
        <v>1153.7425680796302</v>
      </c>
      <c r="H25" s="61">
        <v>31.317924875020985</v>
      </c>
      <c r="I25" s="59">
        <v>545.39440439144789</v>
      </c>
      <c r="J25" s="60">
        <v>1396.5527141571063</v>
      </c>
      <c r="K25" s="60">
        <v>70.192836113770738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752.16324086993654</v>
      </c>
      <c r="V25" s="62">
        <v>141.0482747262449</v>
      </c>
      <c r="W25" s="62">
        <v>53.93860721619258</v>
      </c>
      <c r="X25" s="62">
        <v>10.114755781180362</v>
      </c>
      <c r="Y25" s="66">
        <v>641.24195036448259</v>
      </c>
      <c r="Z25" s="66">
        <v>120.24792739990134</v>
      </c>
      <c r="AA25" s="67">
        <v>0</v>
      </c>
      <c r="AB25" s="68">
        <v>63.32186774412866</v>
      </c>
      <c r="AC25" s="69">
        <v>0</v>
      </c>
      <c r="AD25" s="69">
        <v>25.457486795054557</v>
      </c>
      <c r="AE25" s="68">
        <v>21.112021128948907</v>
      </c>
      <c r="AF25" s="68">
        <v>3.9589998479295447</v>
      </c>
      <c r="AG25" s="68">
        <v>0.84208860693863641</v>
      </c>
      <c r="AH25" s="69">
        <v>241.93551820119222</v>
      </c>
      <c r="AI25" s="69">
        <v>1066.6646054585776</v>
      </c>
      <c r="AJ25" s="69">
        <v>3370.8489543914793</v>
      </c>
      <c r="AK25" s="69">
        <v>559.8621558507283</v>
      </c>
      <c r="AL25" s="69">
        <v>2646.2984989166262</v>
      </c>
      <c r="AM25" s="69">
        <v>2516.76683807373</v>
      </c>
      <c r="AN25" s="69">
        <v>623.00547847747794</v>
      </c>
      <c r="AO25" s="69">
        <v>3092.4099502563477</v>
      </c>
      <c r="AP25" s="69">
        <v>342.76847386360174</v>
      </c>
      <c r="AQ25" s="69">
        <v>873.55697517395026</v>
      </c>
    </row>
    <row r="26" spans="1:43" x14ac:dyDescent="0.25">
      <c r="A26" s="11">
        <v>42540</v>
      </c>
      <c r="B26" s="59"/>
      <c r="C26" s="60">
        <v>44.670788198709808</v>
      </c>
      <c r="D26" s="60">
        <v>432.55035390853914</v>
      </c>
      <c r="E26" s="60">
        <v>10.017340411742532</v>
      </c>
      <c r="F26" s="60">
        <v>0</v>
      </c>
      <c r="G26" s="60">
        <v>1157.5081964492797</v>
      </c>
      <c r="H26" s="61">
        <v>31.222111941377339</v>
      </c>
      <c r="I26" s="59">
        <v>566.36003259023039</v>
      </c>
      <c r="J26" s="60">
        <v>1438.9873959859194</v>
      </c>
      <c r="K26" s="60">
        <v>72.577559908230967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786.35279549922348</v>
      </c>
      <c r="V26" s="62">
        <v>143.00960985390037</v>
      </c>
      <c r="W26" s="62">
        <v>53.98249408240703</v>
      </c>
      <c r="X26" s="62">
        <v>9.817495991432688</v>
      </c>
      <c r="Y26" s="66">
        <v>679.36018322621385</v>
      </c>
      <c r="Z26" s="66">
        <v>123.55145846690266</v>
      </c>
      <c r="AA26" s="67">
        <v>0</v>
      </c>
      <c r="AB26" s="68">
        <v>65.058271752464464</v>
      </c>
      <c r="AC26" s="69">
        <v>0</v>
      </c>
      <c r="AD26" s="69">
        <v>26.392122266027673</v>
      </c>
      <c r="AE26" s="68">
        <v>21.996468537638819</v>
      </c>
      <c r="AF26" s="68">
        <v>4.0003754062249399</v>
      </c>
      <c r="AG26" s="68">
        <v>0.84612072854446707</v>
      </c>
      <c r="AH26" s="69">
        <v>237.65081213315329</v>
      </c>
      <c r="AI26" s="69">
        <v>1077.341249084473</v>
      </c>
      <c r="AJ26" s="69">
        <v>3411.454364522298</v>
      </c>
      <c r="AK26" s="69">
        <v>572.3036041895549</v>
      </c>
      <c r="AL26" s="69">
        <v>2713.0683022816975</v>
      </c>
      <c r="AM26" s="69">
        <v>2503.4922730763751</v>
      </c>
      <c r="AN26" s="69">
        <v>650.39433536529555</v>
      </c>
      <c r="AO26" s="69">
        <v>3177.0647223154701</v>
      </c>
      <c r="AP26" s="69">
        <v>342.55927728017173</v>
      </c>
      <c r="AQ26" s="69">
        <v>940.93584969838469</v>
      </c>
    </row>
    <row r="27" spans="1:43" x14ac:dyDescent="0.25">
      <c r="A27" s="11">
        <v>42541</v>
      </c>
      <c r="B27" s="59"/>
      <c r="C27" s="60">
        <v>43.397151331106464</v>
      </c>
      <c r="D27" s="60">
        <v>559.55704313913975</v>
      </c>
      <c r="E27" s="60">
        <v>9.7890420009692516</v>
      </c>
      <c r="F27" s="60">
        <v>0</v>
      </c>
      <c r="G27" s="60">
        <v>1306.0622061411514</v>
      </c>
      <c r="H27" s="61">
        <v>30.756622622410557</v>
      </c>
      <c r="I27" s="59">
        <v>563.23160966237447</v>
      </c>
      <c r="J27" s="60">
        <v>1437.9227875391646</v>
      </c>
      <c r="K27" s="60">
        <v>72.235773793856353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783.45543520736226</v>
      </c>
      <c r="V27" s="62">
        <v>142.44232179303066</v>
      </c>
      <c r="W27" s="62">
        <v>58.381436235835821</v>
      </c>
      <c r="X27" s="62">
        <v>10.614499502250794</v>
      </c>
      <c r="Y27" s="62">
        <v>694.48958386648098</v>
      </c>
      <c r="Z27" s="62">
        <v>126.26718041828913</v>
      </c>
      <c r="AA27" s="72">
        <v>0</v>
      </c>
      <c r="AB27" s="69">
        <v>65.06050911479646</v>
      </c>
      <c r="AC27" s="69">
        <v>0</v>
      </c>
      <c r="AD27" s="69">
        <v>26.238875936137333</v>
      </c>
      <c r="AE27" s="69">
        <v>21.869421099706326</v>
      </c>
      <c r="AF27" s="69">
        <v>3.976143348711545</v>
      </c>
      <c r="AG27" s="69">
        <v>0.84615761220277996</v>
      </c>
      <c r="AH27" s="69">
        <v>255.96679997444153</v>
      </c>
      <c r="AI27" s="69">
        <v>1079.702527809143</v>
      </c>
      <c r="AJ27" s="69">
        <v>3356.8900765736894</v>
      </c>
      <c r="AK27" s="69">
        <v>558.84103959401455</v>
      </c>
      <c r="AL27" s="69">
        <v>2950.8926918029783</v>
      </c>
      <c r="AM27" s="69">
        <v>2474.5035424550374</v>
      </c>
      <c r="AN27" s="69">
        <v>649.39002103805547</v>
      </c>
      <c r="AO27" s="69">
        <v>3226.784739303589</v>
      </c>
      <c r="AP27" s="69">
        <v>320.18243926366171</v>
      </c>
      <c r="AQ27" s="69">
        <v>909.5551311175027</v>
      </c>
    </row>
    <row r="28" spans="1:43" x14ac:dyDescent="0.25">
      <c r="A28" s="11">
        <v>42542</v>
      </c>
      <c r="B28" s="59"/>
      <c r="C28" s="60">
        <v>42.013551543156296</v>
      </c>
      <c r="D28" s="60">
        <v>617.5380105654416</v>
      </c>
      <c r="E28" s="60">
        <v>9.590758991738161</v>
      </c>
      <c r="F28" s="60">
        <v>0</v>
      </c>
      <c r="G28" s="60">
        <v>2091.6767465591379</v>
      </c>
      <c r="H28" s="61">
        <v>30.019389271736241</v>
      </c>
      <c r="I28" s="59">
        <v>600.3139191945379</v>
      </c>
      <c r="J28" s="60">
        <v>1532.6144994099948</v>
      </c>
      <c r="K28" s="60">
        <v>77.204948933918914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787.39282967280144</v>
      </c>
      <c r="V28" s="62">
        <v>135.43710747794495</v>
      </c>
      <c r="W28" s="62">
        <v>56.771013246162745</v>
      </c>
      <c r="X28" s="62">
        <v>9.7650137680927056</v>
      </c>
      <c r="Y28" s="66">
        <v>706.54837274401871</v>
      </c>
      <c r="Z28" s="66">
        <v>121.53129199495459</v>
      </c>
      <c r="AA28" s="67">
        <v>0</v>
      </c>
      <c r="AB28" s="68">
        <v>69.517244476741425</v>
      </c>
      <c r="AC28" s="69">
        <v>0</v>
      </c>
      <c r="AD28" s="69">
        <v>26.485078251361834</v>
      </c>
      <c r="AE28" s="68">
        <v>22.275206590040675</v>
      </c>
      <c r="AF28" s="68">
        <v>3.8314922810288028</v>
      </c>
      <c r="AG28" s="68">
        <v>0.85323719785672603</v>
      </c>
      <c r="AH28" s="69">
        <v>240.03800854682922</v>
      </c>
      <c r="AI28" s="69">
        <v>1051.111353302002</v>
      </c>
      <c r="AJ28" s="69">
        <v>3406.2446187337246</v>
      </c>
      <c r="AK28" s="69">
        <v>563.61988271077473</v>
      </c>
      <c r="AL28" s="69">
        <v>3093.3646148681642</v>
      </c>
      <c r="AM28" s="69">
        <v>2517.8135354359947</v>
      </c>
      <c r="AN28" s="69">
        <v>641.91484063466373</v>
      </c>
      <c r="AO28" s="69">
        <v>3744.6443356831874</v>
      </c>
      <c r="AP28" s="69">
        <v>325.29808014233907</v>
      </c>
      <c r="AQ28" s="69">
        <v>978.79345493316646</v>
      </c>
    </row>
    <row r="29" spans="1:43" x14ac:dyDescent="0.25">
      <c r="A29" s="11">
        <v>42543</v>
      </c>
      <c r="B29" s="59"/>
      <c r="C29" s="60">
        <v>43.036232346296337</v>
      </c>
      <c r="D29" s="60">
        <v>638.01549819310344</v>
      </c>
      <c r="E29" s="60">
        <v>9.8722091744343441</v>
      </c>
      <c r="F29" s="60">
        <v>0</v>
      </c>
      <c r="G29" s="60">
        <v>2115.5139367421411</v>
      </c>
      <c r="H29" s="61">
        <v>30.804242885112821</v>
      </c>
      <c r="I29" s="59">
        <v>562.78202590942385</v>
      </c>
      <c r="J29" s="60">
        <v>1489.6789543151867</v>
      </c>
      <c r="K29" s="60">
        <v>74.828464933236475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813.333719539041</v>
      </c>
      <c r="V29" s="62">
        <v>141.44740283813883</v>
      </c>
      <c r="W29" s="62">
        <v>58.34395012540277</v>
      </c>
      <c r="X29" s="62">
        <v>10.146634792460477</v>
      </c>
      <c r="Y29" s="66">
        <v>727.49310380633824</v>
      </c>
      <c r="Z29" s="66">
        <v>126.5188048202195</v>
      </c>
      <c r="AA29" s="67">
        <v>0</v>
      </c>
      <c r="AB29" s="68">
        <v>70.37786567475986</v>
      </c>
      <c r="AC29" s="69">
        <v>0</v>
      </c>
      <c r="AD29" s="69">
        <v>26.976491447289789</v>
      </c>
      <c r="AE29" s="68">
        <v>22.7652729749556</v>
      </c>
      <c r="AF29" s="68">
        <v>3.9591236166056589</v>
      </c>
      <c r="AG29" s="68">
        <v>0.85185358243576481</v>
      </c>
      <c r="AH29" s="69">
        <v>228.47474037806194</v>
      </c>
      <c r="AI29" s="69">
        <v>1034.5243851979574</v>
      </c>
      <c r="AJ29" s="69">
        <v>3298.0873475392664</v>
      </c>
      <c r="AK29" s="69">
        <v>556.44795103073125</v>
      </c>
      <c r="AL29" s="69">
        <v>2920.6183565775555</v>
      </c>
      <c r="AM29" s="69">
        <v>2525.3474456787117</v>
      </c>
      <c r="AN29" s="69">
        <v>637.68341496785479</v>
      </c>
      <c r="AO29" s="69">
        <v>3396.4100618998209</v>
      </c>
      <c r="AP29" s="69">
        <v>319.66674321492508</v>
      </c>
      <c r="AQ29" s="69">
        <v>873.62006915410336</v>
      </c>
    </row>
    <row r="30" spans="1:43" x14ac:dyDescent="0.25">
      <c r="A30" s="11">
        <v>42544</v>
      </c>
      <c r="B30" s="59"/>
      <c r="C30" s="60">
        <v>44.41417485475521</v>
      </c>
      <c r="D30" s="60">
        <v>684.6370665550221</v>
      </c>
      <c r="E30" s="60">
        <v>10.185196018715665</v>
      </c>
      <c r="F30" s="60">
        <v>0</v>
      </c>
      <c r="G30" s="60">
        <v>2093.7561529795289</v>
      </c>
      <c r="H30" s="61">
        <v>31.583824176589761</v>
      </c>
      <c r="I30" s="59">
        <v>512.08184932867687</v>
      </c>
      <c r="J30" s="60">
        <v>1327.0995447794589</v>
      </c>
      <c r="K30" s="60">
        <v>69.286874707539894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782.01426847007519</v>
      </c>
      <c r="V30" s="62">
        <v>144.61541462182879</v>
      </c>
      <c r="W30" s="62">
        <v>56.212580440906457</v>
      </c>
      <c r="X30" s="62">
        <v>10.395213943255136</v>
      </c>
      <c r="Y30" s="66">
        <v>719.38312014313863</v>
      </c>
      <c r="Z30" s="66">
        <v>133.0332353078106</v>
      </c>
      <c r="AA30" s="67">
        <v>0</v>
      </c>
      <c r="AB30" s="68">
        <v>70.490536695056477</v>
      </c>
      <c r="AC30" s="69">
        <v>0</v>
      </c>
      <c r="AD30" s="69">
        <v>26.619670946068236</v>
      </c>
      <c r="AE30" s="68">
        <v>22.157254544180901</v>
      </c>
      <c r="AF30" s="68">
        <v>4.0974707009591338</v>
      </c>
      <c r="AG30" s="68">
        <v>0.84393397140129633</v>
      </c>
      <c r="AH30" s="69">
        <v>210.39201046625774</v>
      </c>
      <c r="AI30" s="69">
        <v>1038.1549249013265</v>
      </c>
      <c r="AJ30" s="69">
        <v>3311.2228730519614</v>
      </c>
      <c r="AK30" s="69">
        <v>549.2161065737406</v>
      </c>
      <c r="AL30" s="69">
        <v>3142.0166450500487</v>
      </c>
      <c r="AM30" s="69">
        <v>2459.942009989421</v>
      </c>
      <c r="AN30" s="69">
        <v>642.53419284820563</v>
      </c>
      <c r="AO30" s="69">
        <v>3251.7897150675453</v>
      </c>
      <c r="AP30" s="69">
        <v>311.7269422690074</v>
      </c>
      <c r="AQ30" s="69">
        <v>928.56595621109034</v>
      </c>
    </row>
    <row r="31" spans="1:43" x14ac:dyDescent="0.25">
      <c r="A31" s="11">
        <v>42545</v>
      </c>
      <c r="B31" s="59"/>
      <c r="C31" s="60">
        <v>45.857635488112379</v>
      </c>
      <c r="D31" s="60">
        <v>742.7219974835715</v>
      </c>
      <c r="E31" s="60">
        <v>10.622262937327223</v>
      </c>
      <c r="F31" s="60">
        <v>0</v>
      </c>
      <c r="G31" s="60">
        <v>2335.0696517944366</v>
      </c>
      <c r="H31" s="61">
        <v>33.098142584164989</v>
      </c>
      <c r="I31" s="59">
        <v>447.46594883600898</v>
      </c>
      <c r="J31" s="60">
        <v>1102.0445479710886</v>
      </c>
      <c r="K31" s="60">
        <v>60.005227510134269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725.62646566716967</v>
      </c>
      <c r="V31" s="62">
        <v>154.36547959955195</v>
      </c>
      <c r="W31" s="62">
        <v>52.191608387003789</v>
      </c>
      <c r="X31" s="62">
        <v>11.102933866013689</v>
      </c>
      <c r="Y31" s="66">
        <v>626.66830709388705</v>
      </c>
      <c r="Z31" s="66">
        <v>133.31370664029507</v>
      </c>
      <c r="AA31" s="67">
        <v>0</v>
      </c>
      <c r="AB31" s="68">
        <v>63.848311638831959</v>
      </c>
      <c r="AC31" s="69">
        <v>0</v>
      </c>
      <c r="AD31" s="69">
        <v>25.413603635629023</v>
      </c>
      <c r="AE31" s="68">
        <v>20.633653889687992</v>
      </c>
      <c r="AF31" s="68">
        <v>4.3894814057592546</v>
      </c>
      <c r="AG31" s="68">
        <v>0.82458307666354325</v>
      </c>
      <c r="AH31" s="69">
        <v>221.04747125307719</v>
      </c>
      <c r="AI31" s="69">
        <v>1042.1755759557091</v>
      </c>
      <c r="AJ31" s="69">
        <v>3300.6640841166177</v>
      </c>
      <c r="AK31" s="69">
        <v>547.83394880294793</v>
      </c>
      <c r="AL31" s="69">
        <v>3216.0953079223623</v>
      </c>
      <c r="AM31" s="69">
        <v>2475.5356740315756</v>
      </c>
      <c r="AN31" s="69">
        <v>658.51602363586426</v>
      </c>
      <c r="AO31" s="69">
        <v>3203.7439570109054</v>
      </c>
      <c r="AP31" s="69">
        <v>307.84785219828285</v>
      </c>
      <c r="AQ31" s="69">
        <v>903.69806149800604</v>
      </c>
    </row>
    <row r="32" spans="1:43" x14ac:dyDescent="0.25">
      <c r="A32" s="11">
        <v>42546</v>
      </c>
      <c r="B32" s="59"/>
      <c r="C32" s="60">
        <v>49.003295324245904</v>
      </c>
      <c r="D32" s="60">
        <v>789.54973258972177</v>
      </c>
      <c r="E32" s="60">
        <v>11.180620510876185</v>
      </c>
      <c r="F32" s="60">
        <v>0</v>
      </c>
      <c r="G32" s="60">
        <v>2658.8201899210685</v>
      </c>
      <c r="H32" s="61">
        <v>34.981592102845575</v>
      </c>
      <c r="I32" s="59">
        <v>439.5421744346624</v>
      </c>
      <c r="J32" s="60">
        <v>1107.7432132085162</v>
      </c>
      <c r="K32" s="60">
        <v>60.845879089832309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711.20565353638449</v>
      </c>
      <c r="V32" s="62">
        <v>163.24122663465045</v>
      </c>
      <c r="W32" s="62">
        <v>51.69620767221668</v>
      </c>
      <c r="X32" s="62">
        <v>11.865699197989505</v>
      </c>
      <c r="Y32" s="66">
        <v>623.8748467623426</v>
      </c>
      <c r="Z32" s="66">
        <v>143.19640844471894</v>
      </c>
      <c r="AA32" s="67">
        <v>0</v>
      </c>
      <c r="AB32" s="68">
        <v>63.091596950424488</v>
      </c>
      <c r="AC32" s="69">
        <v>0</v>
      </c>
      <c r="AD32" s="69">
        <v>25.392723263634533</v>
      </c>
      <c r="AE32" s="68">
        <v>20.333089744940501</v>
      </c>
      <c r="AF32" s="68">
        <v>4.6670024271210524</v>
      </c>
      <c r="AG32" s="68">
        <v>0.81332059118019639</v>
      </c>
      <c r="AH32" s="69">
        <v>226.00673675537109</v>
      </c>
      <c r="AI32" s="69">
        <v>1048.9593590418501</v>
      </c>
      <c r="AJ32" s="69">
        <v>3226.9151779174808</v>
      </c>
      <c r="AK32" s="69">
        <v>549.17814372380587</v>
      </c>
      <c r="AL32" s="69">
        <v>3350.6885405222579</v>
      </c>
      <c r="AM32" s="69">
        <v>2478.9069239298506</v>
      </c>
      <c r="AN32" s="69">
        <v>632.13428557713826</v>
      </c>
      <c r="AO32" s="69">
        <v>3088.9191230773918</v>
      </c>
      <c r="AP32" s="69">
        <v>307.0306237697601</v>
      </c>
      <c r="AQ32" s="69">
        <v>848.06176932652795</v>
      </c>
    </row>
    <row r="33" spans="1:43" x14ac:dyDescent="0.25">
      <c r="A33" s="11">
        <v>42547</v>
      </c>
      <c r="B33" s="59"/>
      <c r="C33" s="60">
        <v>51.502228764692859</v>
      </c>
      <c r="D33" s="60">
        <v>832.21744791666708</v>
      </c>
      <c r="E33" s="60">
        <v>11.489665836095837</v>
      </c>
      <c r="F33" s="60">
        <v>0</v>
      </c>
      <c r="G33" s="60">
        <v>2847.279357274379</v>
      </c>
      <c r="H33" s="61">
        <v>36.880881367127152</v>
      </c>
      <c r="I33" s="59">
        <v>433.62828416824379</v>
      </c>
      <c r="J33" s="60">
        <v>1092.6137646993016</v>
      </c>
      <c r="K33" s="60">
        <v>60.14626209735858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708.63905242925705</v>
      </c>
      <c r="V33" s="62">
        <v>173.68016376913596</v>
      </c>
      <c r="W33" s="62">
        <v>50.979782447219939</v>
      </c>
      <c r="X33" s="62">
        <v>12.494621816276473</v>
      </c>
      <c r="Y33" s="66">
        <v>610.13272143400786</v>
      </c>
      <c r="Z33" s="66">
        <v>149.53727234803478</v>
      </c>
      <c r="AA33" s="67">
        <v>0</v>
      </c>
      <c r="AB33" s="68">
        <v>63.248171830177732</v>
      </c>
      <c r="AC33" s="69">
        <v>0</v>
      </c>
      <c r="AD33" s="69">
        <v>25.393432034386532</v>
      </c>
      <c r="AE33" s="68">
        <v>20.077582824888907</v>
      </c>
      <c r="AF33" s="68">
        <v>4.9208096296149444</v>
      </c>
      <c r="AG33" s="68">
        <v>0.80315495732093034</v>
      </c>
      <c r="AH33" s="69">
        <v>221.18068628311158</v>
      </c>
      <c r="AI33" s="69">
        <v>1051.7624601999919</v>
      </c>
      <c r="AJ33" s="69">
        <v>3271.3851721445722</v>
      </c>
      <c r="AK33" s="69">
        <v>541.5579294840494</v>
      </c>
      <c r="AL33" s="69">
        <v>3409.6002465565998</v>
      </c>
      <c r="AM33" s="69">
        <v>2493.0288901011149</v>
      </c>
      <c r="AN33" s="69">
        <v>623.60598303476968</v>
      </c>
      <c r="AO33" s="69">
        <v>3079.3882111867269</v>
      </c>
      <c r="AP33" s="69">
        <v>306.81687208811445</v>
      </c>
      <c r="AQ33" s="69">
        <v>852.50314095815008</v>
      </c>
    </row>
    <row r="34" spans="1:43" x14ac:dyDescent="0.25">
      <c r="A34" s="11">
        <v>42548</v>
      </c>
      <c r="B34" s="59"/>
      <c r="C34" s="60">
        <v>54.624229192734049</v>
      </c>
      <c r="D34" s="60">
        <v>874.69518063863143</v>
      </c>
      <c r="E34" s="60">
        <v>12.352538357675103</v>
      </c>
      <c r="F34" s="60">
        <v>0</v>
      </c>
      <c r="G34" s="60">
        <v>2777.496681086232</v>
      </c>
      <c r="H34" s="61">
        <v>38.677420026063956</v>
      </c>
      <c r="I34" s="59">
        <v>455.25312957763612</v>
      </c>
      <c r="J34" s="60">
        <v>1146.8350158055623</v>
      </c>
      <c r="K34" s="60">
        <v>62.936570854981724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716.98614327405426</v>
      </c>
      <c r="V34" s="62">
        <v>178.11676344049161</v>
      </c>
      <c r="W34" s="62">
        <v>50.876330947905636</v>
      </c>
      <c r="X34" s="62">
        <v>12.638915673861945</v>
      </c>
      <c r="Y34" s="66">
        <v>610.1099987478791</v>
      </c>
      <c r="Z34" s="66">
        <v>151.56613463046702</v>
      </c>
      <c r="AA34" s="67">
        <v>0</v>
      </c>
      <c r="AB34" s="68">
        <v>63.419736311170709</v>
      </c>
      <c r="AC34" s="69">
        <v>0</v>
      </c>
      <c r="AD34" s="69">
        <v>25.243126142024959</v>
      </c>
      <c r="AE34" s="68">
        <v>19.930110797778937</v>
      </c>
      <c r="AF34" s="68">
        <v>4.9511233426360661</v>
      </c>
      <c r="AG34" s="68">
        <v>0.80100973630589023</v>
      </c>
      <c r="AH34" s="69">
        <v>215.17191135088603</v>
      </c>
      <c r="AI34" s="69">
        <v>1054.6188205718995</v>
      </c>
      <c r="AJ34" s="69">
        <v>3392.6899340311688</v>
      </c>
      <c r="AK34" s="69">
        <v>555.1916664441427</v>
      </c>
      <c r="AL34" s="69">
        <v>3494.3228094736737</v>
      </c>
      <c r="AM34" s="69">
        <v>2517.1934892018635</v>
      </c>
      <c r="AN34" s="69">
        <v>636.85161768595367</v>
      </c>
      <c r="AO34" s="69">
        <v>3206.3446538289395</v>
      </c>
      <c r="AP34" s="69">
        <v>316.15358681678771</v>
      </c>
      <c r="AQ34" s="69">
        <v>943.29226293563863</v>
      </c>
    </row>
    <row r="35" spans="1:43" x14ac:dyDescent="0.25">
      <c r="A35" s="11">
        <v>42549</v>
      </c>
      <c r="B35" s="59"/>
      <c r="C35" s="60">
        <v>55.050536215305449</v>
      </c>
      <c r="D35" s="60">
        <v>919.6443307876574</v>
      </c>
      <c r="E35" s="60">
        <v>12.499315895140155</v>
      </c>
      <c r="F35" s="60">
        <v>0</v>
      </c>
      <c r="G35" s="60">
        <v>2950.6120928446467</v>
      </c>
      <c r="H35" s="61">
        <v>39.3522636989753</v>
      </c>
      <c r="I35" s="59">
        <v>469.94893724918359</v>
      </c>
      <c r="J35" s="60">
        <v>1167.9512496948241</v>
      </c>
      <c r="K35" s="60">
        <v>64.040863430500039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782.78589010012024</v>
      </c>
      <c r="V35" s="62">
        <v>180.01706989303216</v>
      </c>
      <c r="W35" s="62">
        <v>53.836658858514696</v>
      </c>
      <c r="X35" s="62">
        <v>12.380802596353647</v>
      </c>
      <c r="Y35" s="66">
        <v>650.02515624498972</v>
      </c>
      <c r="Z35" s="66">
        <v>149.48611806098967</v>
      </c>
      <c r="AA35" s="67">
        <v>0</v>
      </c>
      <c r="AB35" s="68">
        <v>66.615844753053025</v>
      </c>
      <c r="AC35" s="69">
        <v>0</v>
      </c>
      <c r="AD35" s="69">
        <v>26.44044884178377</v>
      </c>
      <c r="AE35" s="68">
        <v>21.19881514222951</v>
      </c>
      <c r="AF35" s="68">
        <v>4.8750860680691392</v>
      </c>
      <c r="AG35" s="68">
        <v>0.81302812997758911</v>
      </c>
      <c r="AH35" s="69">
        <v>210.4434814453125</v>
      </c>
      <c r="AI35" s="69">
        <v>1039.8610870361329</v>
      </c>
      <c r="AJ35" s="69">
        <v>3386.8005504608159</v>
      </c>
      <c r="AK35" s="69">
        <v>555.78952824274711</v>
      </c>
      <c r="AL35" s="69">
        <v>3337.7828184763589</v>
      </c>
      <c r="AM35" s="69">
        <v>2553.011803309123</v>
      </c>
      <c r="AN35" s="69">
        <v>644.7205712954202</v>
      </c>
      <c r="AO35" s="69">
        <v>3469.1886187235514</v>
      </c>
      <c r="AP35" s="69">
        <v>320.61504381497696</v>
      </c>
      <c r="AQ35" s="69">
        <v>945.90370082855247</v>
      </c>
    </row>
    <row r="36" spans="1:43" x14ac:dyDescent="0.25">
      <c r="A36" s="11">
        <v>42550</v>
      </c>
      <c r="B36" s="59"/>
      <c r="C36" s="60">
        <v>57.3064103921255</v>
      </c>
      <c r="D36" s="60">
        <v>950.24640954335393</v>
      </c>
      <c r="E36" s="60">
        <v>12.878440555930126</v>
      </c>
      <c r="F36" s="60">
        <v>0</v>
      </c>
      <c r="G36" s="60">
        <v>3024.9691590626921</v>
      </c>
      <c r="H36" s="61">
        <v>40.470728892088019</v>
      </c>
      <c r="I36" s="59">
        <v>431.81552248001037</v>
      </c>
      <c r="J36" s="60">
        <v>1004.2633510589594</v>
      </c>
      <c r="K36" s="60">
        <v>55.232346896330561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732.36456755155268</v>
      </c>
      <c r="V36" s="62">
        <v>202.13844385524374</v>
      </c>
      <c r="W36" s="62">
        <v>51.136169527942421</v>
      </c>
      <c r="X36" s="62">
        <v>14.113989385987875</v>
      </c>
      <c r="Y36" s="66">
        <v>617.63882617961326</v>
      </c>
      <c r="Z36" s="66">
        <v>170.47322702396858</v>
      </c>
      <c r="AA36" s="67">
        <v>0</v>
      </c>
      <c r="AB36" s="68">
        <v>61.910067971546098</v>
      </c>
      <c r="AC36" s="69">
        <v>0</v>
      </c>
      <c r="AD36" s="69">
        <v>25.293099190129197</v>
      </c>
      <c r="AE36" s="68">
        <v>19.543171528690625</v>
      </c>
      <c r="AF36" s="68">
        <v>5.3940707344877774</v>
      </c>
      <c r="AG36" s="68">
        <v>0.78369417606162073</v>
      </c>
      <c r="AH36" s="69">
        <v>209.75429759025573</v>
      </c>
      <c r="AI36" s="69">
        <v>1012.4292085011801</v>
      </c>
      <c r="AJ36" s="69">
        <v>3337.3576494852705</v>
      </c>
      <c r="AK36" s="69">
        <v>547.17280867894488</v>
      </c>
      <c r="AL36" s="69">
        <v>3195.8822190602614</v>
      </c>
      <c r="AM36" s="69">
        <v>2531.6911107381184</v>
      </c>
      <c r="AN36" s="69">
        <v>625.23699488639829</v>
      </c>
      <c r="AO36" s="69">
        <v>3367.6117782592773</v>
      </c>
      <c r="AP36" s="69">
        <v>309.10541110038753</v>
      </c>
      <c r="AQ36" s="69">
        <v>871.13945182164491</v>
      </c>
    </row>
    <row r="37" spans="1:43" x14ac:dyDescent="0.25">
      <c r="A37" s="11">
        <v>42551</v>
      </c>
      <c r="B37" s="59"/>
      <c r="C37" s="60">
        <v>60.328895906607492</v>
      </c>
      <c r="D37" s="60">
        <v>996.18286062876427</v>
      </c>
      <c r="E37" s="60">
        <v>13.634856380025544</v>
      </c>
      <c r="F37" s="60">
        <v>0</v>
      </c>
      <c r="G37" s="60">
        <v>3424.8922409057564</v>
      </c>
      <c r="H37" s="61">
        <v>42.481560295820259</v>
      </c>
      <c r="I37" s="59">
        <v>403.72125431696583</v>
      </c>
      <c r="J37" s="60">
        <v>899.16528352101818</v>
      </c>
      <c r="K37" s="60">
        <v>45.651638950904271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696.41281921086045</v>
      </c>
      <c r="V37" s="62">
        <v>204.41161447613689</v>
      </c>
      <c r="W37" s="62">
        <v>49.041344521679378</v>
      </c>
      <c r="X37" s="62">
        <v>14.39465232865231</v>
      </c>
      <c r="Y37" s="66">
        <v>585.26149144075987</v>
      </c>
      <c r="Z37" s="66">
        <v>171.78639315066158</v>
      </c>
      <c r="AA37" s="67">
        <v>0</v>
      </c>
      <c r="AB37" s="68">
        <v>62.094921318688492</v>
      </c>
      <c r="AC37" s="69">
        <v>0</v>
      </c>
      <c r="AD37" s="69">
        <v>24.718832001421202</v>
      </c>
      <c r="AE37" s="68">
        <v>18.825935420840644</v>
      </c>
      <c r="AF37" s="68">
        <v>5.5258027239621432</v>
      </c>
      <c r="AG37" s="68">
        <v>0.77308384760446869</v>
      </c>
      <c r="AH37" s="69">
        <v>199.24261881510415</v>
      </c>
      <c r="AI37" s="69">
        <v>1005.2216665903726</v>
      </c>
      <c r="AJ37" s="69">
        <v>3298.6448777516684</v>
      </c>
      <c r="AK37" s="69">
        <v>543.41316024462378</v>
      </c>
      <c r="AL37" s="69">
        <v>3616.6768988291424</v>
      </c>
      <c r="AM37" s="69">
        <v>2525.9905014038086</v>
      </c>
      <c r="AN37" s="69">
        <v>607.94625342686982</v>
      </c>
      <c r="AO37" s="69">
        <v>3284.8733205159501</v>
      </c>
      <c r="AP37" s="69">
        <v>302.96827971140544</v>
      </c>
      <c r="AQ37" s="69">
        <v>899.91475985844943</v>
      </c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848.23955988089267</v>
      </c>
      <c r="D39" s="30">
        <f t="shared" si="0"/>
        <v>10834.320578048626</v>
      </c>
      <c r="E39" s="30">
        <f t="shared" si="0"/>
        <v>217.30182343373698</v>
      </c>
      <c r="F39" s="30">
        <f t="shared" si="0"/>
        <v>0</v>
      </c>
      <c r="G39" s="30">
        <f t="shared" si="0"/>
        <v>36259.933512496944</v>
      </c>
      <c r="H39" s="31">
        <f t="shared" si="0"/>
        <v>558.7434096713871</v>
      </c>
      <c r="I39" s="29">
        <f t="shared" si="0"/>
        <v>15237.940404315788</v>
      </c>
      <c r="J39" s="30">
        <f t="shared" si="0"/>
        <v>39863.613626098639</v>
      </c>
      <c r="K39" s="30">
        <f t="shared" si="0"/>
        <v>2038.315818883975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22550.305189361832</v>
      </c>
      <c r="V39" s="262">
        <f t="shared" si="0"/>
        <v>2507.5604580284216</v>
      </c>
      <c r="W39" s="262">
        <f t="shared" si="0"/>
        <v>1604.4455908131497</v>
      </c>
      <c r="X39" s="262">
        <f t="shared" si="0"/>
        <v>178.44135412172636</v>
      </c>
      <c r="Y39" s="262">
        <f t="shared" si="0"/>
        <v>19407.442015949517</v>
      </c>
      <c r="Z39" s="262">
        <f t="shared" si="0"/>
        <v>2170.854361938731</v>
      </c>
      <c r="AA39" s="270">
        <f t="shared" si="0"/>
        <v>0</v>
      </c>
      <c r="AB39" s="273">
        <f t="shared" si="0"/>
        <v>1818.5900726728989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159</v>
      </c>
      <c r="AH39" s="273">
        <f t="shared" ref="AH39:AQ39" si="1">SUM(AH8:AH38)</f>
        <v>6599.832016309103</v>
      </c>
      <c r="AI39" s="273">
        <f t="shared" si="1"/>
        <v>24063.391249831522</v>
      </c>
      <c r="AJ39" s="273">
        <f t="shared" si="1"/>
        <v>80527.188080533335</v>
      </c>
      <c r="AK39" s="273">
        <f t="shared" si="1"/>
        <v>18152.522819693888</v>
      </c>
      <c r="AL39" s="273">
        <f t="shared" si="1"/>
        <v>69867.447041384381</v>
      </c>
      <c r="AM39" s="273">
        <f t="shared" si="1"/>
        <v>68210.407326507557</v>
      </c>
      <c r="AN39" s="273">
        <f t="shared" si="1"/>
        <v>17974.477600574493</v>
      </c>
      <c r="AO39" s="273">
        <f t="shared" si="1"/>
        <v>88418.313240814212</v>
      </c>
      <c r="AP39" s="273">
        <f t="shared" si="1"/>
        <v>10177.805111821493</v>
      </c>
      <c r="AQ39" s="273">
        <f t="shared" si="1"/>
        <v>26147.602496655778</v>
      </c>
    </row>
    <row r="40" spans="1:43" ht="15.75" thickBot="1" x14ac:dyDescent="0.3">
      <c r="A40" s="47" t="s">
        <v>174</v>
      </c>
      <c r="B40" s="32">
        <f>Projection!$AB$30</f>
        <v>0.80583665399999982</v>
      </c>
      <c r="C40" s="33">
        <f>Projection!$AB$28</f>
        <v>1.3221902399999999</v>
      </c>
      <c r="D40" s="33">
        <f>Projection!$AB$31</f>
        <v>2.1962556000000002</v>
      </c>
      <c r="E40" s="33">
        <f>Projection!$AB$26</f>
        <v>4.3368000000000002</v>
      </c>
      <c r="F40" s="33">
        <f>Projection!$AB$23</f>
        <v>0</v>
      </c>
      <c r="G40" s="33">
        <f>Projection!$AB$24</f>
        <v>5.2499999999999998E-2</v>
      </c>
      <c r="H40" s="34">
        <f>Projection!$AB$29</f>
        <v>3.6159737999999999</v>
      </c>
      <c r="I40" s="32">
        <f>Projection!$AB$30</f>
        <v>0.80583665399999982</v>
      </c>
      <c r="J40" s="33">
        <f>Projection!$AB$28</f>
        <v>1.3221902399999999</v>
      </c>
      <c r="K40" s="33">
        <f>Projection!$AB$26</f>
        <v>4.3368000000000002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1.3221902399999999</v>
      </c>
      <c r="T40" s="38">
        <f>Projection!$AB$28</f>
        <v>1.3221902399999999</v>
      </c>
      <c r="U40" s="26">
        <f>Projection!$AB$27</f>
        <v>0.25650000000000001</v>
      </c>
      <c r="V40" s="27">
        <f>Projection!$AB$27</f>
        <v>0.25650000000000001</v>
      </c>
      <c r="W40" s="27">
        <f>Projection!$AB$22</f>
        <v>1.625</v>
      </c>
      <c r="X40" s="27">
        <f>Projection!$AB$22</f>
        <v>1.625</v>
      </c>
      <c r="Y40" s="27">
        <f>Projection!$AB$31</f>
        <v>2.1962556000000002</v>
      </c>
      <c r="Z40" s="27">
        <f>Projection!$AB$31</f>
        <v>2.1962556000000002</v>
      </c>
      <c r="AA40" s="28">
        <v>0</v>
      </c>
      <c r="AB40" s="41">
        <f>Projection!$AB$27</f>
        <v>0.25650000000000001</v>
      </c>
      <c r="AC40" s="41">
        <f>Projection!$AB$30</f>
        <v>0.80583665399999982</v>
      </c>
      <c r="AD40" s="277">
        <f>SUM(AD8:AD38)</f>
        <v>702.9456189033059</v>
      </c>
      <c r="AE40" s="277">
        <f>SUM(AE8:AE38)</f>
        <v>623.98447537888649</v>
      </c>
      <c r="AF40" s="277">
        <f>SUM(AF8:AF38)</f>
        <v>69.671593310871401</v>
      </c>
      <c r="AG40" s="277">
        <f>IF(SUM(AE40:AF40)&gt;0, AE40/(AE40+AF40), "")</f>
        <v>0.89955887873586471</v>
      </c>
      <c r="AH40" s="313">
        <v>6.8000000000000005E-2</v>
      </c>
      <c r="AI40" s="313">
        <f t="shared" ref="AI40:AQ40" si="2">$AH$40</f>
        <v>6.8000000000000005E-2</v>
      </c>
      <c r="AJ40" s="313">
        <f t="shared" si="2"/>
        <v>6.8000000000000005E-2</v>
      </c>
      <c r="AK40" s="313">
        <f t="shared" si="2"/>
        <v>6.8000000000000005E-2</v>
      </c>
      <c r="AL40" s="313">
        <f t="shared" si="2"/>
        <v>6.8000000000000005E-2</v>
      </c>
      <c r="AM40" s="313">
        <f t="shared" si="2"/>
        <v>6.8000000000000005E-2</v>
      </c>
      <c r="AN40" s="313">
        <f t="shared" si="2"/>
        <v>6.8000000000000005E-2</v>
      </c>
      <c r="AO40" s="313">
        <f t="shared" si="2"/>
        <v>6.8000000000000005E-2</v>
      </c>
      <c r="AP40" s="313">
        <f t="shared" si="2"/>
        <v>6.8000000000000005E-2</v>
      </c>
      <c r="AQ40" s="313">
        <f t="shared" si="2"/>
        <v>6.8000000000000005E-2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1121.5340672564116</v>
      </c>
      <c r="D41" s="36">
        <f t="shared" si="3"/>
        <v>23794.937241734533</v>
      </c>
      <c r="E41" s="36">
        <f t="shared" si="3"/>
        <v>942.39454786743056</v>
      </c>
      <c r="F41" s="36">
        <f t="shared" si="3"/>
        <v>0</v>
      </c>
      <c r="G41" s="36">
        <f t="shared" si="3"/>
        <v>1903.6465094060895</v>
      </c>
      <c r="H41" s="37">
        <f t="shared" si="3"/>
        <v>2020.4015302944024</v>
      </c>
      <c r="I41" s="35">
        <f t="shared" si="3"/>
        <v>12279.290909265239</v>
      </c>
      <c r="J41" s="36">
        <f t="shared" si="3"/>
        <v>52707.28086755862</v>
      </c>
      <c r="K41" s="36">
        <f t="shared" si="3"/>
        <v>8839.7680433360238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5784.1532810713097</v>
      </c>
      <c r="V41" s="268">
        <f t="shared" si="3"/>
        <v>643.18925748429012</v>
      </c>
      <c r="W41" s="268">
        <f t="shared" si="3"/>
        <v>2607.2240850713683</v>
      </c>
      <c r="X41" s="268">
        <f t="shared" si="3"/>
        <v>289.96720044780534</v>
      </c>
      <c r="Y41" s="268">
        <f t="shared" si="3"/>
        <v>42623.703209204417</v>
      </c>
      <c r="Z41" s="268">
        <f t="shared" si="3"/>
        <v>4767.7510491923649</v>
      </c>
      <c r="AA41" s="272">
        <f t="shared" si="3"/>
        <v>0</v>
      </c>
      <c r="AB41" s="275">
        <f t="shared" si="3"/>
        <v>466.46835364059859</v>
      </c>
      <c r="AC41" s="275">
        <f t="shared" si="3"/>
        <v>0</v>
      </c>
      <c r="AH41" s="278">
        <f t="shared" ref="AH41:AQ41" si="4">AH40*AH39</f>
        <v>448.78857710901906</v>
      </c>
      <c r="AI41" s="278">
        <f t="shared" si="4"/>
        <v>1636.3106049885437</v>
      </c>
      <c r="AJ41" s="278">
        <f t="shared" si="4"/>
        <v>5475.8487894762675</v>
      </c>
      <c r="AK41" s="278">
        <f t="shared" si="4"/>
        <v>1234.3715517391845</v>
      </c>
      <c r="AL41" s="278">
        <f t="shared" si="4"/>
        <v>4750.9863988141378</v>
      </c>
      <c r="AM41" s="278">
        <f t="shared" si="4"/>
        <v>4638.3076982025141</v>
      </c>
      <c r="AN41" s="278">
        <f t="shared" si="4"/>
        <v>1222.2644768390655</v>
      </c>
      <c r="AO41" s="278">
        <f t="shared" si="4"/>
        <v>6012.445300375367</v>
      </c>
      <c r="AP41" s="278">
        <f t="shared" si="4"/>
        <v>692.09074760386159</v>
      </c>
      <c r="AQ41" s="278">
        <f t="shared" si="4"/>
        <v>1778.036969772593</v>
      </c>
    </row>
    <row r="42" spans="1:43" ht="49.5" customHeight="1" thickTop="1" thickBot="1" x14ac:dyDescent="0.3">
      <c r="A42" s="576" t="s">
        <v>228</v>
      </c>
      <c r="B42" s="577"/>
      <c r="C42" s="577"/>
      <c r="D42" s="577"/>
      <c r="E42" s="577"/>
      <c r="F42" s="577"/>
      <c r="G42" s="577"/>
      <c r="H42" s="577"/>
      <c r="I42" s="577"/>
      <c r="J42" s="577"/>
      <c r="K42" s="57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6" t="s">
        <v>186</v>
      </c>
      <c r="AH42" s="295">
        <v>236.33</v>
      </c>
      <c r="AI42" s="278" t="s">
        <v>199</v>
      </c>
      <c r="AJ42" s="278">
        <v>253.91</v>
      </c>
      <c r="AK42" s="278">
        <v>197.51</v>
      </c>
      <c r="AL42" s="278">
        <v>148</v>
      </c>
      <c r="AM42" s="278">
        <v>2143.54</v>
      </c>
      <c r="AN42" s="278">
        <v>190.61</v>
      </c>
      <c r="AO42" s="278" t="s">
        <v>199</v>
      </c>
      <c r="AP42" s="278">
        <v>45.33</v>
      </c>
      <c r="AQ42" s="278">
        <v>152.05000000000001</v>
      </c>
    </row>
    <row r="43" spans="1:43" ht="38.25" customHeight="1" thickTop="1" thickBot="1" x14ac:dyDescent="0.3">
      <c r="A43" s="608" t="s">
        <v>49</v>
      </c>
      <c r="B43" s="605"/>
      <c r="C43" s="289"/>
      <c r="D43" s="605" t="s">
        <v>47</v>
      </c>
      <c r="E43" s="605"/>
      <c r="F43" s="289"/>
      <c r="G43" s="605" t="s">
        <v>48</v>
      </c>
      <c r="H43" s="605"/>
      <c r="I43" s="290"/>
      <c r="J43" s="605" t="s">
        <v>50</v>
      </c>
      <c r="K43" s="578"/>
      <c r="L43" s="44"/>
      <c r="M43" s="44"/>
      <c r="N43" s="44"/>
      <c r="O43" s="45"/>
      <c r="P43" s="45"/>
      <c r="Q43" s="45"/>
      <c r="R43" s="568" t="s">
        <v>168</v>
      </c>
      <c r="S43" s="569"/>
      <c r="T43" s="569"/>
      <c r="U43" s="570"/>
      <c r="AC43" s="45"/>
    </row>
    <row r="44" spans="1:43" ht="24.75" thickTop="1" thickBot="1" x14ac:dyDescent="0.3">
      <c r="A44" s="282" t="s">
        <v>135</v>
      </c>
      <c r="B44" s="283">
        <f>SUM(B41:AC41)</f>
        <v>160791.71015283093</v>
      </c>
      <c r="C44" s="12"/>
      <c r="D44" s="282" t="s">
        <v>135</v>
      </c>
      <c r="E44" s="283">
        <f>SUM(B41:H41)+P41+R41+T41+V41+X41+Z41</f>
        <v>35483.821403683331</v>
      </c>
      <c r="F44" s="12"/>
      <c r="G44" s="282" t="s">
        <v>135</v>
      </c>
      <c r="H44" s="283">
        <f>SUM(I41:N41)+O41+Q41+S41+U41+W41+Y41</f>
        <v>124841.42039550698</v>
      </c>
      <c r="I44" s="12"/>
      <c r="J44" s="282" t="s">
        <v>200</v>
      </c>
      <c r="K44" s="283">
        <v>121931.58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3" ht="24" thickBot="1" x14ac:dyDescent="0.4">
      <c r="A45" s="284" t="s">
        <v>185</v>
      </c>
      <c r="B45" s="285">
        <f>SUM(AH41:AQ41)</f>
        <v>27889.451114920561</v>
      </c>
      <c r="C45" s="12"/>
      <c r="D45" s="284" t="s">
        <v>185</v>
      </c>
      <c r="E45" s="285">
        <f>AH41*(1-$AG$40)+AI41+AJ41*0.5+AL41+AM41*(1-$AG$40)+AN41*(1-$AG$40)+AO41*(1-$AG$40)+AP41*0.5+AQ41*0.5</f>
        <v>11597.901273143962</v>
      </c>
      <c r="F45" s="24"/>
      <c r="G45" s="284" t="s">
        <v>185</v>
      </c>
      <c r="H45" s="285">
        <f>AH41*AG40+AJ41*0.5+AK41+AM41*AG40+AN41*AG40+AO41*AG40+AP41*0.5+AQ41*0.5</f>
        <v>16291.549841776596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1782.8869449348761</v>
      </c>
      <c r="U45" s="256">
        <f>(T45*8.34*0.895)/27000</f>
        <v>0.49288900085471837</v>
      </c>
    </row>
    <row r="46" spans="1:43" ht="32.25" thickBot="1" x14ac:dyDescent="0.3">
      <c r="A46" s="286" t="s">
        <v>186</v>
      </c>
      <c r="B46" s="287">
        <f>SUM(AH42:AQ42)</f>
        <v>3367.28</v>
      </c>
      <c r="C46" s="12"/>
      <c r="D46" s="286" t="s">
        <v>186</v>
      </c>
      <c r="E46" s="287">
        <f>AH42*(1-$AG$40)+AJ42*0.5+AL42+AM42*(1-$AG$40)+AN42*(1-$AG$40)+AP42*0.5+AQ42*0.5</f>
        <v>631.82689338703449</v>
      </c>
      <c r="F46" s="23"/>
      <c r="G46" s="286" t="s">
        <v>186</v>
      </c>
      <c r="H46" s="287">
        <f>AH42*AG40+AJ42*0.5+AK42+AM42*AG40+AN42*AG40+AP42*0.5+AQ42*0.5</f>
        <v>2735.4531066129657</v>
      </c>
      <c r="I46" s="12"/>
      <c r="J46" s="606" t="s">
        <v>201</v>
      </c>
      <c r="K46" s="607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3" ht="24.75" thickTop="1" thickBot="1" x14ac:dyDescent="0.4">
      <c r="A47" s="286" t="s">
        <v>187</v>
      </c>
      <c r="B47" s="287">
        <f>K44</f>
        <v>121931.58</v>
      </c>
      <c r="C47" s="12"/>
      <c r="D47" s="286" t="s">
        <v>189</v>
      </c>
      <c r="E47" s="287">
        <f>K44*0.5</f>
        <v>60965.79</v>
      </c>
      <c r="F47" s="24"/>
      <c r="G47" s="286" t="s">
        <v>187</v>
      </c>
      <c r="H47" s="287">
        <f>K44*0.5</f>
        <v>60965.79</v>
      </c>
      <c r="I47" s="12"/>
      <c r="J47" s="282" t="s">
        <v>200</v>
      </c>
      <c r="K47" s="283">
        <v>67118.89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36259.933512496944</v>
      </c>
      <c r="U47" s="256">
        <f>T47/40000</f>
        <v>0.90649833781242362</v>
      </c>
    </row>
    <row r="48" spans="1:43" ht="24" thickBot="1" x14ac:dyDescent="0.3">
      <c r="A48" s="286" t="s">
        <v>188</v>
      </c>
      <c r="B48" s="287">
        <f>K47</f>
        <v>67118.89</v>
      </c>
      <c r="C48" s="12"/>
      <c r="D48" s="286" t="s">
        <v>188</v>
      </c>
      <c r="E48" s="287">
        <f>K47*0.5</f>
        <v>33559.445</v>
      </c>
      <c r="F48" s="23"/>
      <c r="G48" s="286" t="s">
        <v>188</v>
      </c>
      <c r="H48" s="287">
        <f>K47*0.5</f>
        <v>33559.445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196</v>
      </c>
      <c r="B49" s="292">
        <f>AD40</f>
        <v>702.9456189033059</v>
      </c>
      <c r="C49" s="12"/>
      <c r="D49" s="291" t="s">
        <v>197</v>
      </c>
      <c r="E49" s="292">
        <f>AF40</f>
        <v>69.671593310871401</v>
      </c>
      <c r="F49" s="379">
        <f>E44/E49</f>
        <v>509.30113289294496</v>
      </c>
      <c r="G49" s="291" t="s">
        <v>198</v>
      </c>
      <c r="H49" s="292">
        <f>AE40</f>
        <v>623.98447537888649</v>
      </c>
      <c r="I49" s="378">
        <f>H44/H49</f>
        <v>200.0713564543455</v>
      </c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2255.6176423177121</v>
      </c>
      <c r="U49" s="256">
        <f>(T49*8.34*1.04)/45000</f>
        <v>0.43476278183126466</v>
      </c>
    </row>
    <row r="50" spans="1:25" ht="48" thickTop="1" thickBot="1" x14ac:dyDescent="0.3">
      <c r="A50" s="291" t="s">
        <v>192</v>
      </c>
      <c r="B50" s="293">
        <f>(SUM(B44:B48)/AD40)</f>
        <v>542.14565255036291</v>
      </c>
      <c r="C50" s="12"/>
      <c r="D50" s="291" t="s">
        <v>190</v>
      </c>
      <c r="E50" s="293">
        <f>SUM(E44:E48)/AF40</f>
        <v>2041.560667854279</v>
      </c>
      <c r="F50" s="23"/>
      <c r="G50" s="291" t="s">
        <v>191</v>
      </c>
      <c r="H50" s="293">
        <f>SUM(H44:H48)/AE40</f>
        <v>382.05062425494276</v>
      </c>
      <c r="I50" s="12"/>
      <c r="J50" s="12"/>
      <c r="K50" s="86"/>
      <c r="L50" s="12"/>
      <c r="M50" s="12"/>
      <c r="N50" s="12"/>
      <c r="O50" s="12"/>
      <c r="P50" s="12"/>
      <c r="Q50" s="12"/>
      <c r="R50" s="318" t="s">
        <v>153</v>
      </c>
      <c r="S50" s="319"/>
      <c r="T50" s="254">
        <f>$U$39+$V$39+$AB$39</f>
        <v>26876.45572006315</v>
      </c>
      <c r="U50" s="256">
        <f>T50/2000/8</f>
        <v>1.6797784825039468</v>
      </c>
    </row>
    <row r="51" spans="1:25" ht="47.25" customHeight="1" thickTop="1" thickBot="1" x14ac:dyDescent="0.3">
      <c r="A51" s="281" t="s">
        <v>193</v>
      </c>
      <c r="B51" s="294">
        <f>B50/1000</f>
        <v>0.54214565255036296</v>
      </c>
      <c r="C51" s="12"/>
      <c r="D51" s="281" t="s">
        <v>194</v>
      </c>
      <c r="E51" s="294">
        <f>E50/1000</f>
        <v>2.041560667854279</v>
      </c>
      <c r="F51" s="12"/>
      <c r="G51" s="281" t="s">
        <v>195</v>
      </c>
      <c r="H51" s="294">
        <f>H50/1000</f>
        <v>0.38205062425494274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154</v>
      </c>
      <c r="S51" s="319"/>
      <c r="T51" s="254">
        <f>$C$39+$J$39+$S$39+$T$39</f>
        <v>40711.853185979533</v>
      </c>
      <c r="U51" s="256">
        <f>(T51*8.34*1.4)/45000</f>
        <v>10.563368839988822</v>
      </c>
    </row>
    <row r="52" spans="1:25" ht="16.5" thickTop="1" thickBot="1" x14ac:dyDescent="0.3">
      <c r="A52" s="303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155</v>
      </c>
      <c r="S52" s="319"/>
      <c r="T52" s="254">
        <f>$H$39</f>
        <v>558.7434096713871</v>
      </c>
      <c r="U52" s="256">
        <f>(T52*8.34*1.135)/45000</f>
        <v>0.11753353870240853</v>
      </c>
    </row>
    <row r="53" spans="1:25" ht="48" customHeight="1" thickTop="1" thickBot="1" x14ac:dyDescent="0.3">
      <c r="A53" s="571" t="s">
        <v>51</v>
      </c>
      <c r="B53" s="572"/>
      <c r="C53" s="572"/>
      <c r="D53" s="572"/>
      <c r="E53" s="573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156</v>
      </c>
      <c r="S53" s="319"/>
      <c r="T53" s="254">
        <f>$B$39+$I$39+$AC$39</f>
        <v>15237.940404315788</v>
      </c>
      <c r="U53" s="256">
        <f>(T53*8.34*1.029*0.03)/3300</f>
        <v>1.1888170112561951</v>
      </c>
    </row>
    <row r="54" spans="1:25" ht="54" customHeight="1" thickBot="1" x14ac:dyDescent="0.3">
      <c r="A54" s="602" t="s">
        <v>202</v>
      </c>
      <c r="B54" s="603"/>
      <c r="C54" s="603"/>
      <c r="D54" s="603"/>
      <c r="E54" s="60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65" t="s">
        <v>158</v>
      </c>
      <c r="S54" s="566"/>
      <c r="T54" s="258">
        <f>$D$39+$Y$39+$Z$39</f>
        <v>32412.616955936875</v>
      </c>
      <c r="U54" s="259">
        <f>(T54*1.54*8.34)/45000</f>
        <v>9.2509930474504642</v>
      </c>
    </row>
    <row r="55" spans="1:25" ht="24" thickTop="1" x14ac:dyDescent="0.25">
      <c r="A55" s="611"/>
      <c r="B55" s="6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613"/>
      <c r="B56" s="61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09"/>
      <c r="B57" s="61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10"/>
      <c r="B58" s="61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09"/>
      <c r="B59" s="61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10"/>
      <c r="B60" s="610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</sheetData>
  <sheetProtection selectLockedCells="1" selectUnlockedCells="1"/>
  <mergeCells count="34"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6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2"/>
  <sheetViews>
    <sheetView zoomScale="80" zoomScaleNormal="80" workbookViewId="0">
      <selection activeCell="AH39" sqref="AH39:AQ39"/>
    </sheetView>
  </sheetViews>
  <sheetFormatPr defaultRowHeight="15" x14ac:dyDescent="0.25"/>
  <cols>
    <col min="1" max="1" width="35.28515625" bestFit="1" customWidth="1"/>
    <col min="2" max="2" width="26.5703125" bestFit="1" customWidth="1"/>
    <col min="3" max="3" width="27.85546875" bestFit="1" customWidth="1"/>
    <col min="4" max="4" width="29.5703125" customWidth="1"/>
    <col min="5" max="5" width="24.28515625" bestFit="1" customWidth="1"/>
    <col min="6" max="6" width="15.140625" bestFit="1" customWidth="1"/>
    <col min="7" max="7" width="35.5703125" customWidth="1"/>
    <col min="8" max="8" width="19.7109375" bestFit="1" customWidth="1"/>
    <col min="9" max="10" width="25.42578125" bestFit="1" customWidth="1"/>
    <col min="11" max="11" width="22.57031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8554687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81" t="s">
        <v>3</v>
      </c>
      <c r="C4" s="582"/>
      <c r="D4" s="582"/>
      <c r="E4" s="582"/>
      <c r="F4" s="582"/>
      <c r="G4" s="582"/>
      <c r="H4" s="583"/>
      <c r="I4" s="581" t="s">
        <v>4</v>
      </c>
      <c r="J4" s="582"/>
      <c r="K4" s="582"/>
      <c r="L4" s="582"/>
      <c r="M4" s="582"/>
      <c r="N4" s="583"/>
      <c r="O4" s="587" t="s">
        <v>5</v>
      </c>
      <c r="P4" s="588"/>
      <c r="Q4" s="589"/>
      <c r="R4" s="589"/>
      <c r="S4" s="589"/>
      <c r="T4" s="590"/>
      <c r="U4" s="581" t="s">
        <v>6</v>
      </c>
      <c r="V4" s="594"/>
      <c r="W4" s="594"/>
      <c r="X4" s="594"/>
      <c r="Y4" s="594"/>
      <c r="Z4" s="594"/>
      <c r="AA4" s="595"/>
      <c r="AB4" s="574" t="s">
        <v>7</v>
      </c>
      <c r="AC4" s="600" t="s">
        <v>8</v>
      </c>
      <c r="AD4" s="579" t="s">
        <v>27</v>
      </c>
      <c r="AE4" s="579" t="s">
        <v>31</v>
      </c>
      <c r="AF4" s="579" t="s">
        <v>32</v>
      </c>
      <c r="AG4" s="579" t="s">
        <v>33</v>
      </c>
      <c r="AH4" s="574" t="s">
        <v>175</v>
      </c>
      <c r="AI4" s="574" t="s">
        <v>176</v>
      </c>
      <c r="AJ4" s="574" t="s">
        <v>177</v>
      </c>
      <c r="AK4" s="574" t="s">
        <v>178</v>
      </c>
      <c r="AL4" s="574" t="s">
        <v>179</v>
      </c>
      <c r="AM4" s="574" t="s">
        <v>180</v>
      </c>
      <c r="AN4" s="574" t="s">
        <v>181</v>
      </c>
      <c r="AO4" s="574" t="s">
        <v>184</v>
      </c>
      <c r="AP4" s="574" t="s">
        <v>182</v>
      </c>
      <c r="AQ4" s="574" t="s">
        <v>183</v>
      </c>
      <c r="AT4" t="s">
        <v>171</v>
      </c>
      <c r="AU4" s="338" t="s">
        <v>209</v>
      </c>
    </row>
    <row r="5" spans="1:47" ht="30" customHeight="1" thickBot="1" x14ac:dyDescent="0.3">
      <c r="A5" s="13"/>
      <c r="B5" s="584"/>
      <c r="C5" s="585"/>
      <c r="D5" s="585"/>
      <c r="E5" s="585"/>
      <c r="F5" s="585"/>
      <c r="G5" s="585"/>
      <c r="H5" s="586"/>
      <c r="I5" s="584"/>
      <c r="J5" s="585"/>
      <c r="K5" s="585"/>
      <c r="L5" s="585"/>
      <c r="M5" s="585"/>
      <c r="N5" s="586"/>
      <c r="O5" s="591"/>
      <c r="P5" s="592"/>
      <c r="Q5" s="592"/>
      <c r="R5" s="592"/>
      <c r="S5" s="592"/>
      <c r="T5" s="593"/>
      <c r="U5" s="596"/>
      <c r="V5" s="597"/>
      <c r="W5" s="597"/>
      <c r="X5" s="597"/>
      <c r="Y5" s="597"/>
      <c r="Z5" s="597"/>
      <c r="AA5" s="598"/>
      <c r="AB5" s="599"/>
      <c r="AC5" s="601"/>
      <c r="AD5" s="580"/>
      <c r="AE5" s="580"/>
      <c r="AF5" s="580"/>
      <c r="AG5" s="580"/>
      <c r="AH5" s="575"/>
      <c r="AI5" s="575"/>
      <c r="AJ5" s="575"/>
      <c r="AK5" s="575"/>
      <c r="AL5" s="575"/>
      <c r="AM5" s="575"/>
      <c r="AN5" s="575"/>
      <c r="AO5" s="575"/>
      <c r="AP5" s="575"/>
      <c r="AQ5" s="575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42552</v>
      </c>
      <c r="B8" s="49"/>
      <c r="C8" s="50">
        <v>61.274428927898377</v>
      </c>
      <c r="D8" s="50">
        <v>1012.263929875691</v>
      </c>
      <c r="E8" s="50">
        <v>16.280174914002384</v>
      </c>
      <c r="F8" s="50">
        <v>0</v>
      </c>
      <c r="G8" s="50">
        <v>3689.9410474141473</v>
      </c>
      <c r="H8" s="51">
        <v>43.175576792160705</v>
      </c>
      <c r="I8" s="49">
        <v>355.9756817181908</v>
      </c>
      <c r="J8" s="50">
        <v>767.67959388097245</v>
      </c>
      <c r="K8" s="50">
        <v>38.639727467298535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593.25081002763852</v>
      </c>
      <c r="V8" s="54">
        <v>204.8816112327691</v>
      </c>
      <c r="W8" s="54">
        <v>42.548113540652956</v>
      </c>
      <c r="X8" s="54">
        <v>14.694166294889094</v>
      </c>
      <c r="Y8" s="54">
        <v>471.3802737169475</v>
      </c>
      <c r="Z8" s="54">
        <v>162.7931194530903</v>
      </c>
      <c r="AA8" s="55">
        <v>0</v>
      </c>
      <c r="AB8" s="56">
        <v>59.927285899056386</v>
      </c>
      <c r="AC8" s="57">
        <v>0</v>
      </c>
      <c r="AD8" s="57">
        <v>21.921211830774947</v>
      </c>
      <c r="AE8" s="58">
        <v>16.03713997401525</v>
      </c>
      <c r="AF8" s="58">
        <v>5.538492357538658</v>
      </c>
      <c r="AG8" s="58">
        <v>0.74329872365136995</v>
      </c>
      <c r="AH8" s="57">
        <v>190.49936785697938</v>
      </c>
      <c r="AI8" s="57">
        <v>1005.9296891530356</v>
      </c>
      <c r="AJ8" s="57">
        <v>3272.8991560618078</v>
      </c>
      <c r="AK8" s="57">
        <v>539.1434260845183</v>
      </c>
      <c r="AL8" s="57">
        <v>4580.1110776265468</v>
      </c>
      <c r="AM8" s="57">
        <v>2550.3287422180183</v>
      </c>
      <c r="AN8" s="57">
        <v>580.84347440401723</v>
      </c>
      <c r="AO8" s="57">
        <v>3185.9524458567303</v>
      </c>
      <c r="AP8" s="57">
        <v>297.62845749855046</v>
      </c>
      <c r="AQ8" s="57">
        <v>865.86497796376557</v>
      </c>
    </row>
    <row r="9" spans="1:47" x14ac:dyDescent="0.25">
      <c r="A9" s="11">
        <v>42553</v>
      </c>
      <c r="B9" s="59"/>
      <c r="C9" s="60">
        <v>61.004084666570556</v>
      </c>
      <c r="D9" s="60">
        <v>1011.1221600850409</v>
      </c>
      <c r="E9" s="60">
        <v>16.776438117027233</v>
      </c>
      <c r="F9" s="60">
        <v>0</v>
      </c>
      <c r="G9" s="60">
        <v>3705.6317545572942</v>
      </c>
      <c r="H9" s="61">
        <v>43.104002890984226</v>
      </c>
      <c r="I9" s="59">
        <v>344.82417532602943</v>
      </c>
      <c r="J9" s="60">
        <v>695.71020758946645</v>
      </c>
      <c r="K9" s="60">
        <v>34.76287017067277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555.17015890800826</v>
      </c>
      <c r="V9" s="62">
        <v>209.35431423991767</v>
      </c>
      <c r="W9" s="62">
        <v>41.152693808309742</v>
      </c>
      <c r="X9" s="62">
        <v>15.518654691942077</v>
      </c>
      <c r="Y9" s="66">
        <v>442.54687594218569</v>
      </c>
      <c r="Z9" s="66">
        <v>166.88414577997187</v>
      </c>
      <c r="AA9" s="67">
        <v>0</v>
      </c>
      <c r="AB9" s="68">
        <v>53.126012931931143</v>
      </c>
      <c r="AC9" s="69">
        <v>0</v>
      </c>
      <c r="AD9" s="69">
        <v>21.321946855386102</v>
      </c>
      <c r="AE9" s="68">
        <v>15.248861097294437</v>
      </c>
      <c r="AF9" s="68">
        <v>5.7503358326087879</v>
      </c>
      <c r="AG9" s="68">
        <v>0.72616401228085969</v>
      </c>
      <c r="AH9" s="69">
        <v>193.05147580305734</v>
      </c>
      <c r="AI9" s="69">
        <v>1031.9655939102174</v>
      </c>
      <c r="AJ9" s="69">
        <v>3192.0025911966964</v>
      </c>
      <c r="AK9" s="69">
        <v>534.30914862950647</v>
      </c>
      <c r="AL9" s="69">
        <v>3251.3241844177251</v>
      </c>
      <c r="AM9" s="69">
        <v>2535.5282293955484</v>
      </c>
      <c r="AN9" s="69">
        <v>572.10027219454435</v>
      </c>
      <c r="AO9" s="69">
        <v>3028.2354056040449</v>
      </c>
      <c r="AP9" s="69">
        <v>292.80493941307066</v>
      </c>
      <c r="AQ9" s="69">
        <v>822.75890467961631</v>
      </c>
    </row>
    <row r="10" spans="1:47" x14ac:dyDescent="0.25">
      <c r="A10" s="11">
        <v>42554</v>
      </c>
      <c r="B10" s="59"/>
      <c r="C10" s="60">
        <v>62.186426933606732</v>
      </c>
      <c r="D10" s="60">
        <v>1054.1522824605315</v>
      </c>
      <c r="E10" s="60">
        <v>17.290740106503172</v>
      </c>
      <c r="F10" s="60">
        <v>0</v>
      </c>
      <c r="G10" s="60">
        <v>3643.3449658711588</v>
      </c>
      <c r="H10" s="61">
        <v>44.303871176640271</v>
      </c>
      <c r="I10" s="59">
        <v>369.32635151545156</v>
      </c>
      <c r="J10" s="60">
        <v>689.46988458633496</v>
      </c>
      <c r="K10" s="60">
        <v>34.862845379114177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546.3656607250839</v>
      </c>
      <c r="V10" s="62">
        <v>213.63642180292638</v>
      </c>
      <c r="W10" s="62">
        <v>39.790647311031691</v>
      </c>
      <c r="X10" s="62">
        <v>15.558685554047617</v>
      </c>
      <c r="Y10" s="66">
        <v>436.967038530026</v>
      </c>
      <c r="Z10" s="66">
        <v>170.86006912200219</v>
      </c>
      <c r="AA10" s="67">
        <v>0</v>
      </c>
      <c r="AB10" s="68">
        <v>53.123576275508668</v>
      </c>
      <c r="AC10" s="69">
        <v>0</v>
      </c>
      <c r="AD10" s="69">
        <v>21.315049068133042</v>
      </c>
      <c r="AE10" s="68">
        <v>15.098150453915695</v>
      </c>
      <c r="AF10" s="68">
        <v>5.9035826565970222</v>
      </c>
      <c r="AG10" s="68">
        <v>0.71890021525690662</v>
      </c>
      <c r="AH10" s="69">
        <v>199.70787999629974</v>
      </c>
      <c r="AI10" s="69">
        <v>1049.1389389673866</v>
      </c>
      <c r="AJ10" s="69">
        <v>3228.0903315226242</v>
      </c>
      <c r="AK10" s="69">
        <v>539.73302025794976</v>
      </c>
      <c r="AL10" s="69">
        <v>3388.0067967732753</v>
      </c>
      <c r="AM10" s="69">
        <v>2550.5277751922604</v>
      </c>
      <c r="AN10" s="69">
        <v>595.60700090726209</v>
      </c>
      <c r="AO10" s="69">
        <v>2931.2535212198895</v>
      </c>
      <c r="AP10" s="69">
        <v>302.50622154871627</v>
      </c>
      <c r="AQ10" s="69">
        <v>814.83698781331361</v>
      </c>
    </row>
    <row r="11" spans="1:47" x14ac:dyDescent="0.25">
      <c r="A11" s="11">
        <v>42555</v>
      </c>
      <c r="B11" s="59"/>
      <c r="C11" s="60">
        <v>63.458605118592828</v>
      </c>
      <c r="D11" s="60">
        <v>1110.4314523696894</v>
      </c>
      <c r="E11" s="60">
        <v>17.530667328834493</v>
      </c>
      <c r="F11" s="60">
        <v>0</v>
      </c>
      <c r="G11" s="60">
        <v>3679.1983507792106</v>
      </c>
      <c r="H11" s="61">
        <v>45.040194147825268</v>
      </c>
      <c r="I11" s="59">
        <v>421.2526325702666</v>
      </c>
      <c r="J11" s="60">
        <v>761.45167605082179</v>
      </c>
      <c r="K11" s="60">
        <v>38.347700989246277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594.43165163855281</v>
      </c>
      <c r="V11" s="62">
        <v>215.99967609650028</v>
      </c>
      <c r="W11" s="62">
        <v>40.520393452339356</v>
      </c>
      <c r="X11" s="62">
        <v>14.723966728356499</v>
      </c>
      <c r="Y11" s="66">
        <v>464.69415542681554</v>
      </c>
      <c r="Z11" s="66">
        <v>168.85673362017019</v>
      </c>
      <c r="AA11" s="67">
        <v>0</v>
      </c>
      <c r="AB11" s="68">
        <v>56.377348348830147</v>
      </c>
      <c r="AC11" s="69">
        <v>0</v>
      </c>
      <c r="AD11" s="69">
        <v>22.411859951416655</v>
      </c>
      <c r="AE11" s="68">
        <v>16.262738734859795</v>
      </c>
      <c r="AF11" s="68">
        <v>5.9094200140400126</v>
      </c>
      <c r="AG11" s="68">
        <v>0.73347565832608697</v>
      </c>
      <c r="AH11" s="69">
        <v>194.17960904439292</v>
      </c>
      <c r="AI11" s="69">
        <v>1048.2111193974813</v>
      </c>
      <c r="AJ11" s="69">
        <v>3357.415473556518</v>
      </c>
      <c r="AK11" s="69">
        <v>543.24023186365753</v>
      </c>
      <c r="AL11" s="69">
        <v>4149.3003793080652</v>
      </c>
      <c r="AM11" s="69">
        <v>2595.8208156585697</v>
      </c>
      <c r="AN11" s="69">
        <v>611.3107859134675</v>
      </c>
      <c r="AO11" s="69">
        <v>2731.2873827616381</v>
      </c>
      <c r="AP11" s="69">
        <v>313.92789222399392</v>
      </c>
      <c r="AQ11" s="69">
        <v>878.59715865453086</v>
      </c>
    </row>
    <row r="12" spans="1:47" x14ac:dyDescent="0.25">
      <c r="A12" s="11">
        <v>42556</v>
      </c>
      <c r="B12" s="59"/>
      <c r="C12" s="60">
        <v>62.931989447276173</v>
      </c>
      <c r="D12" s="60">
        <v>1109.9932305653886</v>
      </c>
      <c r="E12" s="60">
        <v>17.785055664181737</v>
      </c>
      <c r="F12" s="60">
        <v>0</v>
      </c>
      <c r="G12" s="60">
        <v>3869.2998402913404</v>
      </c>
      <c r="H12" s="61">
        <v>44.898472497860588</v>
      </c>
      <c r="I12" s="59">
        <v>494.70633598963428</v>
      </c>
      <c r="J12" s="60">
        <v>872.64702075322452</v>
      </c>
      <c r="K12" s="60">
        <v>42.55228262742358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684.32189193678823</v>
      </c>
      <c r="V12" s="62">
        <v>219.73351255675692</v>
      </c>
      <c r="W12" s="62">
        <v>46.272220545513221</v>
      </c>
      <c r="X12" s="62">
        <v>14.857858084139366</v>
      </c>
      <c r="Y12" s="66">
        <v>497.05854141036338</v>
      </c>
      <c r="Z12" s="66">
        <v>159.6038655746033</v>
      </c>
      <c r="AA12" s="67">
        <v>0</v>
      </c>
      <c r="AB12" s="68">
        <v>61.365567933189752</v>
      </c>
      <c r="AC12" s="69">
        <v>0</v>
      </c>
      <c r="AD12" s="69">
        <v>24.29854934877817</v>
      </c>
      <c r="AE12" s="68">
        <v>18.202202199710818</v>
      </c>
      <c r="AF12" s="68">
        <v>5.8446673601087111</v>
      </c>
      <c r="AG12" s="68">
        <v>0.75694685141575768</v>
      </c>
      <c r="AH12" s="69">
        <v>205.56697974205017</v>
      </c>
      <c r="AI12" s="69">
        <v>1057.5678449630736</v>
      </c>
      <c r="AJ12" s="69">
        <v>3417.9406531016025</v>
      </c>
      <c r="AK12" s="69">
        <v>550.1280280272166</v>
      </c>
      <c r="AL12" s="69">
        <v>4222.9620404561356</v>
      </c>
      <c r="AM12" s="69">
        <v>2592.8726423899329</v>
      </c>
      <c r="AN12" s="69">
        <v>651.81808093388872</v>
      </c>
      <c r="AO12" s="69">
        <v>3071.0641597747799</v>
      </c>
      <c r="AP12" s="69">
        <v>315.02262023289995</v>
      </c>
      <c r="AQ12" s="69">
        <v>954.62001234690354</v>
      </c>
    </row>
    <row r="13" spans="1:47" x14ac:dyDescent="0.25">
      <c r="A13" s="11">
        <v>42557</v>
      </c>
      <c r="B13" s="59"/>
      <c r="C13" s="60">
        <v>64.82598051627447</v>
      </c>
      <c r="D13" s="60">
        <v>1134.1273601531991</v>
      </c>
      <c r="E13" s="60">
        <v>17.844041267037404</v>
      </c>
      <c r="F13" s="60">
        <v>0</v>
      </c>
      <c r="G13" s="60">
        <v>3946.7968922933087</v>
      </c>
      <c r="H13" s="61">
        <v>45.950369039177964</v>
      </c>
      <c r="I13" s="59">
        <v>524.39111795425356</v>
      </c>
      <c r="J13" s="60">
        <v>966.17991491953558</v>
      </c>
      <c r="K13" s="60">
        <v>50.673143221934559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760.03891950580942</v>
      </c>
      <c r="V13" s="62">
        <v>236.35208289491194</v>
      </c>
      <c r="W13" s="62">
        <v>50.049693508019175</v>
      </c>
      <c r="X13" s="62">
        <v>15.564136263658622</v>
      </c>
      <c r="Y13" s="66">
        <v>536.86766642501959</v>
      </c>
      <c r="Z13" s="66">
        <v>166.95170200098451</v>
      </c>
      <c r="AA13" s="67">
        <v>0</v>
      </c>
      <c r="AB13" s="68">
        <v>64.395279147890392</v>
      </c>
      <c r="AC13" s="69">
        <v>0</v>
      </c>
      <c r="AD13" s="69">
        <v>26.243263938691889</v>
      </c>
      <c r="AE13" s="68">
        <v>19.833249849189993</v>
      </c>
      <c r="AF13" s="68">
        <v>6.167618252337963</v>
      </c>
      <c r="AG13" s="68">
        <v>0.76279183340130408</v>
      </c>
      <c r="AH13" s="69">
        <v>203.04938507080078</v>
      </c>
      <c r="AI13" s="69">
        <v>1045.1304899851482</v>
      </c>
      <c r="AJ13" s="69">
        <v>3490.8695669809986</v>
      </c>
      <c r="AK13" s="69">
        <v>552.84248078664143</v>
      </c>
      <c r="AL13" s="69">
        <v>4134.3765818277998</v>
      </c>
      <c r="AM13" s="69">
        <v>2579.0357423146565</v>
      </c>
      <c r="AN13" s="69">
        <v>674.59021002451573</v>
      </c>
      <c r="AO13" s="69">
        <v>3201.2177317301434</v>
      </c>
      <c r="AP13" s="69">
        <v>332.33625337282825</v>
      </c>
      <c r="AQ13" s="69">
        <v>974.32268679936749</v>
      </c>
    </row>
    <row r="14" spans="1:47" x14ac:dyDescent="0.25">
      <c r="A14" s="11">
        <v>42558</v>
      </c>
      <c r="B14" s="59"/>
      <c r="C14" s="60">
        <v>67.111316708723891</v>
      </c>
      <c r="D14" s="60">
        <v>1126.4875148137405</v>
      </c>
      <c r="E14" s="60">
        <v>18.914954623579984</v>
      </c>
      <c r="F14" s="60">
        <v>0</v>
      </c>
      <c r="G14" s="60">
        <v>4076.5239212036122</v>
      </c>
      <c r="H14" s="61">
        <v>47.915442476670094</v>
      </c>
      <c r="I14" s="59">
        <v>522.29755261739206</v>
      </c>
      <c r="J14" s="60">
        <v>962.1509974161778</v>
      </c>
      <c r="K14" s="60">
        <v>53.035922177632564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732.38922717316211</v>
      </c>
      <c r="V14" s="62">
        <v>228.2755035346465</v>
      </c>
      <c r="W14" s="62">
        <v>48.293211759602862</v>
      </c>
      <c r="X14" s="62">
        <v>15.052320300066569</v>
      </c>
      <c r="Y14" s="66">
        <v>522.67700723598227</v>
      </c>
      <c r="Z14" s="66">
        <v>162.91113056550446</v>
      </c>
      <c r="AA14" s="67">
        <v>0</v>
      </c>
      <c r="AB14" s="68">
        <v>67.818615118662976</v>
      </c>
      <c r="AC14" s="69">
        <v>0</v>
      </c>
      <c r="AD14" s="69">
        <v>25.349651236666585</v>
      </c>
      <c r="AE14" s="68">
        <v>19.130854323869741</v>
      </c>
      <c r="AF14" s="68">
        <v>5.9628203717376644</v>
      </c>
      <c r="AG14" s="68">
        <v>0.76237755354414305</v>
      </c>
      <c r="AH14" s="69">
        <v>207.82916855812073</v>
      </c>
      <c r="AI14" s="69">
        <v>1047.7207297643029</v>
      </c>
      <c r="AJ14" s="69">
        <v>3458.4728781382241</v>
      </c>
      <c r="AK14" s="69">
        <v>554.3589247703552</v>
      </c>
      <c r="AL14" s="69">
        <v>4435.6449656168634</v>
      </c>
      <c r="AM14" s="69">
        <v>2632.554889933268</v>
      </c>
      <c r="AN14" s="69">
        <v>680.73249168396001</v>
      </c>
      <c r="AO14" s="69">
        <v>3127.7753522237144</v>
      </c>
      <c r="AP14" s="69">
        <v>338.70427304903666</v>
      </c>
      <c r="AQ14" s="69">
        <v>950.27378505070976</v>
      </c>
    </row>
    <row r="15" spans="1:47" x14ac:dyDescent="0.25">
      <c r="A15" s="11">
        <v>42559</v>
      </c>
      <c r="B15" s="59"/>
      <c r="C15" s="60">
        <v>73.089221874873033</v>
      </c>
      <c r="D15" s="60">
        <v>1198.866476567583</v>
      </c>
      <c r="E15" s="60">
        <v>20.225818415482838</v>
      </c>
      <c r="F15" s="60">
        <v>0</v>
      </c>
      <c r="G15" s="60">
        <v>4118.168846893308</v>
      </c>
      <c r="H15" s="61">
        <v>51.878712701797532</v>
      </c>
      <c r="I15" s="59">
        <v>510.69261296590173</v>
      </c>
      <c r="J15" s="60">
        <v>946.17002798716226</v>
      </c>
      <c r="K15" s="60">
        <v>51.953754353523237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736.99956653093534</v>
      </c>
      <c r="V15" s="62">
        <v>259.44570790685941</v>
      </c>
      <c r="W15" s="62">
        <v>49.334273382193103</v>
      </c>
      <c r="X15" s="62">
        <v>17.367127557430337</v>
      </c>
      <c r="Y15" s="66">
        <v>534.62280079709558</v>
      </c>
      <c r="Z15" s="66">
        <v>188.20308357688597</v>
      </c>
      <c r="AA15" s="67">
        <v>0</v>
      </c>
      <c r="AB15" s="68">
        <v>71.692952452765269</v>
      </c>
      <c r="AC15" s="69">
        <v>0</v>
      </c>
      <c r="AD15" s="69">
        <v>26.246863362524238</v>
      </c>
      <c r="AE15" s="68">
        <v>19.220308906653511</v>
      </c>
      <c r="AF15" s="68">
        <v>6.7661188376912316</v>
      </c>
      <c r="AG15" s="68">
        <v>0.73962874373282417</v>
      </c>
      <c r="AH15" s="69">
        <v>210.34792461395264</v>
      </c>
      <c r="AI15" s="69">
        <v>1062.8419685363767</v>
      </c>
      <c r="AJ15" s="69">
        <v>3413.082689030965</v>
      </c>
      <c r="AK15" s="69">
        <v>553.04961280822772</v>
      </c>
      <c r="AL15" s="69">
        <v>4569.8073298136396</v>
      </c>
      <c r="AM15" s="69">
        <v>2668.746492004394</v>
      </c>
      <c r="AN15" s="69">
        <v>670.11323248545341</v>
      </c>
      <c r="AO15" s="69">
        <v>3164.3227029164632</v>
      </c>
      <c r="AP15" s="69">
        <v>325.2848422050476</v>
      </c>
      <c r="AQ15" s="69">
        <v>971.0313926378883</v>
      </c>
    </row>
    <row r="16" spans="1:47" x14ac:dyDescent="0.25">
      <c r="A16" s="11">
        <v>42560</v>
      </c>
      <c r="B16" s="59"/>
      <c r="C16" s="60">
        <v>73.117473320166056</v>
      </c>
      <c r="D16" s="60">
        <v>1210.6302300771067</v>
      </c>
      <c r="E16" s="60">
        <v>19.788676619529657</v>
      </c>
      <c r="F16" s="60">
        <v>0</v>
      </c>
      <c r="G16" s="60">
        <v>4123.9212677001988</v>
      </c>
      <c r="H16" s="61">
        <v>52.372347597281248</v>
      </c>
      <c r="I16" s="59">
        <v>503.56839952468869</v>
      </c>
      <c r="J16" s="60">
        <v>939.79405256907205</v>
      </c>
      <c r="K16" s="60">
        <v>51.599096639951121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718.25574307610486</v>
      </c>
      <c r="V16" s="62">
        <v>264.71540107028767</v>
      </c>
      <c r="W16" s="62">
        <v>47.518362780987104</v>
      </c>
      <c r="X16" s="62">
        <v>17.513041257283206</v>
      </c>
      <c r="Y16" s="66">
        <v>520.27732911031842</v>
      </c>
      <c r="Z16" s="66">
        <v>191.7498372562583</v>
      </c>
      <c r="AA16" s="67">
        <v>0</v>
      </c>
      <c r="AB16" s="68">
        <v>71.693506860732882</v>
      </c>
      <c r="AC16" s="69">
        <v>0</v>
      </c>
      <c r="AD16" s="69">
        <v>25.911422695053961</v>
      </c>
      <c r="AE16" s="68">
        <v>18.734545303326069</v>
      </c>
      <c r="AF16" s="68">
        <v>6.9046752798660949</v>
      </c>
      <c r="AG16" s="68">
        <v>0.73069870601322151</v>
      </c>
      <c r="AH16" s="69">
        <v>207.41326074600221</v>
      </c>
      <c r="AI16" s="69">
        <v>1067.1300033569337</v>
      </c>
      <c r="AJ16" s="69">
        <v>3436.1141236623125</v>
      </c>
      <c r="AK16" s="69">
        <v>555.74887247085553</v>
      </c>
      <c r="AL16" s="69">
        <v>4747.1240976969411</v>
      </c>
      <c r="AM16" s="69">
        <v>2710.4690647125244</v>
      </c>
      <c r="AN16" s="69">
        <v>681.22732384999608</v>
      </c>
      <c r="AO16" s="69">
        <v>3343.1360001881912</v>
      </c>
      <c r="AP16" s="69">
        <v>339.11961515744525</v>
      </c>
      <c r="AQ16" s="69">
        <v>921.07902739842712</v>
      </c>
    </row>
    <row r="17" spans="1:43" x14ac:dyDescent="0.25">
      <c r="A17" s="368">
        <v>42561</v>
      </c>
      <c r="B17" s="49"/>
      <c r="C17" s="50">
        <v>73.712251857916556</v>
      </c>
      <c r="D17" s="50">
        <v>1209.1880860249182</v>
      </c>
      <c r="E17" s="50">
        <v>20.306545645991974</v>
      </c>
      <c r="F17" s="50">
        <v>0</v>
      </c>
      <c r="G17" s="50">
        <v>3636.6744344075432</v>
      </c>
      <c r="H17" s="51">
        <v>52.582521069049889</v>
      </c>
      <c r="I17" s="49">
        <v>545.28716112772611</v>
      </c>
      <c r="J17" s="50">
        <v>1007.5578161875404</v>
      </c>
      <c r="K17" s="50">
        <v>55.338327380021454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798.55149958434743</v>
      </c>
      <c r="V17" s="66">
        <v>250.1745886640164</v>
      </c>
      <c r="W17" s="62">
        <v>50.174887120353418</v>
      </c>
      <c r="X17" s="62">
        <v>15.719063520801779</v>
      </c>
      <c r="Y17" s="66">
        <v>571.30769399475628</v>
      </c>
      <c r="Z17" s="66">
        <v>178.98240429091979</v>
      </c>
      <c r="AA17" s="67">
        <v>0</v>
      </c>
      <c r="AB17" s="68">
        <v>71.690773497687061</v>
      </c>
      <c r="AC17" s="69">
        <v>0</v>
      </c>
      <c r="AD17" s="69">
        <v>27.385855201880169</v>
      </c>
      <c r="AE17" s="68">
        <v>20.563923163631831</v>
      </c>
      <c r="AF17" s="68">
        <v>6.4423785084090675</v>
      </c>
      <c r="AG17" s="68">
        <v>0.76144906523506928</v>
      </c>
      <c r="AH17" s="69">
        <v>204.31238385836284</v>
      </c>
      <c r="AI17" s="69">
        <v>1076.2474466959634</v>
      </c>
      <c r="AJ17" s="69">
        <v>3453.8424474716189</v>
      </c>
      <c r="AK17" s="69">
        <v>567.87138562202449</v>
      </c>
      <c r="AL17" s="69">
        <v>4752.5805133819586</v>
      </c>
      <c r="AM17" s="69">
        <v>2676.3051678975426</v>
      </c>
      <c r="AN17" s="69">
        <v>696.88996044794703</v>
      </c>
      <c r="AO17" s="69">
        <v>3421.2689249674477</v>
      </c>
      <c r="AP17" s="69">
        <v>370.80736196835829</v>
      </c>
      <c r="AQ17" s="69">
        <v>1074.6404549598692</v>
      </c>
    </row>
    <row r="18" spans="1:43" x14ac:dyDescent="0.25">
      <c r="A18" s="11">
        <v>42562</v>
      </c>
      <c r="B18" s="59"/>
      <c r="C18" s="60">
        <v>74.405377495289159</v>
      </c>
      <c r="D18" s="60">
        <v>1216.3771303812664</v>
      </c>
      <c r="E18" s="60">
        <v>20.141028365492797</v>
      </c>
      <c r="F18" s="60">
        <v>0</v>
      </c>
      <c r="G18" s="60">
        <v>3246.3780588785999</v>
      </c>
      <c r="H18" s="61">
        <v>43.445178665717428</v>
      </c>
      <c r="I18" s="59">
        <v>564.35944207509351</v>
      </c>
      <c r="J18" s="60">
        <v>1028.3387146631874</v>
      </c>
      <c r="K18" s="60">
        <v>56.484964974721422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788.79569250980535</v>
      </c>
      <c r="V18" s="62">
        <v>262.98279052072758</v>
      </c>
      <c r="W18" s="62">
        <v>50.992290419400028</v>
      </c>
      <c r="X18" s="62">
        <v>17.000720157166025</v>
      </c>
      <c r="Y18" s="66">
        <v>545.92821917295589</v>
      </c>
      <c r="Z18" s="66">
        <v>182.0112962905545</v>
      </c>
      <c r="AA18" s="67">
        <v>0</v>
      </c>
      <c r="AB18" s="68">
        <v>76.500888156890753</v>
      </c>
      <c r="AC18" s="69">
        <v>0</v>
      </c>
      <c r="AD18" s="69">
        <v>27.190534889697982</v>
      </c>
      <c r="AE18" s="68">
        <v>20.093459226479919</v>
      </c>
      <c r="AF18" s="68">
        <v>6.6991161700955439</v>
      </c>
      <c r="AG18" s="68">
        <v>0.74996370931359579</v>
      </c>
      <c r="AH18" s="69">
        <v>198.53944609959922</v>
      </c>
      <c r="AI18" s="69">
        <v>1078.2387842178343</v>
      </c>
      <c r="AJ18" s="69">
        <v>3405.4152145385747</v>
      </c>
      <c r="AK18" s="69">
        <v>553.80852826436376</v>
      </c>
      <c r="AL18" s="69">
        <v>3234.7304155985507</v>
      </c>
      <c r="AM18" s="69">
        <v>2783.5358300526937</v>
      </c>
      <c r="AN18" s="69">
        <v>667.24784631729119</v>
      </c>
      <c r="AO18" s="69">
        <v>3524.9717641194661</v>
      </c>
      <c r="AP18" s="69">
        <v>349.87165501912432</v>
      </c>
      <c r="AQ18" s="69">
        <v>963.03995323181152</v>
      </c>
    </row>
    <row r="19" spans="1:43" x14ac:dyDescent="0.25">
      <c r="A19" s="11">
        <v>42563</v>
      </c>
      <c r="B19" s="59"/>
      <c r="C19" s="60">
        <v>77.130895558993046</v>
      </c>
      <c r="D19" s="60">
        <v>1268.2965766270938</v>
      </c>
      <c r="E19" s="60">
        <v>21.04372947514058</v>
      </c>
      <c r="F19" s="60">
        <v>0</v>
      </c>
      <c r="G19" s="60">
        <v>3387.2010414123533</v>
      </c>
      <c r="H19" s="61">
        <v>54.934563958644851</v>
      </c>
      <c r="I19" s="59">
        <v>572.12367995580041</v>
      </c>
      <c r="J19" s="60">
        <v>1028.5641733805335</v>
      </c>
      <c r="K19" s="60">
        <v>56.373589082558958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780.04822467853762</v>
      </c>
      <c r="V19" s="62">
        <v>257.26485543094907</v>
      </c>
      <c r="W19" s="62">
        <v>51.006435276007586</v>
      </c>
      <c r="X19" s="62">
        <v>16.822246089641279</v>
      </c>
      <c r="Y19" s="66">
        <v>521.27300881222595</v>
      </c>
      <c r="Z19" s="66">
        <v>171.91914680326164</v>
      </c>
      <c r="AA19" s="67">
        <v>0</v>
      </c>
      <c r="AB19" s="68">
        <v>76.653775797950047</v>
      </c>
      <c r="AC19" s="69">
        <v>0</v>
      </c>
      <c r="AD19" s="69">
        <v>26.7176437444157</v>
      </c>
      <c r="AE19" s="68">
        <v>19.768147313681993</v>
      </c>
      <c r="AF19" s="68">
        <v>6.5196604516187815</v>
      </c>
      <c r="AG19" s="68">
        <v>0.75198919172619016</v>
      </c>
      <c r="AH19" s="69">
        <v>191.73687744140625</v>
      </c>
      <c r="AI19" s="69">
        <v>1101.0735573450725</v>
      </c>
      <c r="AJ19" s="69">
        <v>3405.2985688527428</v>
      </c>
      <c r="AK19" s="69">
        <v>551.00967267354326</v>
      </c>
      <c r="AL19" s="69">
        <v>4742.6455724080406</v>
      </c>
      <c r="AM19" s="69">
        <v>2831.8360839843749</v>
      </c>
      <c r="AN19" s="69">
        <v>658.88703147570288</v>
      </c>
      <c r="AO19" s="69">
        <v>3732.8541305541989</v>
      </c>
      <c r="AP19" s="69">
        <v>323.04434046745297</v>
      </c>
      <c r="AQ19" s="69">
        <v>962.08583370844531</v>
      </c>
    </row>
    <row r="20" spans="1:43" x14ac:dyDescent="0.25">
      <c r="A20" s="11">
        <v>42564</v>
      </c>
      <c r="B20" s="59"/>
      <c r="C20" s="60">
        <v>79.462896752357693</v>
      </c>
      <c r="D20" s="60">
        <v>1319.5355516433697</v>
      </c>
      <c r="E20" s="60">
        <v>21.814014118909821</v>
      </c>
      <c r="F20" s="60">
        <v>0</v>
      </c>
      <c r="G20" s="60">
        <v>3377.2243925730336</v>
      </c>
      <c r="H20" s="61">
        <v>51.384418692191502</v>
      </c>
      <c r="I20" s="59">
        <v>560.24671176274558</v>
      </c>
      <c r="J20" s="60">
        <v>1028.6638650894167</v>
      </c>
      <c r="K20" s="60">
        <v>56.258382435639625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769.20546969050474</v>
      </c>
      <c r="V20" s="62">
        <v>271.91824280677753</v>
      </c>
      <c r="W20" s="62">
        <v>50.43901262163736</v>
      </c>
      <c r="X20" s="62">
        <v>17.830460418466533</v>
      </c>
      <c r="Y20" s="66">
        <v>509.80304164660441</v>
      </c>
      <c r="Z20" s="66">
        <v>180.21809870628161</v>
      </c>
      <c r="AA20" s="67">
        <v>0</v>
      </c>
      <c r="AB20" s="68">
        <v>76.65499105453506</v>
      </c>
      <c r="AC20" s="69">
        <v>0</v>
      </c>
      <c r="AD20" s="69">
        <v>26.859996644655844</v>
      </c>
      <c r="AE20" s="68">
        <v>19.541364645263172</v>
      </c>
      <c r="AF20" s="68">
        <v>6.9079767965306278</v>
      </c>
      <c r="AG20" s="68">
        <v>0.73882235171212918</v>
      </c>
      <c r="AH20" s="69">
        <v>196.26527360280355</v>
      </c>
      <c r="AI20" s="69">
        <v>1082.646485964457</v>
      </c>
      <c r="AJ20" s="69">
        <v>3416.8091851552326</v>
      </c>
      <c r="AK20" s="69">
        <v>550.2573537190757</v>
      </c>
      <c r="AL20" s="69">
        <v>5626.5792780558277</v>
      </c>
      <c r="AM20" s="69">
        <v>2844.8464508056636</v>
      </c>
      <c r="AN20" s="69">
        <v>674.75729583104453</v>
      </c>
      <c r="AO20" s="69">
        <v>3325.9850063323979</v>
      </c>
      <c r="AP20" s="69">
        <v>331.93619225819907</v>
      </c>
      <c r="AQ20" s="69">
        <v>996.20981531143207</v>
      </c>
    </row>
    <row r="21" spans="1:43" x14ac:dyDescent="0.25">
      <c r="A21" s="11">
        <v>42565</v>
      </c>
      <c r="B21" s="59"/>
      <c r="C21" s="60">
        <v>79.140070410569564</v>
      </c>
      <c r="D21" s="60">
        <v>1317.3437080383299</v>
      </c>
      <c r="E21" s="60">
        <v>21.823072734475133</v>
      </c>
      <c r="F21" s="60">
        <v>0</v>
      </c>
      <c r="G21" s="60">
        <v>2883.2785804748496</v>
      </c>
      <c r="H21" s="61">
        <v>47.001175866524449</v>
      </c>
      <c r="I21" s="59">
        <v>573.23452088038084</v>
      </c>
      <c r="J21" s="60">
        <v>1056.2368888854985</v>
      </c>
      <c r="K21" s="60">
        <v>57.804509166876393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804.36154877316187</v>
      </c>
      <c r="V21" s="62">
        <v>272.74049781192178</v>
      </c>
      <c r="W21" s="62">
        <v>53.275388805236382</v>
      </c>
      <c r="X21" s="62">
        <v>18.064458807144653</v>
      </c>
      <c r="Y21" s="66">
        <v>508.79698513067274</v>
      </c>
      <c r="Z21" s="66">
        <v>172.5213533906493</v>
      </c>
      <c r="AA21" s="67">
        <v>0</v>
      </c>
      <c r="AB21" s="68">
        <v>76.657652754254144</v>
      </c>
      <c r="AC21" s="69">
        <v>0</v>
      </c>
      <c r="AD21" s="69">
        <v>27.702761577235364</v>
      </c>
      <c r="AE21" s="68">
        <v>20.394968591050464</v>
      </c>
      <c r="AF21" s="68">
        <v>6.9154646873234649</v>
      </c>
      <c r="AG21" s="68">
        <v>0.74678304745902535</v>
      </c>
      <c r="AH21" s="69">
        <v>198.16514687538148</v>
      </c>
      <c r="AI21" s="69">
        <v>1056.5490341186523</v>
      </c>
      <c r="AJ21" s="69">
        <v>3377.5529174804687</v>
      </c>
      <c r="AK21" s="69">
        <v>550.0072947661082</v>
      </c>
      <c r="AL21" s="69">
        <v>5341.3253512064621</v>
      </c>
      <c r="AM21" s="69">
        <v>2828.7606678009033</v>
      </c>
      <c r="AN21" s="69">
        <v>633.67753518422444</v>
      </c>
      <c r="AO21" s="69">
        <v>3996.0692852020265</v>
      </c>
      <c r="AP21" s="69">
        <v>341.85497756004332</v>
      </c>
      <c r="AQ21" s="69">
        <v>947.60451838175447</v>
      </c>
    </row>
    <row r="22" spans="1:43" x14ac:dyDescent="0.25">
      <c r="A22" s="11">
        <v>42566</v>
      </c>
      <c r="B22" s="59"/>
      <c r="C22" s="60">
        <v>79.19361302057915</v>
      </c>
      <c r="D22" s="60">
        <v>1254.7192696889233</v>
      </c>
      <c r="E22" s="60">
        <v>19.574232773979521</v>
      </c>
      <c r="F22" s="60">
        <v>0</v>
      </c>
      <c r="G22" s="60">
        <v>2574.3485861460445</v>
      </c>
      <c r="H22" s="61">
        <v>46.975134789943837</v>
      </c>
      <c r="I22" s="59">
        <v>585.84966726303014</v>
      </c>
      <c r="J22" s="60">
        <v>1076.4906778971344</v>
      </c>
      <c r="K22" s="60">
        <v>58.802710696061396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818.99815420822358</v>
      </c>
      <c r="V22" s="62">
        <v>276.02553379022618</v>
      </c>
      <c r="W22" s="62">
        <v>53.330870264444989</v>
      </c>
      <c r="X22" s="62">
        <v>17.974011121517272</v>
      </c>
      <c r="Y22" s="66">
        <v>518.13627349070975</v>
      </c>
      <c r="Z22" s="66">
        <v>174.62657361495152</v>
      </c>
      <c r="AA22" s="67">
        <v>0</v>
      </c>
      <c r="AB22" s="68">
        <v>76.658332946565594</v>
      </c>
      <c r="AC22" s="69">
        <v>0</v>
      </c>
      <c r="AD22" s="69">
        <v>28.173092483149624</v>
      </c>
      <c r="AE22" s="68">
        <v>20.751269573836328</v>
      </c>
      <c r="AF22" s="68">
        <v>6.9937645543054385</v>
      </c>
      <c r="AG22" s="68">
        <v>0.74792734000598449</v>
      </c>
      <c r="AH22" s="69">
        <v>200.55196889241535</v>
      </c>
      <c r="AI22" s="69">
        <v>1051.7108207702636</v>
      </c>
      <c r="AJ22" s="69">
        <v>3385.7735674540204</v>
      </c>
      <c r="AK22" s="69">
        <v>550.88348115285226</v>
      </c>
      <c r="AL22" s="69">
        <v>5407.1254374186201</v>
      </c>
      <c r="AM22" s="69">
        <v>2845.7499786376952</v>
      </c>
      <c r="AN22" s="69">
        <v>633.96023562749235</v>
      </c>
      <c r="AO22" s="69">
        <v>3595.4896494547525</v>
      </c>
      <c r="AP22" s="69">
        <v>360.07300643920905</v>
      </c>
      <c r="AQ22" s="69">
        <v>966.90863383611031</v>
      </c>
    </row>
    <row r="23" spans="1:43" x14ac:dyDescent="0.25">
      <c r="A23" s="11">
        <v>42567</v>
      </c>
      <c r="B23" s="59"/>
      <c r="C23" s="60">
        <v>79.030735929806895</v>
      </c>
      <c r="D23" s="60">
        <v>1239.6619001388553</v>
      </c>
      <c r="E23" s="60">
        <v>17.713194399078692</v>
      </c>
      <c r="F23" s="60">
        <v>0</v>
      </c>
      <c r="G23" s="60">
        <v>2318.2847031911219</v>
      </c>
      <c r="H23" s="61">
        <v>46.87982232173286</v>
      </c>
      <c r="I23" s="59">
        <v>514.014943027497</v>
      </c>
      <c r="J23" s="60">
        <v>891.22460772196382</v>
      </c>
      <c r="K23" s="60">
        <v>48.867773058017036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705.81524857442423</v>
      </c>
      <c r="V23" s="62">
        <v>282.22796253601513</v>
      </c>
      <c r="W23" s="62">
        <v>46.962014924912303</v>
      </c>
      <c r="X23" s="62">
        <v>18.778276348681594</v>
      </c>
      <c r="Y23" s="66">
        <v>445.89110252527098</v>
      </c>
      <c r="Z23" s="66">
        <v>178.29444409541577</v>
      </c>
      <c r="AA23" s="67">
        <v>0</v>
      </c>
      <c r="AB23" s="68">
        <v>70.788690333895403</v>
      </c>
      <c r="AC23" s="69">
        <v>0</v>
      </c>
      <c r="AD23" s="69">
        <v>25.575776702165573</v>
      </c>
      <c r="AE23" s="68">
        <v>17.995681756680813</v>
      </c>
      <c r="AF23" s="68">
        <v>7.1957705743715215</v>
      </c>
      <c r="AG23" s="68">
        <v>0.71435666035413015</v>
      </c>
      <c r="AH23" s="69">
        <v>193.58136050701142</v>
      </c>
      <c r="AI23" s="69">
        <v>1058.6544193903605</v>
      </c>
      <c r="AJ23" s="69">
        <v>3417.6427140553792</v>
      </c>
      <c r="AK23" s="69">
        <v>551.22500012715659</v>
      </c>
      <c r="AL23" s="69">
        <v>5457.6002334594732</v>
      </c>
      <c r="AM23" s="69">
        <v>2837.1969586690266</v>
      </c>
      <c r="AN23" s="69">
        <v>644.05285987854006</v>
      </c>
      <c r="AO23" s="69">
        <v>3383.2894013722739</v>
      </c>
      <c r="AP23" s="69">
        <v>366.28859454790751</v>
      </c>
      <c r="AQ23" s="69">
        <v>898.39864346186346</v>
      </c>
    </row>
    <row r="24" spans="1:43" x14ac:dyDescent="0.25">
      <c r="A24" s="11">
        <v>42568</v>
      </c>
      <c r="B24" s="59"/>
      <c r="C24" s="60">
        <v>79.371039517720689</v>
      </c>
      <c r="D24" s="60">
        <v>1285.7063755671184</v>
      </c>
      <c r="E24" s="60">
        <v>17.86200526456037</v>
      </c>
      <c r="F24" s="60">
        <v>0</v>
      </c>
      <c r="G24" s="60">
        <v>2395.3385990142815</v>
      </c>
      <c r="H24" s="61">
        <v>47.160874283313817</v>
      </c>
      <c r="I24" s="59">
        <v>561.34684953689532</v>
      </c>
      <c r="J24" s="60">
        <v>974.88651072184439</v>
      </c>
      <c r="K24" s="60">
        <v>53.739790721734543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766.90760688234843</v>
      </c>
      <c r="V24" s="62">
        <v>276.60522372475015</v>
      </c>
      <c r="W24" s="62">
        <v>49.816563883841091</v>
      </c>
      <c r="X24" s="62">
        <v>17.967642613828051</v>
      </c>
      <c r="Y24" s="66">
        <v>482.42017538338729</v>
      </c>
      <c r="Z24" s="66">
        <v>173.99741421749403</v>
      </c>
      <c r="AA24" s="67">
        <v>0</v>
      </c>
      <c r="AB24" s="68">
        <v>74.687963549296697</v>
      </c>
      <c r="AC24" s="69">
        <v>0</v>
      </c>
      <c r="AD24" s="69">
        <v>27.050129185120273</v>
      </c>
      <c r="AE24" s="68">
        <v>19.583416382062751</v>
      </c>
      <c r="AF24" s="68">
        <v>7.0632697094715491</v>
      </c>
      <c r="AG24" s="68">
        <v>0.73492877556299352</v>
      </c>
      <c r="AH24" s="69">
        <v>192.84736150900522</v>
      </c>
      <c r="AI24" s="69">
        <v>1062.9293134053546</v>
      </c>
      <c r="AJ24" s="69">
        <v>3373.8710484822595</v>
      </c>
      <c r="AK24" s="69">
        <v>553.63363547325139</v>
      </c>
      <c r="AL24" s="69">
        <v>5890.8774693806963</v>
      </c>
      <c r="AM24" s="69">
        <v>2865.6020328521722</v>
      </c>
      <c r="AN24" s="69">
        <v>659.58647092183412</v>
      </c>
      <c r="AO24" s="69">
        <v>3442.8237698872886</v>
      </c>
      <c r="AP24" s="69">
        <v>393.19304199218755</v>
      </c>
      <c r="AQ24" s="69">
        <v>916.21745443344105</v>
      </c>
    </row>
    <row r="25" spans="1:43" x14ac:dyDescent="0.25">
      <c r="A25" s="11">
        <v>42569</v>
      </c>
      <c r="B25" s="59"/>
      <c r="C25" s="60">
        <v>79.219901152451627</v>
      </c>
      <c r="D25" s="60">
        <v>1288.3470767974868</v>
      </c>
      <c r="E25" s="60">
        <v>20.621729911367108</v>
      </c>
      <c r="F25" s="60">
        <v>0</v>
      </c>
      <c r="G25" s="60">
        <v>3522.6401281992498</v>
      </c>
      <c r="H25" s="61">
        <v>47.065365221103093</v>
      </c>
      <c r="I25" s="59">
        <v>585.17985239028849</v>
      </c>
      <c r="J25" s="60">
        <v>1003.370479456584</v>
      </c>
      <c r="K25" s="60">
        <v>54.889246483643937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778.37488738851448</v>
      </c>
      <c r="V25" s="62">
        <v>278.46018773558984</v>
      </c>
      <c r="W25" s="62">
        <v>50.599942509634765</v>
      </c>
      <c r="X25" s="62">
        <v>18.101906573471062</v>
      </c>
      <c r="Y25" s="66">
        <v>492.20210755099566</v>
      </c>
      <c r="Z25" s="66">
        <v>176.08313615093851</v>
      </c>
      <c r="AA25" s="67">
        <v>0</v>
      </c>
      <c r="AB25" s="68">
        <v>76.709316804674899</v>
      </c>
      <c r="AC25" s="69">
        <v>0</v>
      </c>
      <c r="AD25" s="69">
        <v>27.472732641961819</v>
      </c>
      <c r="AE25" s="68">
        <v>19.925323115923081</v>
      </c>
      <c r="AF25" s="68">
        <v>7.1281965868238766</v>
      </c>
      <c r="AG25" s="68">
        <v>0.73651500192412689</v>
      </c>
      <c r="AH25" s="69">
        <v>199.38340975443521</v>
      </c>
      <c r="AI25" s="69">
        <v>1044.394875526428</v>
      </c>
      <c r="AJ25" s="69">
        <v>3475.096627934774</v>
      </c>
      <c r="AK25" s="69">
        <v>559.40476576487231</v>
      </c>
      <c r="AL25" s="69">
        <v>6157.3908971150704</v>
      </c>
      <c r="AM25" s="69">
        <v>2875.3051706949873</v>
      </c>
      <c r="AN25" s="69">
        <v>661.38667418162038</v>
      </c>
      <c r="AO25" s="69">
        <v>3447.1704788208008</v>
      </c>
      <c r="AP25" s="69">
        <v>371.37956096331277</v>
      </c>
      <c r="AQ25" s="69">
        <v>942.43020397822067</v>
      </c>
    </row>
    <row r="26" spans="1:43" x14ac:dyDescent="0.25">
      <c r="A26" s="11">
        <v>42570</v>
      </c>
      <c r="B26" s="59"/>
      <c r="C26" s="60">
        <v>79.122845319906588</v>
      </c>
      <c r="D26" s="60">
        <v>1238.4495776494348</v>
      </c>
      <c r="E26" s="60">
        <v>21.962598381439804</v>
      </c>
      <c r="F26" s="60">
        <v>0</v>
      </c>
      <c r="G26" s="60">
        <v>3986.1447260538589</v>
      </c>
      <c r="H26" s="61">
        <v>46.961080787579313</v>
      </c>
      <c r="I26" s="59">
        <v>552.85192562738916</v>
      </c>
      <c r="J26" s="60">
        <v>938.36606076558382</v>
      </c>
      <c r="K26" s="60">
        <v>51.517322127024379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714.35905261722735</v>
      </c>
      <c r="V26" s="62">
        <v>254.11433694474192</v>
      </c>
      <c r="W26" s="62">
        <v>47.923015774618619</v>
      </c>
      <c r="X26" s="62">
        <v>17.047345215746677</v>
      </c>
      <c r="Y26" s="66">
        <v>463.30241685722973</v>
      </c>
      <c r="Z26" s="66">
        <v>164.80757965232254</v>
      </c>
      <c r="AA26" s="67">
        <v>0</v>
      </c>
      <c r="AB26" s="68">
        <v>77.187800847159792</v>
      </c>
      <c r="AC26" s="69">
        <v>0</v>
      </c>
      <c r="AD26" s="69">
        <v>25.207823936144557</v>
      </c>
      <c r="AE26" s="68">
        <v>18.293368746004553</v>
      </c>
      <c r="AF26" s="68">
        <v>6.5073820403693565</v>
      </c>
      <c r="AG26" s="68">
        <v>0.73761350628366229</v>
      </c>
      <c r="AH26" s="69">
        <v>199.37274940808615</v>
      </c>
      <c r="AI26" s="69">
        <v>1074.7927668253581</v>
      </c>
      <c r="AJ26" s="69">
        <v>3487.6279556274417</v>
      </c>
      <c r="AK26" s="69">
        <v>576.22112019856775</v>
      </c>
      <c r="AL26" s="69">
        <v>6533.9764572143558</v>
      </c>
      <c r="AM26" s="69">
        <v>2884.345198186239</v>
      </c>
      <c r="AN26" s="69">
        <v>659.6021382967632</v>
      </c>
      <c r="AO26" s="69">
        <v>3441.7581666310621</v>
      </c>
      <c r="AP26" s="69">
        <v>364.23954440752669</v>
      </c>
      <c r="AQ26" s="69">
        <v>980.30310382843015</v>
      </c>
    </row>
    <row r="27" spans="1:43" x14ac:dyDescent="0.25">
      <c r="A27" s="11">
        <v>42571</v>
      </c>
      <c r="B27" s="59"/>
      <c r="C27" s="60">
        <v>79.169427756469034</v>
      </c>
      <c r="D27" s="60">
        <v>1240.7320494969688</v>
      </c>
      <c r="E27" s="60">
        <v>21.678701194127353</v>
      </c>
      <c r="F27" s="60">
        <v>0</v>
      </c>
      <c r="G27" s="60">
        <v>3936.727661132807</v>
      </c>
      <c r="H27" s="61">
        <v>46.769189103444418</v>
      </c>
      <c r="I27" s="59">
        <v>509.83714825312273</v>
      </c>
      <c r="J27" s="60">
        <v>867.24070765177476</v>
      </c>
      <c r="K27" s="60">
        <v>47.864845269918312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703.81685806701455</v>
      </c>
      <c r="V27" s="62">
        <v>278.81086910244289</v>
      </c>
      <c r="W27" s="62">
        <v>47.351984471989155</v>
      </c>
      <c r="X27" s="62">
        <v>18.75807291774704</v>
      </c>
      <c r="Y27" s="62">
        <v>483.75554880566239</v>
      </c>
      <c r="Z27" s="62">
        <v>191.63551348580174</v>
      </c>
      <c r="AA27" s="72">
        <v>0</v>
      </c>
      <c r="AB27" s="69">
        <v>77.322215525310781</v>
      </c>
      <c r="AC27" s="69">
        <v>0</v>
      </c>
      <c r="AD27" s="69">
        <v>25.510312757227183</v>
      </c>
      <c r="AE27" s="69">
        <v>17.989938719744501</v>
      </c>
      <c r="AF27" s="69">
        <v>7.1265562796082813</v>
      </c>
      <c r="AG27" s="69">
        <v>0.71625992082924295</v>
      </c>
      <c r="AH27" s="69">
        <v>196.76613610585531</v>
      </c>
      <c r="AI27" s="69">
        <v>1078.3992132822671</v>
      </c>
      <c r="AJ27" s="69">
        <v>3498.5185394287114</v>
      </c>
      <c r="AK27" s="69">
        <v>572.15922730763737</v>
      </c>
      <c r="AL27" s="69">
        <v>5295.4477078755699</v>
      </c>
      <c r="AM27" s="69">
        <v>2897.7332319895431</v>
      </c>
      <c r="AN27" s="69">
        <v>664.1137655417125</v>
      </c>
      <c r="AO27" s="69">
        <v>3873.5662230173743</v>
      </c>
      <c r="AP27" s="69">
        <v>461.73030420939125</v>
      </c>
      <c r="AQ27" s="69">
        <v>983.51510254542006</v>
      </c>
    </row>
    <row r="28" spans="1:43" x14ac:dyDescent="0.25">
      <c r="A28" s="11">
        <v>42572</v>
      </c>
      <c r="B28" s="59"/>
      <c r="C28" s="60">
        <v>102.39850550492665</v>
      </c>
      <c r="D28" s="60">
        <v>1231.9427897771209</v>
      </c>
      <c r="E28" s="60">
        <v>23.343767964839923</v>
      </c>
      <c r="F28" s="60">
        <v>0</v>
      </c>
      <c r="G28" s="60">
        <v>4226.8251452128125</v>
      </c>
      <c r="H28" s="61">
        <v>46.885423155625716</v>
      </c>
      <c r="I28" s="59">
        <v>509.760783100129</v>
      </c>
      <c r="J28" s="60">
        <v>863.84608376820961</v>
      </c>
      <c r="K28" s="60">
        <v>47.475290246804526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689.41720808543698</v>
      </c>
      <c r="V28" s="62">
        <v>268.38887262678014</v>
      </c>
      <c r="W28" s="62">
        <v>45.496462265592463</v>
      </c>
      <c r="X28" s="62">
        <v>17.71169050142997</v>
      </c>
      <c r="Y28" s="66">
        <v>490.14706503572683</v>
      </c>
      <c r="Z28" s="66">
        <v>190.81336622215744</v>
      </c>
      <c r="AA28" s="67">
        <v>0</v>
      </c>
      <c r="AB28" s="68">
        <v>75.288080808852328</v>
      </c>
      <c r="AC28" s="69">
        <v>0</v>
      </c>
      <c r="AD28" s="69">
        <v>24.776703474256728</v>
      </c>
      <c r="AE28" s="68">
        <v>17.618021449351996</v>
      </c>
      <c r="AF28" s="68">
        <v>6.8586638964776592</v>
      </c>
      <c r="AG28" s="68">
        <v>0.7197878797896039</v>
      </c>
      <c r="AH28" s="69">
        <v>187.71678617795308</v>
      </c>
      <c r="AI28" s="69">
        <v>1062.3002517064413</v>
      </c>
      <c r="AJ28" s="69">
        <v>3491.3348083496094</v>
      </c>
      <c r="AK28" s="69">
        <v>558.95817155838017</v>
      </c>
      <c r="AL28" s="69">
        <v>4782.3533454895023</v>
      </c>
      <c r="AM28" s="69">
        <v>2942.3777257283532</v>
      </c>
      <c r="AN28" s="69">
        <v>675.39451804161081</v>
      </c>
      <c r="AO28" s="69">
        <v>3600.1858495076499</v>
      </c>
      <c r="AP28" s="69">
        <v>503.2488368352254</v>
      </c>
      <c r="AQ28" s="69">
        <v>992.39115928014098</v>
      </c>
    </row>
    <row r="29" spans="1:43" x14ac:dyDescent="0.25">
      <c r="A29" s="11">
        <v>42573</v>
      </c>
      <c r="B29" s="59"/>
      <c r="C29" s="60">
        <v>105.32317316532159</v>
      </c>
      <c r="D29" s="60">
        <v>1231.3520567576088</v>
      </c>
      <c r="E29" s="60">
        <v>25.172743376096161</v>
      </c>
      <c r="F29" s="60">
        <v>0</v>
      </c>
      <c r="G29" s="60">
        <v>4266.0568651835119</v>
      </c>
      <c r="H29" s="61">
        <v>46.892789051930194</v>
      </c>
      <c r="I29" s="59">
        <v>528.56685835123096</v>
      </c>
      <c r="J29" s="60">
        <v>879.37572059631441</v>
      </c>
      <c r="K29" s="60">
        <v>48.125502604246108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774.78450071081841</v>
      </c>
      <c r="V29" s="62">
        <v>299.42190425066394</v>
      </c>
      <c r="W29" s="62">
        <v>50.401673930328499</v>
      </c>
      <c r="X29" s="62">
        <v>19.478145435013971</v>
      </c>
      <c r="Y29" s="66">
        <v>554.6512721184647</v>
      </c>
      <c r="Z29" s="66">
        <v>214.34959003490681</v>
      </c>
      <c r="AA29" s="67">
        <v>0</v>
      </c>
      <c r="AB29" s="68">
        <v>73.702316437827875</v>
      </c>
      <c r="AC29" s="69">
        <v>0</v>
      </c>
      <c r="AD29" s="69">
        <v>27.168787940343222</v>
      </c>
      <c r="AE29" s="68">
        <v>19.403453425635679</v>
      </c>
      <c r="AF29" s="68">
        <v>7.4986257061321506</v>
      </c>
      <c r="AG29" s="68">
        <v>0.72126222403095774</v>
      </c>
      <c r="AH29" s="69">
        <v>192.07723054885864</v>
      </c>
      <c r="AI29" s="69">
        <v>1059.3617425918578</v>
      </c>
      <c r="AJ29" s="69">
        <v>3492.900428009033</v>
      </c>
      <c r="AK29" s="69">
        <v>554.70343585014325</v>
      </c>
      <c r="AL29" s="69">
        <v>4513.362956873576</v>
      </c>
      <c r="AM29" s="69">
        <v>2889.5016591389972</v>
      </c>
      <c r="AN29" s="69">
        <v>729.3273050308228</v>
      </c>
      <c r="AO29" s="69">
        <v>3561.8360595703125</v>
      </c>
      <c r="AP29" s="69">
        <v>519.39716246922819</v>
      </c>
      <c r="AQ29" s="69">
        <v>946.63930336634303</v>
      </c>
    </row>
    <row r="30" spans="1:43" x14ac:dyDescent="0.25">
      <c r="A30" s="11">
        <v>42574</v>
      </c>
      <c r="B30" s="59"/>
      <c r="C30" s="60">
        <v>105.01201508045219</v>
      </c>
      <c r="D30" s="60">
        <v>1230.3848283131897</v>
      </c>
      <c r="E30" s="60">
        <v>25.183419865369828</v>
      </c>
      <c r="F30" s="60">
        <v>0</v>
      </c>
      <c r="G30" s="60">
        <v>4264.3692568461101</v>
      </c>
      <c r="H30" s="61">
        <v>46.884637836615276</v>
      </c>
      <c r="I30" s="59">
        <v>568.70306577682527</v>
      </c>
      <c r="J30" s="60">
        <v>882.17634207407696</v>
      </c>
      <c r="K30" s="60">
        <v>48.122161902984004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758.21427536358829</v>
      </c>
      <c r="V30" s="62">
        <v>296.07259970422888</v>
      </c>
      <c r="W30" s="62">
        <v>50.625204479757862</v>
      </c>
      <c r="X30" s="62">
        <v>19.768469663397589</v>
      </c>
      <c r="Y30" s="66">
        <v>570.23477550653354</v>
      </c>
      <c r="Z30" s="66">
        <v>222.66910280081026</v>
      </c>
      <c r="AA30" s="67">
        <v>0</v>
      </c>
      <c r="AB30" s="68">
        <v>73.699804480871421</v>
      </c>
      <c r="AC30" s="69">
        <v>0</v>
      </c>
      <c r="AD30" s="69">
        <v>26.681856081220861</v>
      </c>
      <c r="AE30" s="68">
        <v>18.960045736562328</v>
      </c>
      <c r="AF30" s="68">
        <v>7.4036459271928265</v>
      </c>
      <c r="AG30" s="68">
        <v>0.71917264009837556</v>
      </c>
      <c r="AH30" s="69">
        <v>200.77897515296937</v>
      </c>
      <c r="AI30" s="69">
        <v>1068.2832759857179</v>
      </c>
      <c r="AJ30" s="69">
        <v>3472.6085750579832</v>
      </c>
      <c r="AK30" s="69">
        <v>548.45978021621704</v>
      </c>
      <c r="AL30" s="69">
        <v>4375.4887812296547</v>
      </c>
      <c r="AM30" s="69">
        <v>2889.502640279135</v>
      </c>
      <c r="AN30" s="69">
        <v>698.39595966339107</v>
      </c>
      <c r="AO30" s="69">
        <v>3570.842528279622</v>
      </c>
      <c r="AP30" s="69">
        <v>495.16472450892121</v>
      </c>
      <c r="AQ30" s="69">
        <v>940.39568827946971</v>
      </c>
    </row>
    <row r="31" spans="1:43" x14ac:dyDescent="0.25">
      <c r="A31" s="11">
        <v>42575</v>
      </c>
      <c r="B31" s="59"/>
      <c r="C31" s="60">
        <v>105.66376132965146</v>
      </c>
      <c r="D31" s="60">
        <v>1226.7704691568997</v>
      </c>
      <c r="E31" s="60">
        <v>25.131365023056706</v>
      </c>
      <c r="F31" s="60">
        <v>0</v>
      </c>
      <c r="G31" s="60">
        <v>4263.2116767883272</v>
      </c>
      <c r="H31" s="61">
        <v>46.863377743959475</v>
      </c>
      <c r="I31" s="59">
        <v>570.82355318069597</v>
      </c>
      <c r="J31" s="60">
        <v>885.410068511963</v>
      </c>
      <c r="K31" s="60">
        <v>48.065161321560538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779.96383037745761</v>
      </c>
      <c r="V31" s="62">
        <v>300.04643810941468</v>
      </c>
      <c r="W31" s="62">
        <v>51.410598177826323</v>
      </c>
      <c r="X31" s="62">
        <v>19.777284873410174</v>
      </c>
      <c r="Y31" s="66">
        <v>621.05465833232358</v>
      </c>
      <c r="Z31" s="66">
        <v>238.91523022765406</v>
      </c>
      <c r="AA31" s="67">
        <v>0</v>
      </c>
      <c r="AB31" s="68">
        <v>73.698878044553098</v>
      </c>
      <c r="AC31" s="69">
        <v>0</v>
      </c>
      <c r="AD31" s="69">
        <v>27.388999166753567</v>
      </c>
      <c r="AE31" s="68">
        <v>19.499159079611488</v>
      </c>
      <c r="AF31" s="68">
        <v>7.5011853115482285</v>
      </c>
      <c r="AG31" s="68">
        <v>0.72218186542819729</v>
      </c>
      <c r="AH31" s="69">
        <v>205.35108947753906</v>
      </c>
      <c r="AI31" s="69">
        <v>1061.243407758077</v>
      </c>
      <c r="AJ31" s="69">
        <v>3434.0506116231277</v>
      </c>
      <c r="AK31" s="69">
        <v>541.96307749748223</v>
      </c>
      <c r="AL31" s="69">
        <v>4150.383923085531</v>
      </c>
      <c r="AM31" s="69">
        <v>2872.0499018351238</v>
      </c>
      <c r="AN31" s="69">
        <v>682.24836079279589</v>
      </c>
      <c r="AO31" s="69">
        <v>3557.6031372070315</v>
      </c>
      <c r="AP31" s="69">
        <v>488.22103131612141</v>
      </c>
      <c r="AQ31" s="69">
        <v>916.7840813000995</v>
      </c>
    </row>
    <row r="32" spans="1:43" x14ac:dyDescent="0.25">
      <c r="A32" s="11">
        <v>42576</v>
      </c>
      <c r="B32" s="59"/>
      <c r="C32" s="60">
        <v>104.95162282784828</v>
      </c>
      <c r="D32" s="60">
        <v>1216.1473055521649</v>
      </c>
      <c r="E32" s="60">
        <v>25.295655249555896</v>
      </c>
      <c r="F32" s="60">
        <v>0</v>
      </c>
      <c r="G32" s="60">
        <v>4262.1087341308639</v>
      </c>
      <c r="H32" s="61">
        <v>46.756257381041941</v>
      </c>
      <c r="I32" s="59">
        <v>570.64539718628032</v>
      </c>
      <c r="J32" s="60">
        <v>885.20670210520484</v>
      </c>
      <c r="K32" s="60">
        <v>48.333889391024854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755.12509300298507</v>
      </c>
      <c r="V32" s="62">
        <v>290.42312697450183</v>
      </c>
      <c r="W32" s="62">
        <v>50.347840312850437</v>
      </c>
      <c r="X32" s="62">
        <v>19.36391381449312</v>
      </c>
      <c r="Y32" s="66">
        <v>617.12640086645229</v>
      </c>
      <c r="Z32" s="66">
        <v>237.3484615183441</v>
      </c>
      <c r="AA32" s="67">
        <v>0</v>
      </c>
      <c r="AB32" s="68">
        <v>73.756339391073055</v>
      </c>
      <c r="AC32" s="69">
        <v>0</v>
      </c>
      <c r="AD32" s="69">
        <v>27.216822881168824</v>
      </c>
      <c r="AE32" s="68">
        <v>19.381109744446949</v>
      </c>
      <c r="AF32" s="68">
        <v>7.4540265558305601</v>
      </c>
      <c r="AG32" s="68">
        <v>0.72222885427440608</v>
      </c>
      <c r="AH32" s="69">
        <v>207.97772336006165</v>
      </c>
      <c r="AI32" s="69">
        <v>1057.524257469177</v>
      </c>
      <c r="AJ32" s="69">
        <v>3507.5760625203452</v>
      </c>
      <c r="AK32" s="69">
        <v>541.70663906733193</v>
      </c>
      <c r="AL32" s="69">
        <v>3795.0646016438809</v>
      </c>
      <c r="AM32" s="69">
        <v>2820.4773799896238</v>
      </c>
      <c r="AN32" s="69">
        <v>669.93168641726174</v>
      </c>
      <c r="AO32" s="69">
        <v>3277.9491414388026</v>
      </c>
      <c r="AP32" s="69">
        <v>522.10738948186247</v>
      </c>
      <c r="AQ32" s="69">
        <v>1001.2466347376504</v>
      </c>
    </row>
    <row r="33" spans="1:43" x14ac:dyDescent="0.25">
      <c r="A33" s="11">
        <v>42577</v>
      </c>
      <c r="B33" s="59"/>
      <c r="C33" s="60">
        <v>105.47627394994117</v>
      </c>
      <c r="D33" s="60">
        <v>1215.7832465489703</v>
      </c>
      <c r="E33" s="60">
        <v>25.268265276153993</v>
      </c>
      <c r="F33" s="60">
        <v>0</v>
      </c>
      <c r="G33" s="60">
        <v>3963.3863563537625</v>
      </c>
      <c r="H33" s="61">
        <v>46.854371472199844</v>
      </c>
      <c r="I33" s="59">
        <v>570.52819595337053</v>
      </c>
      <c r="J33" s="60">
        <v>884.84341189066572</v>
      </c>
      <c r="K33" s="60">
        <v>48.691065682967611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731.46969015473724</v>
      </c>
      <c r="V33" s="62">
        <v>275.0676347506585</v>
      </c>
      <c r="W33" s="62">
        <v>47.632917715761259</v>
      </c>
      <c r="X33" s="62">
        <v>17.912258277681328</v>
      </c>
      <c r="Y33" s="66">
        <v>589.59310929772846</v>
      </c>
      <c r="Z33" s="66">
        <v>221.71524565222251</v>
      </c>
      <c r="AA33" s="67">
        <v>0</v>
      </c>
      <c r="AB33" s="68">
        <v>73.700313769447035</v>
      </c>
      <c r="AC33" s="69">
        <v>0</v>
      </c>
      <c r="AD33" s="69">
        <v>26.302753123972114</v>
      </c>
      <c r="AE33" s="68">
        <v>18.835874555223576</v>
      </c>
      <c r="AF33" s="68">
        <v>7.0831909128995223</v>
      </c>
      <c r="AG33" s="68">
        <v>0.72671889263866885</v>
      </c>
      <c r="AH33" s="69">
        <v>223.6907958984375</v>
      </c>
      <c r="AI33" s="69">
        <v>1057.7870014826456</v>
      </c>
      <c r="AJ33" s="69">
        <v>3511.6766721089684</v>
      </c>
      <c r="AK33" s="69">
        <v>545.27173034350085</v>
      </c>
      <c r="AL33" s="69">
        <v>3773.4228649139404</v>
      </c>
      <c r="AM33" s="69">
        <v>2823.9252143859862</v>
      </c>
      <c r="AN33" s="69">
        <v>693.36530755360923</v>
      </c>
      <c r="AO33" s="69">
        <v>3309.7684422810867</v>
      </c>
      <c r="AP33" s="69">
        <v>536.44179442723589</v>
      </c>
      <c r="AQ33" s="69">
        <v>1005.8797430992125</v>
      </c>
    </row>
    <row r="34" spans="1:43" x14ac:dyDescent="0.25">
      <c r="A34" s="11">
        <v>42578</v>
      </c>
      <c r="B34" s="59"/>
      <c r="C34" s="60">
        <v>110.14169226090098</v>
      </c>
      <c r="D34" s="60">
        <v>1272.4895437240623</v>
      </c>
      <c r="E34" s="60">
        <v>26.18932273785283</v>
      </c>
      <c r="F34" s="60">
        <v>0</v>
      </c>
      <c r="G34" s="60">
        <v>4107.2927200317372</v>
      </c>
      <c r="H34" s="61">
        <v>48.91842375397691</v>
      </c>
      <c r="I34" s="59">
        <v>577.52857507069871</v>
      </c>
      <c r="J34" s="60">
        <v>884.68593184153281</v>
      </c>
      <c r="K34" s="60">
        <v>48.477799048026526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727.57278644194594</v>
      </c>
      <c r="V34" s="62">
        <v>296.10643185028948</v>
      </c>
      <c r="W34" s="62">
        <v>46.082714109533171</v>
      </c>
      <c r="X34" s="62">
        <v>18.754670734293114</v>
      </c>
      <c r="Y34" s="66">
        <v>574.01082577355692</v>
      </c>
      <c r="Z34" s="66">
        <v>233.61002587032323</v>
      </c>
      <c r="AA34" s="67">
        <v>0</v>
      </c>
      <c r="AB34" s="68">
        <v>74.757636679544291</v>
      </c>
      <c r="AC34" s="69">
        <v>0</v>
      </c>
      <c r="AD34" s="69">
        <v>26.818955159187293</v>
      </c>
      <c r="AE34" s="68">
        <v>18.792992780929843</v>
      </c>
      <c r="AF34" s="68">
        <v>7.648342736075386</v>
      </c>
      <c r="AG34" s="68">
        <v>0.71074294900284052</v>
      </c>
      <c r="AH34" s="69">
        <v>214.2955634911855</v>
      </c>
      <c r="AI34" s="69">
        <v>1072.9096122741701</v>
      </c>
      <c r="AJ34" s="69">
        <v>3468.7533810933433</v>
      </c>
      <c r="AK34" s="69">
        <v>552.18749564488735</v>
      </c>
      <c r="AL34" s="69">
        <v>3684.720969263713</v>
      </c>
      <c r="AM34" s="69">
        <v>2842.2176083882659</v>
      </c>
      <c r="AN34" s="69">
        <v>684.67071765263881</v>
      </c>
      <c r="AO34" s="69">
        <v>3064.2444680531817</v>
      </c>
      <c r="AP34" s="69">
        <v>539.05185502370205</v>
      </c>
      <c r="AQ34" s="69">
        <v>1017.5102176666261</v>
      </c>
    </row>
    <row r="35" spans="1:43" x14ac:dyDescent="0.25">
      <c r="A35" s="11">
        <v>42579</v>
      </c>
      <c r="B35" s="59"/>
      <c r="C35" s="60">
        <v>115.88648227850544</v>
      </c>
      <c r="D35" s="60">
        <v>1342.4125335693334</v>
      </c>
      <c r="E35" s="60">
        <v>27.977938165267236</v>
      </c>
      <c r="F35" s="60">
        <v>0</v>
      </c>
      <c r="G35" s="60">
        <v>4318.5220507303811</v>
      </c>
      <c r="H35" s="61">
        <v>51.739560198783835</v>
      </c>
      <c r="I35" s="59">
        <v>589.95846150716091</v>
      </c>
      <c r="J35" s="60">
        <v>884.97259947458952</v>
      </c>
      <c r="K35" s="60">
        <v>49.142085655530359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709.02873623739652</v>
      </c>
      <c r="V35" s="62">
        <v>305.2934909439341</v>
      </c>
      <c r="W35" s="62">
        <v>45.998396255240884</v>
      </c>
      <c r="X35" s="62">
        <v>19.805982822511449</v>
      </c>
      <c r="Y35" s="66">
        <v>546.97092244218231</v>
      </c>
      <c r="Z35" s="66">
        <v>235.51466086317737</v>
      </c>
      <c r="AA35" s="67">
        <v>0</v>
      </c>
      <c r="AB35" s="68">
        <v>76.080682643254079</v>
      </c>
      <c r="AC35" s="69">
        <v>0</v>
      </c>
      <c r="AD35" s="69">
        <v>26.580190809567799</v>
      </c>
      <c r="AE35" s="68">
        <v>18.352874513031541</v>
      </c>
      <c r="AF35" s="68">
        <v>7.9023780597001849</v>
      </c>
      <c r="AG35" s="68">
        <v>0.69901725234563283</v>
      </c>
      <c r="AH35" s="69">
        <v>203.41106950441997</v>
      </c>
      <c r="AI35" s="69">
        <v>1072.7997053782146</v>
      </c>
      <c r="AJ35" s="69">
        <v>3446.2906216939291</v>
      </c>
      <c r="AK35" s="69">
        <v>557.26103051503492</v>
      </c>
      <c r="AL35" s="69">
        <v>3894.1861756642661</v>
      </c>
      <c r="AM35" s="69">
        <v>2924.2424947102863</v>
      </c>
      <c r="AN35" s="69">
        <v>678.4907158215841</v>
      </c>
      <c r="AO35" s="69">
        <v>3383.9056444803873</v>
      </c>
      <c r="AP35" s="69">
        <v>533.04310372670489</v>
      </c>
      <c r="AQ35" s="69">
        <v>996.81615826288851</v>
      </c>
    </row>
    <row r="36" spans="1:43" x14ac:dyDescent="0.25">
      <c r="A36" s="388">
        <v>42580</v>
      </c>
      <c r="B36" s="59"/>
      <c r="C36" s="60">
        <v>119.05036507447551</v>
      </c>
      <c r="D36" s="60">
        <v>1377.3473642984982</v>
      </c>
      <c r="E36" s="60">
        <v>28.560714497168799</v>
      </c>
      <c r="F36" s="60">
        <v>0</v>
      </c>
      <c r="G36" s="60">
        <v>4401.0980784098274</v>
      </c>
      <c r="H36" s="61">
        <v>53.157343141237938</v>
      </c>
      <c r="I36" s="59">
        <v>571.77361847559803</v>
      </c>
      <c r="J36" s="60">
        <v>849.02158120473212</v>
      </c>
      <c r="K36" s="60">
        <v>46.765298712253546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690.15783356980717</v>
      </c>
      <c r="V36" s="62">
        <v>305.33347718560981</v>
      </c>
      <c r="W36" s="62">
        <v>46.833285017835323</v>
      </c>
      <c r="X36" s="62">
        <v>20.719564521285704</v>
      </c>
      <c r="Y36" s="66">
        <v>531.52975359134132</v>
      </c>
      <c r="Z36" s="66">
        <v>235.15465593166974</v>
      </c>
      <c r="AA36" s="67">
        <v>0</v>
      </c>
      <c r="AB36" s="68">
        <v>74.808590740627466</v>
      </c>
      <c r="AC36" s="69">
        <v>0</v>
      </c>
      <c r="AD36" s="69">
        <v>26.960446331236056</v>
      </c>
      <c r="AE36" s="68">
        <v>18.413516670776502</v>
      </c>
      <c r="AF36" s="68">
        <v>8.1463439213933224</v>
      </c>
      <c r="AG36" s="68">
        <v>0.69328363403402182</v>
      </c>
      <c r="AH36" s="69">
        <v>209.20912041664124</v>
      </c>
      <c r="AI36" s="69">
        <v>1072.3734904607134</v>
      </c>
      <c r="AJ36" s="69">
        <v>3421.2309294382726</v>
      </c>
      <c r="AK36" s="69">
        <v>548.4562663396199</v>
      </c>
      <c r="AL36" s="69">
        <v>3782.6670806884767</v>
      </c>
      <c r="AM36" s="69">
        <v>2914.435742696126</v>
      </c>
      <c r="AN36" s="69">
        <v>663.45279153188073</v>
      </c>
      <c r="AO36" s="69">
        <v>3266.9061920166014</v>
      </c>
      <c r="AP36" s="69">
        <v>511.99985885620112</v>
      </c>
      <c r="AQ36" s="69">
        <v>976.07746378580737</v>
      </c>
    </row>
    <row r="37" spans="1:43" s="375" customFormat="1" ht="15" customHeight="1" x14ac:dyDescent="0.25">
      <c r="A37" s="387">
        <v>42581</v>
      </c>
      <c r="B37" s="369"/>
      <c r="C37" s="370">
        <v>118.99607417583454</v>
      </c>
      <c r="D37" s="370">
        <v>1377.4875938415507</v>
      </c>
      <c r="E37" s="370">
        <v>28.644794841607304</v>
      </c>
      <c r="F37" s="370">
        <v>0</v>
      </c>
      <c r="G37" s="370">
        <v>4411.6284945170128</v>
      </c>
      <c r="H37" s="371">
        <v>53.16388892730096</v>
      </c>
      <c r="I37" s="369">
        <v>573.17930021286054</v>
      </c>
      <c r="J37" s="370">
        <v>841.11107489267954</v>
      </c>
      <c r="K37" s="370">
        <v>46.286664414405756</v>
      </c>
      <c r="L37" s="372">
        <v>0</v>
      </c>
      <c r="M37" s="370">
        <v>0</v>
      </c>
      <c r="N37" s="371">
        <v>0</v>
      </c>
      <c r="O37" s="369">
        <v>0</v>
      </c>
      <c r="P37" s="370">
        <v>0</v>
      </c>
      <c r="Q37" s="370">
        <v>0</v>
      </c>
      <c r="R37" s="370">
        <v>0</v>
      </c>
      <c r="S37" s="370">
        <v>0</v>
      </c>
      <c r="T37" s="371">
        <v>0</v>
      </c>
      <c r="U37" s="369">
        <v>686.05420781050714</v>
      </c>
      <c r="V37" s="370">
        <v>315.17889736154939</v>
      </c>
      <c r="W37" s="370">
        <v>47.572244714788823</v>
      </c>
      <c r="X37" s="370">
        <v>21.855077140438322</v>
      </c>
      <c r="Y37" s="370">
        <v>528.06294294776853</v>
      </c>
      <c r="Z37" s="370">
        <v>242.59642197507333</v>
      </c>
      <c r="AA37" s="371">
        <v>0</v>
      </c>
      <c r="AB37" s="373">
        <v>74.501183011797281</v>
      </c>
      <c r="AC37" s="374">
        <v>0</v>
      </c>
      <c r="AD37" s="374">
        <v>27.386198570993219</v>
      </c>
      <c r="AE37" s="374">
        <v>18.500131105101868</v>
      </c>
      <c r="AF37" s="374">
        <v>8.4991110853453584</v>
      </c>
      <c r="AG37" s="374">
        <v>0.68520927271238441</v>
      </c>
      <c r="AH37" s="374">
        <v>220.87738037109375</v>
      </c>
      <c r="AI37" s="374">
        <v>1077.312619272868</v>
      </c>
      <c r="AJ37" s="374">
        <v>3395.328206253052</v>
      </c>
      <c r="AK37" s="374">
        <v>557.56932477951045</v>
      </c>
      <c r="AL37" s="374">
        <v>3631.7249529520668</v>
      </c>
      <c r="AM37" s="374">
        <v>2862.9371326446535</v>
      </c>
      <c r="AN37" s="374">
        <v>680.1121517499289</v>
      </c>
      <c r="AO37" s="374">
        <v>3380.9734855651855</v>
      </c>
      <c r="AP37" s="374">
        <v>513.22896906534822</v>
      </c>
      <c r="AQ37" s="374">
        <v>913.54819637934372</v>
      </c>
    </row>
    <row r="38" spans="1:43" s="375" customFormat="1" ht="15" customHeight="1" thickBot="1" x14ac:dyDescent="0.3">
      <c r="A38" s="377">
        <v>42582</v>
      </c>
      <c r="B38" s="369"/>
      <c r="C38" s="370">
        <v>119.6657284657161</v>
      </c>
      <c r="D38" s="370">
        <v>1383.5016192754081</v>
      </c>
      <c r="E38" s="370">
        <v>28.764570933580309</v>
      </c>
      <c r="F38" s="370">
        <v>0</v>
      </c>
      <c r="G38" s="370">
        <v>4471.7118751525923</v>
      </c>
      <c r="H38" s="371">
        <v>53.337536104520218</v>
      </c>
      <c r="I38" s="369">
        <v>572.68815151850515</v>
      </c>
      <c r="J38" s="370">
        <v>840.69971504211333</v>
      </c>
      <c r="K38" s="370">
        <v>45.696457598606678</v>
      </c>
      <c r="L38" s="372">
        <v>0</v>
      </c>
      <c r="M38" s="370">
        <v>0</v>
      </c>
      <c r="N38" s="371">
        <v>0</v>
      </c>
      <c r="O38" s="369">
        <v>0</v>
      </c>
      <c r="P38" s="370">
        <v>0</v>
      </c>
      <c r="Q38" s="370">
        <v>0</v>
      </c>
      <c r="R38" s="370">
        <v>0</v>
      </c>
      <c r="S38" s="370">
        <v>0</v>
      </c>
      <c r="T38" s="376">
        <v>0</v>
      </c>
      <c r="U38" s="369">
        <v>664.68340708306914</v>
      </c>
      <c r="V38" s="370">
        <v>305.36624522846608</v>
      </c>
      <c r="W38" s="370">
        <v>48.132778048644056</v>
      </c>
      <c r="X38" s="370">
        <v>22.11297220376176</v>
      </c>
      <c r="Y38" s="370">
        <v>528.27788244333715</v>
      </c>
      <c r="Z38" s="370">
        <v>242.69935382756748</v>
      </c>
      <c r="AA38" s="371">
        <v>0</v>
      </c>
      <c r="AB38" s="373">
        <v>74.825694327882985</v>
      </c>
      <c r="AC38" s="374">
        <v>0</v>
      </c>
      <c r="AD38" s="374">
        <v>27.399311439196307</v>
      </c>
      <c r="AE38" s="374">
        <v>18.498275553853446</v>
      </c>
      <c r="AF38" s="374">
        <v>8.4984052390761669</v>
      </c>
      <c r="AG38" s="374">
        <v>0.6852055515912947</v>
      </c>
      <c r="AH38" s="374">
        <v>215.54089525540667</v>
      </c>
      <c r="AI38" s="374">
        <v>1073.138438796997</v>
      </c>
      <c r="AJ38" s="374">
        <v>3169.8323824564618</v>
      </c>
      <c r="AK38" s="374">
        <v>552.7058668454489</v>
      </c>
      <c r="AL38" s="374">
        <v>3448.0008443196616</v>
      </c>
      <c r="AM38" s="374">
        <v>2850.7226510365804</v>
      </c>
      <c r="AN38" s="374">
        <v>692.31279258728034</v>
      </c>
      <c r="AO38" s="374">
        <v>3315.4722877502445</v>
      </c>
      <c r="AP38" s="374">
        <v>527.25862150192256</v>
      </c>
      <c r="AQ38" s="374">
        <v>896.4233669916789</v>
      </c>
    </row>
    <row r="39" spans="1:43" ht="15.75" thickTop="1" x14ac:dyDescent="0.25">
      <c r="A39" s="46" t="s">
        <v>173</v>
      </c>
      <c r="B39" s="29">
        <f t="shared" ref="B39:AC39" si="0">SUM(B8:B37)</f>
        <v>0</v>
      </c>
      <c r="C39" s="30">
        <f t="shared" si="0"/>
        <v>2540.8585479338994</v>
      </c>
      <c r="D39" s="30">
        <f t="shared" si="0"/>
        <v>36568.549670561122</v>
      </c>
      <c r="E39" s="30">
        <f t="shared" si="0"/>
        <v>647.74540631771083</v>
      </c>
      <c r="F39" s="30">
        <f t="shared" si="0"/>
        <v>0</v>
      </c>
      <c r="G39" s="30">
        <f t="shared" si="0"/>
        <v>112601.56717669166</v>
      </c>
      <c r="H39" s="31">
        <f t="shared" si="0"/>
        <v>1437.9143867423154</v>
      </c>
      <c r="I39" s="29">
        <f t="shared" si="0"/>
        <v>15802.834570896628</v>
      </c>
      <c r="J39" s="30">
        <f t="shared" si="0"/>
        <v>27242.8433945338</v>
      </c>
      <c r="K39" s="30">
        <f t="shared" si="0"/>
        <v>1473.8537234028181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21652.246034250875</v>
      </c>
      <c r="V39" s="262">
        <f t="shared" si="0"/>
        <v>7965.0521941613642</v>
      </c>
      <c r="W39" s="262">
        <f t="shared" si="0"/>
        <v>1439.7533531402401</v>
      </c>
      <c r="X39" s="262">
        <f t="shared" si="0"/>
        <v>530.06121829998006</v>
      </c>
      <c r="Y39" s="262">
        <f t="shared" si="0"/>
        <v>15593.289987877304</v>
      </c>
      <c r="Z39" s="262">
        <f t="shared" si="0"/>
        <v>5756.5974087444019</v>
      </c>
      <c r="AA39" s="270">
        <f t="shared" si="0"/>
        <v>0</v>
      </c>
      <c r="AB39" s="273">
        <f t="shared" si="0"/>
        <v>2135.0263722446361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159</v>
      </c>
      <c r="AH39" s="273">
        <f t="shared" ref="AH39:AQ39" si="1">SUM(AH8:AH38)</f>
        <v>6264.0937951405849</v>
      </c>
      <c r="AI39" s="273">
        <f t="shared" si="1"/>
        <v>32916.306898752839</v>
      </c>
      <c r="AJ39" s="273">
        <f t="shared" si="1"/>
        <v>105775.91892833707</v>
      </c>
      <c r="AK39" s="273">
        <f t="shared" si="1"/>
        <v>17118.278029425936</v>
      </c>
      <c r="AL39" s="273">
        <f t="shared" si="1"/>
        <v>139750.3132827759</v>
      </c>
      <c r="AM39" s="273">
        <f t="shared" si="1"/>
        <v>86219.491316223124</v>
      </c>
      <c r="AN39" s="273">
        <f t="shared" si="1"/>
        <v>20520.20699294408</v>
      </c>
      <c r="AO39" s="273">
        <f t="shared" si="1"/>
        <v>104259.1787387848</v>
      </c>
      <c r="AP39" s="273">
        <f t="shared" si="1"/>
        <v>12580.917041746772</v>
      </c>
      <c r="AQ39" s="273">
        <f t="shared" si="1"/>
        <v>29388.450664170588</v>
      </c>
    </row>
    <row r="40" spans="1:43" ht="15.75" thickBot="1" x14ac:dyDescent="0.3">
      <c r="A40" s="47" t="s">
        <v>174</v>
      </c>
      <c r="B40" s="32">
        <f>Projection!$AC$30</f>
        <v>0.80583665399999982</v>
      </c>
      <c r="C40" s="33">
        <f>Projection!$AC$28</f>
        <v>1.3221902399999999</v>
      </c>
      <c r="D40" s="33">
        <f>Projection!$AC$31</f>
        <v>2.1962556000000002</v>
      </c>
      <c r="E40" s="33">
        <f>Projection!$AC$26</f>
        <v>4.3368000000000002</v>
      </c>
      <c r="F40" s="33">
        <f>Projection!$AC$23</f>
        <v>0</v>
      </c>
      <c r="G40" s="33">
        <f>Projection!$AC$24</f>
        <v>5.2499999999999998E-2</v>
      </c>
      <c r="H40" s="34">
        <f>Projection!$AC$29</f>
        <v>3.6159737999999999</v>
      </c>
      <c r="I40" s="32">
        <f>Projection!$AC$30</f>
        <v>0.80583665399999982</v>
      </c>
      <c r="J40" s="33">
        <f>Projection!$AC$28</f>
        <v>1.3221902399999999</v>
      </c>
      <c r="K40" s="33">
        <f>Projection!$AC$26</f>
        <v>4.3368000000000002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1.3221902399999999</v>
      </c>
      <c r="T40" s="38">
        <f>Projection!$AC$28</f>
        <v>1.3221902399999999</v>
      </c>
      <c r="U40" s="26">
        <f>Projection!$AC$27</f>
        <v>0.25650000000000001</v>
      </c>
      <c r="V40" s="27">
        <f>Projection!$AC$27</f>
        <v>0.25650000000000001</v>
      </c>
      <c r="W40" s="27">
        <f>Projection!$AC$22</f>
        <v>1.625</v>
      </c>
      <c r="X40" s="27">
        <f>Projection!$AC$22</f>
        <v>1.625</v>
      </c>
      <c r="Y40" s="27">
        <f>Projection!$AC$31</f>
        <v>2.1962556000000002</v>
      </c>
      <c r="Z40" s="27">
        <f>Projection!$AC$31</f>
        <v>2.1962556000000002</v>
      </c>
      <c r="AA40" s="28">
        <v>0</v>
      </c>
      <c r="AB40" s="41">
        <f>Projection!$AC$27</f>
        <v>0.25650000000000001</v>
      </c>
      <c r="AC40" s="41">
        <f>Projection!$AC$30</f>
        <v>0.80583665399999982</v>
      </c>
      <c r="AD40" s="277">
        <f>SUM(AD8:AD37)</f>
        <v>777.14819158977957</v>
      </c>
      <c r="AE40" s="277">
        <f>SUM(AE8:AE37)</f>
        <v>560.42609113786671</v>
      </c>
      <c r="AF40" s="277">
        <f>SUM(AF8:AF37)</f>
        <v>206.24278143404885</v>
      </c>
      <c r="AG40" s="277">
        <f>IF(SUM(AE40:AF40)&gt;0, AE40/(AE40+AF40), "")</f>
        <v>0.73098845040861793</v>
      </c>
      <c r="AH40" s="313">
        <v>0.06</v>
      </c>
      <c r="AI40" s="313">
        <f t="shared" ref="AI40:AQ40" si="2">$AH$40</f>
        <v>0.06</v>
      </c>
      <c r="AJ40" s="313">
        <f t="shared" si="2"/>
        <v>0.06</v>
      </c>
      <c r="AK40" s="313">
        <f t="shared" si="2"/>
        <v>0.06</v>
      </c>
      <c r="AL40" s="313">
        <f t="shared" si="2"/>
        <v>0.06</v>
      </c>
      <c r="AM40" s="313">
        <f t="shared" si="2"/>
        <v>0.06</v>
      </c>
      <c r="AN40" s="313">
        <f t="shared" si="2"/>
        <v>0.06</v>
      </c>
      <c r="AO40" s="313">
        <f t="shared" si="2"/>
        <v>0.06</v>
      </c>
      <c r="AP40" s="313">
        <f t="shared" si="2"/>
        <v>0.06</v>
      </c>
      <c r="AQ40" s="313">
        <f t="shared" si="2"/>
        <v>0.06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3359.4983732987735</v>
      </c>
      <c r="D41" s="36">
        <f t="shared" si="3"/>
        <v>80313.881997848031</v>
      </c>
      <c r="E41" s="36">
        <f t="shared" si="3"/>
        <v>2809.1422781186484</v>
      </c>
      <c r="F41" s="36">
        <f t="shared" si="3"/>
        <v>0</v>
      </c>
      <c r="G41" s="36">
        <f t="shared" si="3"/>
        <v>5911.582276776312</v>
      </c>
      <c r="H41" s="37">
        <f t="shared" si="3"/>
        <v>5199.4607491032793</v>
      </c>
      <c r="I41" s="35">
        <f t="shared" si="3"/>
        <v>12734.503334326862</v>
      </c>
      <c r="J41" s="36">
        <f t="shared" si="3"/>
        <v>36020.221646101054</v>
      </c>
      <c r="K41" s="36">
        <f t="shared" si="3"/>
        <v>6391.8088276533417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5553.8011077853498</v>
      </c>
      <c r="V41" s="268">
        <f t="shared" si="3"/>
        <v>2043.0358878023899</v>
      </c>
      <c r="W41" s="268">
        <f t="shared" si="3"/>
        <v>2339.5991988528899</v>
      </c>
      <c r="X41" s="268">
        <f t="shared" si="3"/>
        <v>861.34947973746762</v>
      </c>
      <c r="Y41" s="268">
        <f t="shared" si="3"/>
        <v>34246.850458299465</v>
      </c>
      <c r="Z41" s="268">
        <f t="shared" si="3"/>
        <v>12642.959295900382</v>
      </c>
      <c r="AA41" s="272">
        <f t="shared" si="3"/>
        <v>0</v>
      </c>
      <c r="AB41" s="275">
        <f t="shared" si="3"/>
        <v>547.63426448074915</v>
      </c>
      <c r="AC41" s="275">
        <f t="shared" si="3"/>
        <v>0</v>
      </c>
      <c r="AH41" s="278">
        <f t="shared" ref="AH41:AQ41" si="4">AH40*AH39</f>
        <v>375.84562770843507</v>
      </c>
      <c r="AI41" s="278">
        <f t="shared" si="4"/>
        <v>1974.9784139251703</v>
      </c>
      <c r="AJ41" s="278">
        <f t="shared" si="4"/>
        <v>6346.5551357002241</v>
      </c>
      <c r="AK41" s="278">
        <f t="shared" si="4"/>
        <v>1027.096681765556</v>
      </c>
      <c r="AL41" s="278">
        <f t="shared" si="4"/>
        <v>8385.0187969665531</v>
      </c>
      <c r="AM41" s="278">
        <f t="shared" si="4"/>
        <v>5173.1694789733874</v>
      </c>
      <c r="AN41" s="278">
        <f t="shared" si="4"/>
        <v>1231.2124195766448</v>
      </c>
      <c r="AO41" s="278">
        <f t="shared" si="4"/>
        <v>6255.5507243270877</v>
      </c>
      <c r="AP41" s="278">
        <f t="shared" si="4"/>
        <v>754.85502250480636</v>
      </c>
      <c r="AQ41" s="278">
        <f t="shared" si="4"/>
        <v>1763.3070398502352</v>
      </c>
    </row>
    <row r="42" spans="1:43" ht="49.5" customHeight="1" thickTop="1" thickBot="1" x14ac:dyDescent="0.3">
      <c r="A42" s="576" t="s">
        <v>229</v>
      </c>
      <c r="B42" s="577"/>
      <c r="C42" s="577"/>
      <c r="D42" s="577"/>
      <c r="E42" s="577"/>
      <c r="F42" s="577"/>
      <c r="G42" s="577"/>
      <c r="H42" s="577"/>
      <c r="I42" s="577"/>
      <c r="J42" s="577"/>
      <c r="K42" s="57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6" t="s">
        <v>186</v>
      </c>
      <c r="AH42" s="295">
        <v>164</v>
      </c>
      <c r="AI42" s="278" t="s">
        <v>199</v>
      </c>
      <c r="AJ42" s="278">
        <v>103.75</v>
      </c>
      <c r="AK42" s="278">
        <v>41.16</v>
      </c>
      <c r="AL42" s="278">
        <v>148.26</v>
      </c>
      <c r="AM42" s="278">
        <v>1387.81</v>
      </c>
      <c r="AN42" s="278">
        <v>127.25</v>
      </c>
      <c r="AO42" s="278" t="s">
        <v>199</v>
      </c>
      <c r="AP42" s="278">
        <v>39.21</v>
      </c>
      <c r="AQ42" s="278">
        <v>121.85</v>
      </c>
    </row>
    <row r="43" spans="1:43" ht="38.25" customHeight="1" thickTop="1" thickBot="1" x14ac:dyDescent="0.3">
      <c r="A43" s="608" t="s">
        <v>49</v>
      </c>
      <c r="B43" s="605"/>
      <c r="C43" s="289"/>
      <c r="D43" s="605" t="s">
        <v>47</v>
      </c>
      <c r="E43" s="605"/>
      <c r="F43" s="289"/>
      <c r="G43" s="605" t="s">
        <v>48</v>
      </c>
      <c r="H43" s="605"/>
      <c r="I43" s="290"/>
      <c r="J43" s="605" t="s">
        <v>50</v>
      </c>
      <c r="K43" s="578"/>
      <c r="L43" s="44"/>
      <c r="M43" s="44"/>
      <c r="N43" s="44"/>
      <c r="O43" s="45"/>
      <c r="P43" s="45"/>
      <c r="Q43" s="45"/>
      <c r="R43" s="568" t="s">
        <v>168</v>
      </c>
      <c r="S43" s="569"/>
      <c r="T43" s="569"/>
      <c r="U43" s="570"/>
      <c r="AC43" s="45"/>
    </row>
    <row r="44" spans="1:43" ht="24.75" thickTop="1" thickBot="1" x14ac:dyDescent="0.3">
      <c r="A44" s="282" t="s">
        <v>135</v>
      </c>
      <c r="B44" s="283">
        <f>SUM(B41:AC41)</f>
        <v>210975.32917608501</v>
      </c>
      <c r="C44" s="12"/>
      <c r="D44" s="282" t="s">
        <v>135</v>
      </c>
      <c r="E44" s="283">
        <f>SUM(B41:H41)+P41+R41+T41+V41+X41+Z41</f>
        <v>113140.91033858528</v>
      </c>
      <c r="F44" s="12"/>
      <c r="G44" s="282" t="s">
        <v>135</v>
      </c>
      <c r="H44" s="283">
        <f>SUM(I41:N41)+O41+Q41+S41+U41+W41+Y41</f>
        <v>97286.784573018958</v>
      </c>
      <c r="I44" s="12"/>
      <c r="J44" s="282" t="s">
        <v>200</v>
      </c>
      <c r="K44" s="283">
        <v>124276.63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3" ht="24" thickBot="1" x14ac:dyDescent="0.4">
      <c r="A45" s="284" t="s">
        <v>185</v>
      </c>
      <c r="B45" s="285">
        <f>SUM(AH41:AQ41)</f>
        <v>33287.589341298102</v>
      </c>
      <c r="C45" s="12"/>
      <c r="D45" s="284" t="s">
        <v>185</v>
      </c>
      <c r="E45" s="285">
        <f>AH41*(1-$AG$40)+AI41+AJ41*0.5+AL41+AM41*(1-$AG$40)+AN41*(1-$AG$40)+AO41*(1-$AG$40)+AP41*0.5+AQ41*0.5</f>
        <v>18299.130717239015</v>
      </c>
      <c r="F45" s="24"/>
      <c r="G45" s="284" t="s">
        <v>185</v>
      </c>
      <c r="H45" s="285">
        <f>AH41*AG40+AJ41*0.5+AK41+AM41*AG40+AN41*AG40+AO41*AG40+AP41*0.5+AQ41*0.5</f>
        <v>14988.458624059087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1969.8145714402201</v>
      </c>
      <c r="U45" s="256">
        <f>(T45*8.34*0.895)/27000</f>
        <v>0.54456618168893467</v>
      </c>
    </row>
    <row r="46" spans="1:43" ht="32.25" thickBot="1" x14ac:dyDescent="0.3">
      <c r="A46" s="286" t="s">
        <v>186</v>
      </c>
      <c r="B46" s="287">
        <f>SUM(AH42:AQ42)</f>
        <v>2133.29</v>
      </c>
      <c r="C46" s="12"/>
      <c r="D46" s="286" t="s">
        <v>186</v>
      </c>
      <c r="E46" s="287">
        <f>AH42*(1-$AG$40)+AJ42*0.5+AL42+AM42*(1-$AG$40)+AN42*(1-$AG$40)+AP42*0.5+AQ42*0.5</f>
        <v>732.35153245690583</v>
      </c>
      <c r="F46" s="23"/>
      <c r="G46" s="286" t="s">
        <v>186</v>
      </c>
      <c r="H46" s="287">
        <f>AH42*AG40+AJ42*0.5+AK42+AM42*AG40+AN42*AG40+AP42*0.5+AQ42*0.5</f>
        <v>1400.938467543094</v>
      </c>
      <c r="I46" s="12"/>
      <c r="J46" s="606" t="s">
        <v>201</v>
      </c>
      <c r="K46" s="607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3" ht="24.75" thickTop="1" thickBot="1" x14ac:dyDescent="0.4">
      <c r="A47" s="286" t="s">
        <v>187</v>
      </c>
      <c r="B47" s="287">
        <f>K44</f>
        <v>124276.63</v>
      </c>
      <c r="C47" s="12"/>
      <c r="D47" s="286" t="s">
        <v>189</v>
      </c>
      <c r="E47" s="287">
        <f>K44*0.5</f>
        <v>62138.315000000002</v>
      </c>
      <c r="F47" s="24"/>
      <c r="G47" s="286" t="s">
        <v>187</v>
      </c>
      <c r="H47" s="287">
        <f>K44*0.5</f>
        <v>62138.315000000002</v>
      </c>
      <c r="I47" s="12"/>
      <c r="J47" s="282" t="s">
        <v>200</v>
      </c>
      <c r="K47" s="283">
        <v>243140.41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112601.56717669166</v>
      </c>
      <c r="U47" s="256">
        <f>T47/40000</f>
        <v>2.8150391794172918</v>
      </c>
    </row>
    <row r="48" spans="1:43" ht="24" thickBot="1" x14ac:dyDescent="0.3">
      <c r="A48" s="286" t="s">
        <v>188</v>
      </c>
      <c r="B48" s="287">
        <f>K47</f>
        <v>243140.41</v>
      </c>
      <c r="C48" s="12"/>
      <c r="D48" s="286" t="s">
        <v>188</v>
      </c>
      <c r="E48" s="287">
        <f>K47*0.5</f>
        <v>121570.205</v>
      </c>
      <c r="F48" s="23"/>
      <c r="G48" s="286" t="s">
        <v>188</v>
      </c>
      <c r="H48" s="287">
        <f>K47*0.5</f>
        <v>121570.205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196</v>
      </c>
      <c r="B49" s="292">
        <f>AD40</f>
        <v>777.14819158977957</v>
      </c>
      <c r="C49" s="12"/>
      <c r="D49" s="291" t="s">
        <v>197</v>
      </c>
      <c r="E49" s="292">
        <f>AF40</f>
        <v>206.24278143404885</v>
      </c>
      <c r="F49" s="379">
        <f>E44/E49</f>
        <v>548.58118937251072</v>
      </c>
      <c r="G49" s="291" t="s">
        <v>198</v>
      </c>
      <c r="H49" s="292">
        <f>AE40</f>
        <v>560.42609113786671</v>
      </c>
      <c r="I49" s="378">
        <f>H44/H49</f>
        <v>173.59431709450172</v>
      </c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2121.5991297205292</v>
      </c>
      <c r="U49" s="256">
        <f>(T49*8.34*1.04)/45000</f>
        <v>0.40893116025653298</v>
      </c>
    </row>
    <row r="50" spans="1:25" ht="48" thickTop="1" thickBot="1" x14ac:dyDescent="0.3">
      <c r="A50" s="291" t="s">
        <v>192</v>
      </c>
      <c r="B50" s="293">
        <f>(SUM(B44:B48)/AD40)</f>
        <v>789.82780267651526</v>
      </c>
      <c r="C50" s="12"/>
      <c r="D50" s="291" t="s">
        <v>190</v>
      </c>
      <c r="E50" s="293">
        <f>SUM(E44:E48)/AF40</f>
        <v>1531.5974231529253</v>
      </c>
      <c r="F50" s="23"/>
      <c r="G50" s="291" t="s">
        <v>191</v>
      </c>
      <c r="H50" s="293">
        <f>SUM(H44:H48)/AE40</f>
        <v>530.6403580547493</v>
      </c>
      <c r="I50" s="12"/>
      <c r="J50" s="12"/>
      <c r="K50" s="86"/>
      <c r="L50" s="12"/>
      <c r="M50" s="12"/>
      <c r="N50" s="12"/>
      <c r="O50" s="12"/>
      <c r="P50" s="12"/>
      <c r="Q50" s="12"/>
      <c r="R50" s="318" t="s">
        <v>153</v>
      </c>
      <c r="S50" s="319"/>
      <c r="T50" s="254">
        <f>$U$39+$V$39+$AB$39</f>
        <v>31752.324600656877</v>
      </c>
      <c r="U50" s="256">
        <f>T50/2000/8</f>
        <v>1.9845202875410548</v>
      </c>
    </row>
    <row r="51" spans="1:25" ht="47.25" customHeight="1" thickTop="1" thickBot="1" x14ac:dyDescent="0.3">
      <c r="A51" s="281" t="s">
        <v>193</v>
      </c>
      <c r="B51" s="294">
        <f>B50/1000</f>
        <v>0.78982780267651531</v>
      </c>
      <c r="C51" s="12"/>
      <c r="D51" s="281" t="s">
        <v>194</v>
      </c>
      <c r="E51" s="294">
        <f>E50/1000</f>
        <v>1.5315974231529252</v>
      </c>
      <c r="F51" s="12"/>
      <c r="G51" s="281" t="s">
        <v>195</v>
      </c>
      <c r="H51" s="294">
        <f>H50/1000</f>
        <v>0.53064035805474929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154</v>
      </c>
      <c r="S51" s="319"/>
      <c r="T51" s="254">
        <f>$C$39+$J$39+$S$39+$T$39</f>
        <v>29783.701942467698</v>
      </c>
      <c r="U51" s="256">
        <f>(T51*8.34*1.4)/45000</f>
        <v>7.7278778640056185</v>
      </c>
    </row>
    <row r="52" spans="1:25" ht="16.5" thickTop="1" thickBot="1" x14ac:dyDescent="0.3">
      <c r="A52" s="303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155</v>
      </c>
      <c r="S52" s="319"/>
      <c r="T52" s="254">
        <f>$H$39</f>
        <v>1437.9143867423154</v>
      </c>
      <c r="U52" s="256">
        <f>(T52*8.34*1.135)/45000</f>
        <v>0.30247008429920186</v>
      </c>
    </row>
    <row r="53" spans="1:25" ht="48" customHeight="1" thickTop="1" thickBot="1" x14ac:dyDescent="0.3">
      <c r="A53" s="571" t="s">
        <v>51</v>
      </c>
      <c r="B53" s="572"/>
      <c r="C53" s="572"/>
      <c r="D53" s="572"/>
      <c r="E53" s="573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156</v>
      </c>
      <c r="S53" s="319"/>
      <c r="T53" s="254">
        <f>$B$39+$I$39+$AC$39</f>
        <v>15802.834570896628</v>
      </c>
      <c r="U53" s="256">
        <f>(T53*8.34*1.029*0.03)/3300</f>
        <v>1.2328883080963176</v>
      </c>
    </row>
    <row r="54" spans="1:25" ht="51.75" customHeight="1" thickBot="1" x14ac:dyDescent="0.3">
      <c r="A54" s="602" t="s">
        <v>202</v>
      </c>
      <c r="B54" s="603"/>
      <c r="C54" s="603"/>
      <c r="D54" s="603"/>
      <c r="E54" s="60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65" t="s">
        <v>158</v>
      </c>
      <c r="S54" s="566"/>
      <c r="T54" s="258">
        <f>$D$39+$Y$39+$Z$39</f>
        <v>57918.437067182829</v>
      </c>
      <c r="U54" s="259">
        <f>(T54*1.54*8.34)/45000</f>
        <v>16.53069418480154</v>
      </c>
    </row>
    <row r="55" spans="1:25" ht="24" thickTop="1" x14ac:dyDescent="0.25">
      <c r="A55" s="611"/>
      <c r="B55" s="6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613"/>
      <c r="B56" s="61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09"/>
      <c r="B57" s="61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10"/>
      <c r="B58" s="61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09"/>
      <c r="B59" s="61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10"/>
      <c r="B60" s="610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</row>
    <row r="62" spans="1:25" x14ac:dyDescent="0.25">
      <c r="A62" s="12"/>
      <c r="B62" s="12"/>
    </row>
  </sheetData>
  <sheetProtection selectLockedCells="1" selectUnlockedCells="1"/>
  <mergeCells count="34"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6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1"/>
  <sheetViews>
    <sheetView topLeftCell="A25" zoomScale="80" zoomScaleNormal="80" workbookViewId="0">
      <selection activeCell="AH39" sqref="AH39:AQ39"/>
    </sheetView>
  </sheetViews>
  <sheetFormatPr defaultRowHeight="15" x14ac:dyDescent="0.25"/>
  <cols>
    <col min="1" max="1" width="35.140625" bestFit="1" customWidth="1"/>
    <col min="2" max="2" width="19.140625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3" bestFit="1" customWidth="1"/>
    <col min="9" max="10" width="25.28515625" bestFit="1" customWidth="1"/>
    <col min="11" max="11" width="23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81" t="s">
        <v>3</v>
      </c>
      <c r="C4" s="582"/>
      <c r="D4" s="582"/>
      <c r="E4" s="582"/>
      <c r="F4" s="582"/>
      <c r="G4" s="582"/>
      <c r="H4" s="583"/>
      <c r="I4" s="581" t="s">
        <v>4</v>
      </c>
      <c r="J4" s="582"/>
      <c r="K4" s="582"/>
      <c r="L4" s="582"/>
      <c r="M4" s="582"/>
      <c r="N4" s="583"/>
      <c r="O4" s="587" t="s">
        <v>5</v>
      </c>
      <c r="P4" s="588"/>
      <c r="Q4" s="589"/>
      <c r="R4" s="589"/>
      <c r="S4" s="589"/>
      <c r="T4" s="590"/>
      <c r="U4" s="581" t="s">
        <v>6</v>
      </c>
      <c r="V4" s="594"/>
      <c r="W4" s="594"/>
      <c r="X4" s="594"/>
      <c r="Y4" s="594"/>
      <c r="Z4" s="594"/>
      <c r="AA4" s="595"/>
      <c r="AB4" s="574" t="s">
        <v>7</v>
      </c>
      <c r="AC4" s="600" t="s">
        <v>8</v>
      </c>
      <c r="AD4" s="579" t="s">
        <v>27</v>
      </c>
      <c r="AE4" s="579" t="s">
        <v>31</v>
      </c>
      <c r="AF4" s="579" t="s">
        <v>32</v>
      </c>
      <c r="AG4" s="579" t="s">
        <v>33</v>
      </c>
      <c r="AH4" s="574" t="s">
        <v>175</v>
      </c>
      <c r="AI4" s="574" t="s">
        <v>176</v>
      </c>
      <c r="AJ4" s="574" t="s">
        <v>177</v>
      </c>
      <c r="AK4" s="574" t="s">
        <v>178</v>
      </c>
      <c r="AL4" s="574" t="s">
        <v>179</v>
      </c>
      <c r="AM4" s="574" t="s">
        <v>180</v>
      </c>
      <c r="AN4" s="574" t="s">
        <v>181</v>
      </c>
      <c r="AO4" s="574" t="s">
        <v>184</v>
      </c>
      <c r="AP4" s="574" t="s">
        <v>182</v>
      </c>
      <c r="AQ4" s="574" t="s">
        <v>183</v>
      </c>
      <c r="AT4" t="s">
        <v>171</v>
      </c>
      <c r="AU4" s="338" t="s">
        <v>209</v>
      </c>
    </row>
    <row r="5" spans="1:47" ht="30" customHeight="1" thickBot="1" x14ac:dyDescent="0.3">
      <c r="A5" s="13"/>
      <c r="B5" s="584"/>
      <c r="C5" s="585"/>
      <c r="D5" s="585"/>
      <c r="E5" s="585"/>
      <c r="F5" s="585"/>
      <c r="G5" s="585"/>
      <c r="H5" s="586"/>
      <c r="I5" s="584"/>
      <c r="J5" s="585"/>
      <c r="K5" s="585"/>
      <c r="L5" s="585"/>
      <c r="M5" s="585"/>
      <c r="N5" s="586"/>
      <c r="O5" s="591"/>
      <c r="P5" s="592"/>
      <c r="Q5" s="592"/>
      <c r="R5" s="592"/>
      <c r="S5" s="592"/>
      <c r="T5" s="593"/>
      <c r="U5" s="596"/>
      <c r="V5" s="597"/>
      <c r="W5" s="597"/>
      <c r="X5" s="597"/>
      <c r="Y5" s="597"/>
      <c r="Z5" s="597"/>
      <c r="AA5" s="598"/>
      <c r="AB5" s="599"/>
      <c r="AC5" s="601"/>
      <c r="AD5" s="580"/>
      <c r="AE5" s="580"/>
      <c r="AF5" s="580"/>
      <c r="AG5" s="580"/>
      <c r="AH5" s="575"/>
      <c r="AI5" s="575"/>
      <c r="AJ5" s="575"/>
      <c r="AK5" s="575"/>
      <c r="AL5" s="575"/>
      <c r="AM5" s="575"/>
      <c r="AN5" s="575"/>
      <c r="AO5" s="575"/>
      <c r="AP5" s="575"/>
      <c r="AQ5" s="575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42583</v>
      </c>
      <c r="B8" s="49"/>
      <c r="C8" s="50">
        <v>119.88128525416047</v>
      </c>
      <c r="D8" s="50">
        <v>1367.4281762441005</v>
      </c>
      <c r="E8" s="50">
        <v>28.72819540301948</v>
      </c>
      <c r="F8" s="50">
        <v>0</v>
      </c>
      <c r="G8" s="50">
        <v>4468.4347178141252</v>
      </c>
      <c r="H8" s="51">
        <v>53.542751284440413</v>
      </c>
      <c r="I8" s="49">
        <v>572.63310267130623</v>
      </c>
      <c r="J8" s="50">
        <v>840.49206682840975</v>
      </c>
      <c r="K8" s="50">
        <v>45.72390484611185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648.8738647533022</v>
      </c>
      <c r="V8" s="54">
        <v>298.14592462454306</v>
      </c>
      <c r="W8" s="54">
        <v>48.326403876914334</v>
      </c>
      <c r="X8" s="54">
        <v>22.205117435481363</v>
      </c>
      <c r="Y8" s="54">
        <v>532.63477770304451</v>
      </c>
      <c r="Z8" s="54">
        <v>244.73614505314993</v>
      </c>
      <c r="AA8" s="55">
        <v>0</v>
      </c>
      <c r="AB8" s="56">
        <v>75.012390862569362</v>
      </c>
      <c r="AC8" s="57">
        <v>0</v>
      </c>
      <c r="AD8" s="57">
        <v>27.390639038880696</v>
      </c>
      <c r="AE8" s="58">
        <v>18.501729367262765</v>
      </c>
      <c r="AF8" s="58">
        <v>8.5012134237412234</v>
      </c>
      <c r="AG8" s="58">
        <v>0.68517455710148023</v>
      </c>
      <c r="AH8" s="57">
        <v>218.30328369140625</v>
      </c>
      <c r="AI8" s="57">
        <v>1074.8402126948035</v>
      </c>
      <c r="AJ8" s="57">
        <v>3305.7418651580801</v>
      </c>
      <c r="AK8" s="57">
        <v>555.12378597259533</v>
      </c>
      <c r="AL8" s="57">
        <v>5051.4682362874337</v>
      </c>
      <c r="AM8" s="57">
        <v>2847.1484919230143</v>
      </c>
      <c r="AN8" s="57">
        <v>720.83993295033792</v>
      </c>
      <c r="AO8" s="57">
        <v>3324.9758247375494</v>
      </c>
      <c r="AP8" s="57">
        <v>497.73320264816283</v>
      </c>
      <c r="AQ8" s="57">
        <v>936.39243472417195</v>
      </c>
    </row>
    <row r="9" spans="1:47" x14ac:dyDescent="0.25">
      <c r="A9" s="11">
        <v>42584</v>
      </c>
      <c r="B9" s="59"/>
      <c r="C9" s="60">
        <v>119.78914175828339</v>
      </c>
      <c r="D9" s="60">
        <v>1361.2179056803359</v>
      </c>
      <c r="E9" s="60">
        <v>28.893318605422849</v>
      </c>
      <c r="F9" s="60">
        <v>0</v>
      </c>
      <c r="G9" s="60">
        <v>4471.8167610168603</v>
      </c>
      <c r="H9" s="61">
        <v>53.35715512037288</v>
      </c>
      <c r="I9" s="59">
        <v>600.535302766163</v>
      </c>
      <c r="J9" s="60">
        <v>881.54881655375198</v>
      </c>
      <c r="K9" s="60">
        <v>48.303809644778603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660.25654156155861</v>
      </c>
      <c r="V9" s="62">
        <v>292.30423279655412</v>
      </c>
      <c r="W9" s="62">
        <v>47.183076741448339</v>
      </c>
      <c r="X9" s="62">
        <v>20.888567064055543</v>
      </c>
      <c r="Y9" s="66">
        <v>552.92234002100247</v>
      </c>
      <c r="Z9" s="66">
        <v>244.7859736666401</v>
      </c>
      <c r="AA9" s="67">
        <v>0</v>
      </c>
      <c r="AB9" s="68">
        <v>77.212898884879436</v>
      </c>
      <c r="AC9" s="69">
        <v>0</v>
      </c>
      <c r="AD9" s="69">
        <v>27.472050052218993</v>
      </c>
      <c r="AE9" s="68">
        <v>18.80337673532269</v>
      </c>
      <c r="AF9" s="68">
        <v>8.3245015605659543</v>
      </c>
      <c r="AG9" s="68">
        <v>0.69313849502828351</v>
      </c>
      <c r="AH9" s="69">
        <v>218.07464933395386</v>
      </c>
      <c r="AI9" s="69">
        <v>1074.3972901662191</v>
      </c>
      <c r="AJ9" s="69">
        <v>3335.8964477539062</v>
      </c>
      <c r="AK9" s="69">
        <v>576.16341066360462</v>
      </c>
      <c r="AL9" s="69">
        <v>6189.2633725484211</v>
      </c>
      <c r="AM9" s="69">
        <v>2910.5499910990388</v>
      </c>
      <c r="AN9" s="69">
        <v>741.81470006306949</v>
      </c>
      <c r="AO9" s="69">
        <v>3463.8716517130533</v>
      </c>
      <c r="AP9" s="69">
        <v>475.19525721867876</v>
      </c>
      <c r="AQ9" s="69">
        <v>998.29082415898631</v>
      </c>
    </row>
    <row r="10" spans="1:47" x14ac:dyDescent="0.25">
      <c r="A10" s="11">
        <v>42585</v>
      </c>
      <c r="B10" s="59"/>
      <c r="C10" s="60">
        <v>120.00852675437999</v>
      </c>
      <c r="D10" s="60">
        <v>1365.6652694066352</v>
      </c>
      <c r="E10" s="60">
        <v>28.909605977932536</v>
      </c>
      <c r="F10" s="60">
        <v>0</v>
      </c>
      <c r="G10" s="60">
        <v>4020.7573412577217</v>
      </c>
      <c r="H10" s="61">
        <v>53.566275676091713</v>
      </c>
      <c r="I10" s="59">
        <v>599.42283852894991</v>
      </c>
      <c r="J10" s="60">
        <v>879.71473960876494</v>
      </c>
      <c r="K10" s="60">
        <v>92.68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663.60838267371719</v>
      </c>
      <c r="V10" s="62">
        <v>289.29991878569746</v>
      </c>
      <c r="W10" s="62">
        <v>47.163503277252403</v>
      </c>
      <c r="X10" s="62">
        <v>20.560918192118091</v>
      </c>
      <c r="Y10" s="66">
        <v>597.21484299204769</v>
      </c>
      <c r="Z10" s="66">
        <v>260.35567073323432</v>
      </c>
      <c r="AA10" s="67">
        <v>0</v>
      </c>
      <c r="AB10" s="68">
        <v>77.642373190985168</v>
      </c>
      <c r="AC10" s="69">
        <v>0</v>
      </c>
      <c r="AD10" s="69">
        <v>28.258712532785214</v>
      </c>
      <c r="AE10" s="68">
        <v>19.496534630386201</v>
      </c>
      <c r="AF10" s="68">
        <v>8.4995096994525294</v>
      </c>
      <c r="AG10" s="68">
        <v>0.69640319184687149</v>
      </c>
      <c r="AH10" s="69">
        <v>216.20369373957317</v>
      </c>
      <c r="AI10" s="69">
        <v>1073.1743796030682</v>
      </c>
      <c r="AJ10" s="69">
        <v>3345.8790201822917</v>
      </c>
      <c r="AK10" s="69">
        <v>565.3591137250263</v>
      </c>
      <c r="AL10" s="69">
        <v>4843.0184534708669</v>
      </c>
      <c r="AM10" s="69">
        <v>2844.1733731587724</v>
      </c>
      <c r="AN10" s="69">
        <v>714.66889101664231</v>
      </c>
      <c r="AO10" s="69">
        <v>3514.4560534159345</v>
      </c>
      <c r="AP10" s="69">
        <v>467.01490685145058</v>
      </c>
      <c r="AQ10" s="69">
        <v>1011.7512265523277</v>
      </c>
    </row>
    <row r="11" spans="1:47" x14ac:dyDescent="0.25">
      <c r="A11" s="11">
        <v>42586</v>
      </c>
      <c r="B11" s="59"/>
      <c r="C11" s="60">
        <v>121.82346897125316</v>
      </c>
      <c r="D11" s="60">
        <v>1381.4392120997102</v>
      </c>
      <c r="E11" s="60">
        <v>29.24835102756802</v>
      </c>
      <c r="F11" s="60">
        <v>0</v>
      </c>
      <c r="G11" s="60">
        <v>4095.4725654601989</v>
      </c>
      <c r="H11" s="61">
        <v>54.28039230505609</v>
      </c>
      <c r="I11" s="59">
        <v>586.58916937510367</v>
      </c>
      <c r="J11" s="60">
        <v>855.26396652857511</v>
      </c>
      <c r="K11" s="60">
        <v>69.09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650.72584414177936</v>
      </c>
      <c r="V11" s="62">
        <v>294.27972400227515</v>
      </c>
      <c r="W11" s="62">
        <v>47.216580538961736</v>
      </c>
      <c r="X11" s="62">
        <v>21.352897559589561</v>
      </c>
      <c r="Y11" s="66">
        <v>568.10657763266477</v>
      </c>
      <c r="Z11" s="66">
        <v>256.91656228916003</v>
      </c>
      <c r="AA11" s="67">
        <v>0</v>
      </c>
      <c r="AB11" s="68">
        <v>76.301160563363297</v>
      </c>
      <c r="AC11" s="69">
        <v>0</v>
      </c>
      <c r="AD11" s="69">
        <v>28.0326998617914</v>
      </c>
      <c r="AE11" s="68">
        <v>19.115329016224251</v>
      </c>
      <c r="AF11" s="68">
        <v>8.6445832722782239</v>
      </c>
      <c r="AG11" s="68">
        <v>0.68859471952083162</v>
      </c>
      <c r="AH11" s="69">
        <v>215.09406280517578</v>
      </c>
      <c r="AI11" s="69">
        <v>1058.0763710657757</v>
      </c>
      <c r="AJ11" s="69">
        <v>3333.2606985727944</v>
      </c>
      <c r="AK11" s="69">
        <v>553.05251579284663</v>
      </c>
      <c r="AL11" s="69">
        <v>3262.8820067087818</v>
      </c>
      <c r="AM11" s="69">
        <v>2815.8355045318604</v>
      </c>
      <c r="AN11" s="69">
        <v>673.59008561770111</v>
      </c>
      <c r="AO11" s="69">
        <v>3519.7533223470055</v>
      </c>
      <c r="AP11" s="69">
        <v>442.41079924901322</v>
      </c>
      <c r="AQ11" s="69">
        <v>910.02877120971687</v>
      </c>
    </row>
    <row r="12" spans="1:47" x14ac:dyDescent="0.25">
      <c r="A12" s="11">
        <v>42587</v>
      </c>
      <c r="B12" s="59"/>
      <c r="C12" s="60">
        <v>128.79687325159688</v>
      </c>
      <c r="D12" s="60">
        <v>1459.3779476801556</v>
      </c>
      <c r="E12" s="60">
        <v>30.902969735860875</v>
      </c>
      <c r="F12" s="60">
        <v>0</v>
      </c>
      <c r="G12" s="60">
        <v>3743.5532475789296</v>
      </c>
      <c r="H12" s="61">
        <v>57.358449594179739</v>
      </c>
      <c r="I12" s="59">
        <v>528.11727520624765</v>
      </c>
      <c r="J12" s="60">
        <v>790.07673180898007</v>
      </c>
      <c r="K12" s="60">
        <v>43.39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587.40832636914627</v>
      </c>
      <c r="V12" s="62">
        <v>307.29366914137717</v>
      </c>
      <c r="W12" s="62">
        <v>44.624941329580075</v>
      </c>
      <c r="X12" s="62">
        <v>23.344854576963694</v>
      </c>
      <c r="Y12" s="66">
        <v>513.45271888719276</v>
      </c>
      <c r="Z12" s="66">
        <v>268.60492579791429</v>
      </c>
      <c r="AA12" s="67">
        <v>0</v>
      </c>
      <c r="AB12" s="68">
        <v>73.472762950262677</v>
      </c>
      <c r="AC12" s="69">
        <v>0</v>
      </c>
      <c r="AD12" s="69">
        <v>26.651168657673811</v>
      </c>
      <c r="AE12" s="68">
        <v>17.327195119060846</v>
      </c>
      <c r="AF12" s="68">
        <v>9.0644567416612656</v>
      </c>
      <c r="AG12" s="68">
        <v>0.65654075805873979</v>
      </c>
      <c r="AH12" s="69">
        <v>204.03939212163289</v>
      </c>
      <c r="AI12" s="69">
        <v>1046.0367187500001</v>
      </c>
      <c r="AJ12" s="69">
        <v>3248.8515249888101</v>
      </c>
      <c r="AK12" s="69">
        <v>551.81722952524819</v>
      </c>
      <c r="AL12" s="69">
        <v>3610.3063412984206</v>
      </c>
      <c r="AM12" s="69">
        <v>2923.2980868021646</v>
      </c>
      <c r="AN12" s="69">
        <v>617.87223205566397</v>
      </c>
      <c r="AO12" s="69">
        <v>3315.8895327250161</v>
      </c>
      <c r="AP12" s="69">
        <v>376.83105909029643</v>
      </c>
      <c r="AQ12" s="69">
        <v>859.39424320856722</v>
      </c>
    </row>
    <row r="13" spans="1:47" x14ac:dyDescent="0.25">
      <c r="A13" s="11">
        <v>42588</v>
      </c>
      <c r="B13" s="59"/>
      <c r="C13" s="60">
        <v>149.68204348087275</v>
      </c>
      <c r="D13" s="60">
        <v>1536.5934934616118</v>
      </c>
      <c r="E13" s="60">
        <v>32.00897433161736</v>
      </c>
      <c r="F13" s="60">
        <v>0</v>
      </c>
      <c r="G13" s="60">
        <v>3356.1721369425381</v>
      </c>
      <c r="H13" s="61">
        <v>59.456479867299279</v>
      </c>
      <c r="I13" s="59">
        <v>499.95015395482432</v>
      </c>
      <c r="J13" s="60">
        <v>758.62863604227732</v>
      </c>
      <c r="K13" s="60">
        <v>41.347103216250865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528.96391528806816</v>
      </c>
      <c r="V13" s="62">
        <v>297.48050419130482</v>
      </c>
      <c r="W13" s="62">
        <v>40.845368917855637</v>
      </c>
      <c r="X13" s="62">
        <v>22.970755827354317</v>
      </c>
      <c r="Y13" s="66">
        <v>430.63680279079841</v>
      </c>
      <c r="Z13" s="66">
        <v>242.18297225014493</v>
      </c>
      <c r="AA13" s="67">
        <v>0</v>
      </c>
      <c r="AB13" s="68">
        <v>73.70256585015261</v>
      </c>
      <c r="AC13" s="69">
        <v>0</v>
      </c>
      <c r="AD13" s="69">
        <v>25.504261973169111</v>
      </c>
      <c r="AE13" s="68">
        <v>16.150803961163842</v>
      </c>
      <c r="AF13" s="68">
        <v>9.0829434042687733</v>
      </c>
      <c r="AG13" s="68">
        <v>0.64004777916135525</v>
      </c>
      <c r="AH13" s="69">
        <v>202.99661014874778</v>
      </c>
      <c r="AI13" s="69">
        <v>1043.6019076029461</v>
      </c>
      <c r="AJ13" s="69">
        <v>3221.4899846394846</v>
      </c>
      <c r="AK13" s="69">
        <v>544.06044432322176</v>
      </c>
      <c r="AL13" s="69">
        <v>5499.5901794433594</v>
      </c>
      <c r="AM13" s="69">
        <v>2928.4780913035079</v>
      </c>
      <c r="AN13" s="69">
        <v>643.03323205312097</v>
      </c>
      <c r="AO13" s="69">
        <v>3095.3639040629064</v>
      </c>
      <c r="AP13" s="69">
        <v>339.81849726041156</v>
      </c>
      <c r="AQ13" s="69">
        <v>881.53389883041382</v>
      </c>
    </row>
    <row r="14" spans="1:47" x14ac:dyDescent="0.25">
      <c r="A14" s="11">
        <v>42589</v>
      </c>
      <c r="B14" s="59"/>
      <c r="C14" s="60">
        <v>142.72661009629596</v>
      </c>
      <c r="D14" s="60">
        <v>1531.8942894617717</v>
      </c>
      <c r="E14" s="60">
        <v>32.30455555717149</v>
      </c>
      <c r="F14" s="60">
        <v>0</v>
      </c>
      <c r="G14" s="60">
        <v>3357.3601170857823</v>
      </c>
      <c r="H14" s="61">
        <v>59.69105322360987</v>
      </c>
      <c r="I14" s="59">
        <v>497.37276306152364</v>
      </c>
      <c r="J14" s="60">
        <v>778.00161873499553</v>
      </c>
      <c r="K14" s="60">
        <v>42.631400897105515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518.75579123946329</v>
      </c>
      <c r="V14" s="62">
        <v>272.13879623493062</v>
      </c>
      <c r="W14" s="62">
        <v>42.831276664979775</v>
      </c>
      <c r="X14" s="62">
        <v>22.469247128717473</v>
      </c>
      <c r="Y14" s="66">
        <v>426.42335340144155</v>
      </c>
      <c r="Z14" s="66">
        <v>223.70128688850139</v>
      </c>
      <c r="AA14" s="67">
        <v>0</v>
      </c>
      <c r="AB14" s="68">
        <v>73.704749695460663</v>
      </c>
      <c r="AC14" s="69">
        <v>0</v>
      </c>
      <c r="AD14" s="69">
        <v>25.486556447214607</v>
      </c>
      <c r="AE14" s="68">
        <v>16.477100781960914</v>
      </c>
      <c r="AF14" s="68">
        <v>8.6438714477398229</v>
      </c>
      <c r="AG14" s="68">
        <v>0.65591015472243142</v>
      </c>
      <c r="AH14" s="69">
        <v>207.86079335212708</v>
      </c>
      <c r="AI14" s="69">
        <v>1063.953934923808</v>
      </c>
      <c r="AJ14" s="69">
        <v>3289.5783201853437</v>
      </c>
      <c r="AK14" s="69">
        <v>550.52914261817943</v>
      </c>
      <c r="AL14" s="69">
        <v>4928.3813808441155</v>
      </c>
      <c r="AM14" s="69">
        <v>2967.557713953654</v>
      </c>
      <c r="AN14" s="69">
        <v>674.53602239290899</v>
      </c>
      <c r="AO14" s="69">
        <v>3265.7249210357663</v>
      </c>
      <c r="AP14" s="69">
        <v>344.69123686154694</v>
      </c>
      <c r="AQ14" s="69">
        <v>893.09225413004572</v>
      </c>
    </row>
    <row r="15" spans="1:47" x14ac:dyDescent="0.25">
      <c r="A15" s="11">
        <v>42590</v>
      </c>
      <c r="B15" s="59"/>
      <c r="C15" s="60">
        <v>133.75747472445141</v>
      </c>
      <c r="D15" s="60">
        <v>1513.1713294347142</v>
      </c>
      <c r="E15" s="60">
        <v>32.11448046763735</v>
      </c>
      <c r="F15" s="60">
        <v>0</v>
      </c>
      <c r="G15" s="60">
        <v>3357.3433522542346</v>
      </c>
      <c r="H15" s="61">
        <v>59.509504862626258</v>
      </c>
      <c r="I15" s="59">
        <v>419.97712071736635</v>
      </c>
      <c r="J15" s="60">
        <v>605.587914244334</v>
      </c>
      <c r="K15" s="60">
        <v>29.01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511.55108068451847</v>
      </c>
      <c r="V15" s="62">
        <v>295.77430265016886</v>
      </c>
      <c r="W15" s="62">
        <v>50.18516910324</v>
      </c>
      <c r="X15" s="62">
        <v>29.016620148723362</v>
      </c>
      <c r="Y15" s="66">
        <v>379.40431862944217</v>
      </c>
      <c r="Z15" s="66">
        <v>219.3682156138232</v>
      </c>
      <c r="AA15" s="67">
        <v>0</v>
      </c>
      <c r="AB15" s="68">
        <v>73.702781407039069</v>
      </c>
      <c r="AC15" s="69">
        <v>0</v>
      </c>
      <c r="AD15" s="69">
        <v>25.969294785128685</v>
      </c>
      <c r="AE15" s="68">
        <v>16.169057251674346</v>
      </c>
      <c r="AF15" s="68">
        <v>9.3488056495261542</v>
      </c>
      <c r="AG15" s="68">
        <v>0.6336368101936023</v>
      </c>
      <c r="AH15" s="69">
        <v>216.0415641148885</v>
      </c>
      <c r="AI15" s="69">
        <v>1051.4805401484173</v>
      </c>
      <c r="AJ15" s="69">
        <v>3345.3456528981519</v>
      </c>
      <c r="AK15" s="69">
        <v>544.58666145006805</v>
      </c>
      <c r="AL15" s="69">
        <v>3394.0743976593017</v>
      </c>
      <c r="AM15" s="69">
        <v>3022.3444272359211</v>
      </c>
      <c r="AN15" s="69">
        <v>716.75065161387101</v>
      </c>
      <c r="AO15" s="69">
        <v>3292.4319651285809</v>
      </c>
      <c r="AP15" s="69">
        <v>401.9212493101756</v>
      </c>
      <c r="AQ15" s="69">
        <v>959.82223965326943</v>
      </c>
    </row>
    <row r="16" spans="1:47" x14ac:dyDescent="0.25">
      <c r="A16" s="11">
        <v>42591</v>
      </c>
      <c r="B16" s="59"/>
      <c r="C16" s="60">
        <v>134.27160514990555</v>
      </c>
      <c r="D16" s="60">
        <v>1518.0702334086113</v>
      </c>
      <c r="E16" s="60">
        <v>32.13726181189223</v>
      </c>
      <c r="F16" s="60">
        <v>0</v>
      </c>
      <c r="G16" s="60">
        <v>3191.1298759460587</v>
      </c>
      <c r="H16" s="61">
        <v>59.673163914680366</v>
      </c>
      <c r="I16" s="59">
        <v>392.49967759450311</v>
      </c>
      <c r="J16" s="60">
        <v>557.26104259490967</v>
      </c>
      <c r="K16" s="60">
        <v>27.15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533.0707274173219</v>
      </c>
      <c r="V16" s="62">
        <v>289.36019125502742</v>
      </c>
      <c r="W16" s="62">
        <v>59.845883313443402</v>
      </c>
      <c r="X16" s="62">
        <v>32.485400812202478</v>
      </c>
      <c r="Y16" s="66">
        <v>369.82407132305309</v>
      </c>
      <c r="Z16" s="66">
        <v>200.74702756089516</v>
      </c>
      <c r="AA16" s="67">
        <v>0</v>
      </c>
      <c r="AB16" s="68">
        <v>73.884847036997243</v>
      </c>
      <c r="AC16" s="69">
        <v>0</v>
      </c>
      <c r="AD16" s="69">
        <v>26.457743103636666</v>
      </c>
      <c r="AE16" s="68">
        <v>16.859392227952508</v>
      </c>
      <c r="AF16" s="68">
        <v>9.1515754075625821</v>
      </c>
      <c r="AG16" s="68">
        <v>0.64816474589483852</v>
      </c>
      <c r="AH16" s="69">
        <v>209.41561889648437</v>
      </c>
      <c r="AI16" s="69">
        <v>1050.722675005595</v>
      </c>
      <c r="AJ16" s="69">
        <v>3337.1605879465733</v>
      </c>
      <c r="AK16" s="69">
        <v>558.08790470759072</v>
      </c>
      <c r="AL16" s="69">
        <v>7168.9339113871247</v>
      </c>
      <c r="AM16" s="69">
        <v>3074.2565910339358</v>
      </c>
      <c r="AN16" s="69">
        <v>708.52776110966977</v>
      </c>
      <c r="AO16" s="69">
        <v>3518.8238220214844</v>
      </c>
      <c r="AP16" s="69">
        <v>385.727722454071</v>
      </c>
      <c r="AQ16" s="69">
        <v>1063.6359098752341</v>
      </c>
    </row>
    <row r="17" spans="1:43" s="386" customFormat="1" ht="15" customHeight="1" x14ac:dyDescent="0.25">
      <c r="A17" s="11">
        <v>42592</v>
      </c>
      <c r="B17" s="380"/>
      <c r="C17" s="381">
        <v>134.37148451805086</v>
      </c>
      <c r="D17" s="381">
        <v>1526.7210505167636</v>
      </c>
      <c r="E17" s="381">
        <v>32.413528956969607</v>
      </c>
      <c r="F17" s="381">
        <v>0</v>
      </c>
      <c r="G17" s="381">
        <v>3996.2455778757849</v>
      </c>
      <c r="H17" s="382">
        <v>59.797602653503333</v>
      </c>
      <c r="I17" s="380">
        <v>390.95877250035647</v>
      </c>
      <c r="J17" s="381">
        <v>556.95930643081692</v>
      </c>
      <c r="K17" s="381">
        <v>30.15</v>
      </c>
      <c r="L17" s="383">
        <v>0</v>
      </c>
      <c r="M17" s="60">
        <v>0</v>
      </c>
      <c r="N17" s="382">
        <v>0</v>
      </c>
      <c r="O17" s="380">
        <v>0</v>
      </c>
      <c r="P17" s="381">
        <v>0</v>
      </c>
      <c r="Q17" s="381">
        <v>0</v>
      </c>
      <c r="R17" s="381">
        <v>0</v>
      </c>
      <c r="S17" s="381">
        <v>0</v>
      </c>
      <c r="T17" s="382">
        <v>0</v>
      </c>
      <c r="U17" s="380">
        <v>533.61634896395617</v>
      </c>
      <c r="V17" s="381">
        <v>295.71035128899763</v>
      </c>
      <c r="W17" s="381">
        <v>61.947545672471257</v>
      </c>
      <c r="X17" s="381">
        <v>34.329027826572549</v>
      </c>
      <c r="Y17" s="381">
        <v>371.99867789776334</v>
      </c>
      <c r="Z17" s="381">
        <v>206.14784373411436</v>
      </c>
      <c r="AA17" s="382">
        <v>0</v>
      </c>
      <c r="AB17" s="384">
        <v>74.033842812643456</v>
      </c>
      <c r="AC17" s="385">
        <v>0</v>
      </c>
      <c r="AD17" s="385">
        <v>26.864862933423783</v>
      </c>
      <c r="AE17" s="385">
        <v>16.999740421744189</v>
      </c>
      <c r="AF17" s="385">
        <v>9.4206244274485318</v>
      </c>
      <c r="AG17" s="385">
        <v>0.64343321974464018</v>
      </c>
      <c r="AH17" s="385">
        <v>209.41561889648437</v>
      </c>
      <c r="AI17" s="385">
        <v>1041.5276390075685</v>
      </c>
      <c r="AJ17" s="385">
        <v>3336.5853298187258</v>
      </c>
      <c r="AK17" s="385">
        <v>495.4326022148133</v>
      </c>
      <c r="AL17" s="385">
        <v>7393.3865971883151</v>
      </c>
      <c r="AM17" s="385">
        <v>3020.3995834350585</v>
      </c>
      <c r="AN17" s="385">
        <v>724.76185639699293</v>
      </c>
      <c r="AO17" s="385">
        <v>3386.5719378153476</v>
      </c>
      <c r="AP17" s="385">
        <v>364.41387659708664</v>
      </c>
      <c r="AQ17" s="385">
        <v>999.33246345520024</v>
      </c>
    </row>
    <row r="18" spans="1:43" x14ac:dyDescent="0.25">
      <c r="A18" s="11">
        <v>42593</v>
      </c>
      <c r="B18" s="59"/>
      <c r="C18" s="60">
        <v>138.65875122547124</v>
      </c>
      <c r="D18" s="60">
        <v>1575.8523916880299</v>
      </c>
      <c r="E18" s="60">
        <v>34.109121408065256</v>
      </c>
      <c r="F18" s="60">
        <v>0</v>
      </c>
      <c r="G18" s="60">
        <v>4449.4686744690034</v>
      </c>
      <c r="H18" s="61">
        <v>61.710017482439724</v>
      </c>
      <c r="I18" s="59">
        <v>417.95409857432014</v>
      </c>
      <c r="J18" s="60">
        <v>595.21982908249072</v>
      </c>
      <c r="K18" s="60">
        <v>31.69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533.04093800793385</v>
      </c>
      <c r="V18" s="62">
        <v>279.60745060036749</v>
      </c>
      <c r="W18" s="62">
        <v>62.146355410701126</v>
      </c>
      <c r="X18" s="62">
        <v>32.598967098905753</v>
      </c>
      <c r="Y18" s="66">
        <v>397.0920629189128</v>
      </c>
      <c r="Z18" s="66">
        <v>208.29525736116227</v>
      </c>
      <c r="AA18" s="67">
        <v>0</v>
      </c>
      <c r="AB18" s="68">
        <v>74.034515052371177</v>
      </c>
      <c r="AC18" s="69">
        <v>0</v>
      </c>
      <c r="AD18" s="69">
        <v>26.942328136497068</v>
      </c>
      <c r="AE18" s="68">
        <v>17.394962383148219</v>
      </c>
      <c r="AF18" s="68">
        <v>9.1245544918521304</v>
      </c>
      <c r="AG18" s="68">
        <v>0.65593059123736353</v>
      </c>
      <c r="AH18" s="69">
        <v>205.78114175796509</v>
      </c>
      <c r="AI18" s="69">
        <v>1016.7188954671224</v>
      </c>
      <c r="AJ18" s="69">
        <v>3372.1302125295006</v>
      </c>
      <c r="AK18" s="69">
        <v>466.17948929468793</v>
      </c>
      <c r="AL18" s="69">
        <v>7206.8709966023762</v>
      </c>
      <c r="AM18" s="69">
        <v>3030.3355594635009</v>
      </c>
      <c r="AN18" s="69">
        <v>714.8994305292764</v>
      </c>
      <c r="AO18" s="69">
        <v>3210.0820645650228</v>
      </c>
      <c r="AP18" s="69">
        <v>340.99790215492249</v>
      </c>
      <c r="AQ18" s="69">
        <v>956.46929190953574</v>
      </c>
    </row>
    <row r="19" spans="1:43" x14ac:dyDescent="0.25">
      <c r="A19" s="11">
        <v>42594</v>
      </c>
      <c r="B19" s="59"/>
      <c r="C19" s="60">
        <v>131.0218235651655</v>
      </c>
      <c r="D19" s="60">
        <v>1600.2656177520741</v>
      </c>
      <c r="E19" s="60">
        <v>34.323961452643118</v>
      </c>
      <c r="F19" s="60">
        <v>0</v>
      </c>
      <c r="G19" s="60">
        <v>4614.8262423197466</v>
      </c>
      <c r="H19" s="61">
        <v>62.664003459612495</v>
      </c>
      <c r="I19" s="59">
        <v>374.72161596616047</v>
      </c>
      <c r="J19" s="60">
        <v>542.68241589863999</v>
      </c>
      <c r="K19" s="60">
        <v>30.135326922933245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468.20809499397012</v>
      </c>
      <c r="V19" s="62">
        <v>283.18416456142245</v>
      </c>
      <c r="W19" s="62">
        <v>56.598550414474978</v>
      </c>
      <c r="X19" s="62">
        <v>34.232242855000329</v>
      </c>
      <c r="Y19" s="66">
        <v>386.02206486034834</v>
      </c>
      <c r="Z19" s="66">
        <v>233.47596316368856</v>
      </c>
      <c r="AA19" s="67">
        <v>0</v>
      </c>
      <c r="AB19" s="68">
        <v>74.03439248932726</v>
      </c>
      <c r="AC19" s="69">
        <v>0</v>
      </c>
      <c r="AD19" s="69">
        <v>26.663239194287232</v>
      </c>
      <c r="AE19" s="68">
        <v>16.311474225232104</v>
      </c>
      <c r="AF19" s="68">
        <v>9.8655944880598803</v>
      </c>
      <c r="AG19" s="68">
        <v>0.62312073226707743</v>
      </c>
      <c r="AH19" s="69">
        <v>209.82248214085897</v>
      </c>
      <c r="AI19" s="69">
        <v>1011.8845663070679</v>
      </c>
      <c r="AJ19" s="69">
        <v>3337.1359558105469</v>
      </c>
      <c r="AK19" s="69">
        <v>450.87480395634958</v>
      </c>
      <c r="AL19" s="69">
        <v>3330.522443389892</v>
      </c>
      <c r="AM19" s="69">
        <v>3007.4869356791182</v>
      </c>
      <c r="AN19" s="69">
        <v>657.80066026051838</v>
      </c>
      <c r="AO19" s="69">
        <v>3394.5528783162431</v>
      </c>
      <c r="AP19" s="69">
        <v>331.51790428161621</v>
      </c>
      <c r="AQ19" s="69">
        <v>866.8552410761514</v>
      </c>
    </row>
    <row r="20" spans="1:43" x14ac:dyDescent="0.25">
      <c r="A20" s="11">
        <v>42595</v>
      </c>
      <c r="B20" s="59"/>
      <c r="C20" s="60">
        <v>123.90259251594512</v>
      </c>
      <c r="D20" s="60">
        <v>1606.1446508407594</v>
      </c>
      <c r="E20" s="60">
        <v>33.933755727609039</v>
      </c>
      <c r="F20" s="60">
        <v>0</v>
      </c>
      <c r="G20" s="60">
        <v>4737.4179730733167</v>
      </c>
      <c r="H20" s="61">
        <v>62.887804257869703</v>
      </c>
      <c r="I20" s="59">
        <v>371.84689760208056</v>
      </c>
      <c r="J20" s="60">
        <v>541.8210872650144</v>
      </c>
      <c r="K20" s="60">
        <v>30.025142565369585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460.86658387473614</v>
      </c>
      <c r="V20" s="62">
        <v>271.28325917166995</v>
      </c>
      <c r="W20" s="62">
        <v>56.877280962372488</v>
      </c>
      <c r="X20" s="62">
        <v>33.480088798299668</v>
      </c>
      <c r="Y20" s="66">
        <v>383.41673239876496</v>
      </c>
      <c r="Z20" s="66">
        <v>225.6933881202379</v>
      </c>
      <c r="AA20" s="67">
        <v>0</v>
      </c>
      <c r="AB20" s="68">
        <v>74.035038730832952</v>
      </c>
      <c r="AC20" s="69">
        <v>0</v>
      </c>
      <c r="AD20" s="69">
        <v>26.082826377948116</v>
      </c>
      <c r="AE20" s="68">
        <v>16.264322831794228</v>
      </c>
      <c r="AF20" s="68">
        <v>9.5737869926117085</v>
      </c>
      <c r="AG20" s="68">
        <v>0.62947030345197363</v>
      </c>
      <c r="AH20" s="69">
        <v>210.31394654909772</v>
      </c>
      <c r="AI20" s="69">
        <v>1022.0797341664634</v>
      </c>
      <c r="AJ20" s="69">
        <v>3338.2829096476235</v>
      </c>
      <c r="AK20" s="69">
        <v>458.02767934799198</v>
      </c>
      <c r="AL20" s="69">
        <v>3171.7943538665772</v>
      </c>
      <c r="AM20" s="69">
        <v>3014.4351690928138</v>
      </c>
      <c r="AN20" s="69">
        <v>662.38183032671611</v>
      </c>
      <c r="AO20" s="69">
        <v>3948.8664449055987</v>
      </c>
      <c r="AP20" s="69">
        <v>332.55532689094548</v>
      </c>
      <c r="AQ20" s="69">
        <v>917.54918947219835</v>
      </c>
    </row>
    <row r="21" spans="1:43" x14ac:dyDescent="0.25">
      <c r="A21" s="11">
        <v>42596</v>
      </c>
      <c r="B21" s="59"/>
      <c r="C21" s="60">
        <v>124.2749959230419</v>
      </c>
      <c r="D21" s="60">
        <v>1612.0313179016123</v>
      </c>
      <c r="E21" s="60">
        <v>34.149164432287293</v>
      </c>
      <c r="F21" s="60">
        <v>0</v>
      </c>
      <c r="G21" s="60">
        <v>5026.3833010355529</v>
      </c>
      <c r="H21" s="61">
        <v>63.129583017031365</v>
      </c>
      <c r="I21" s="59">
        <v>382.24203333854712</v>
      </c>
      <c r="J21" s="60">
        <v>560.77655448913595</v>
      </c>
      <c r="K21" s="60">
        <v>30.325723011791709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467.50830862750558</v>
      </c>
      <c r="V21" s="62">
        <v>263.47841018607221</v>
      </c>
      <c r="W21" s="62">
        <v>57.633943887805373</v>
      </c>
      <c r="X21" s="62">
        <v>32.481347663943609</v>
      </c>
      <c r="Y21" s="66">
        <v>415.98812662310468</v>
      </c>
      <c r="Z21" s="66">
        <v>234.4426574593067</v>
      </c>
      <c r="AA21" s="67">
        <v>0</v>
      </c>
      <c r="AB21" s="68">
        <v>75.486044115490913</v>
      </c>
      <c r="AC21" s="69">
        <v>0</v>
      </c>
      <c r="AD21" s="69">
        <v>26.300236958927552</v>
      </c>
      <c r="AE21" s="68">
        <v>16.570756390051862</v>
      </c>
      <c r="AF21" s="68">
        <v>9.3389496371716216</v>
      </c>
      <c r="AG21" s="68">
        <v>0.63955786965088945</v>
      </c>
      <c r="AH21" s="69">
        <v>208.15863815943399</v>
      </c>
      <c r="AI21" s="69">
        <v>1031.679983774821</v>
      </c>
      <c r="AJ21" s="69">
        <v>3342.8809935251866</v>
      </c>
      <c r="AK21" s="69">
        <v>460.93835639953608</v>
      </c>
      <c r="AL21" s="69">
        <v>5085.6635547637952</v>
      </c>
      <c r="AM21" s="69">
        <v>3043.2038928985598</v>
      </c>
      <c r="AN21" s="69">
        <v>661.03952104250584</v>
      </c>
      <c r="AO21" s="69">
        <v>3551.7599527994789</v>
      </c>
      <c r="AP21" s="69">
        <v>346.07666454315188</v>
      </c>
      <c r="AQ21" s="69">
        <v>889.38991791407261</v>
      </c>
    </row>
    <row r="22" spans="1:43" x14ac:dyDescent="0.25">
      <c r="A22" s="11">
        <v>42597</v>
      </c>
      <c r="B22" s="59"/>
      <c r="C22" s="60">
        <v>123.96276875336933</v>
      </c>
      <c r="D22" s="60">
        <v>1606.1792519887294</v>
      </c>
      <c r="E22" s="60">
        <v>34.129862823088985</v>
      </c>
      <c r="F22" s="60">
        <v>0</v>
      </c>
      <c r="G22" s="60">
        <v>5174.965879058841</v>
      </c>
      <c r="H22" s="61">
        <v>56.455810244878279</v>
      </c>
      <c r="I22" s="59">
        <v>394.65809079806047</v>
      </c>
      <c r="J22" s="60">
        <v>571.80863361358661</v>
      </c>
      <c r="K22" s="60">
        <v>31.117676163216387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459.93161305117559</v>
      </c>
      <c r="V22" s="62">
        <v>214.34933143396228</v>
      </c>
      <c r="W22" s="62">
        <v>57.267344369434937</v>
      </c>
      <c r="X22" s="62">
        <v>26.689222115334406</v>
      </c>
      <c r="Y22" s="66">
        <v>441.97472965211875</v>
      </c>
      <c r="Z22" s="66">
        <v>205.98059607852329</v>
      </c>
      <c r="AA22" s="67">
        <v>0</v>
      </c>
      <c r="AB22" s="68">
        <v>76.654600932863147</v>
      </c>
      <c r="AC22" s="69">
        <v>0</v>
      </c>
      <c r="AD22" s="69">
        <v>24.87259257237119</v>
      </c>
      <c r="AE22" s="68">
        <v>16.704680247295972</v>
      </c>
      <c r="AF22" s="68">
        <v>7.7851509685801865</v>
      </c>
      <c r="AG22" s="68">
        <v>0.68210679363387106</v>
      </c>
      <c r="AH22" s="69">
        <v>204.77025593121846</v>
      </c>
      <c r="AI22" s="69">
        <v>1022.5112700144449</v>
      </c>
      <c r="AJ22" s="69">
        <v>3447.7806457519528</v>
      </c>
      <c r="AK22" s="69">
        <v>464.31401931444805</v>
      </c>
      <c r="AL22" s="69">
        <v>5324.996392822266</v>
      </c>
      <c r="AM22" s="69">
        <v>3073.0635728200268</v>
      </c>
      <c r="AN22" s="69">
        <v>681.95331675211582</v>
      </c>
      <c r="AO22" s="69">
        <v>3169.7272644042969</v>
      </c>
      <c r="AP22" s="69">
        <v>354.4848375161489</v>
      </c>
      <c r="AQ22" s="69">
        <v>927.11000741322823</v>
      </c>
    </row>
    <row r="23" spans="1:43" x14ac:dyDescent="0.25">
      <c r="A23" s="11">
        <v>42598</v>
      </c>
      <c r="B23" s="59"/>
      <c r="C23" s="60">
        <v>123.70097859700539</v>
      </c>
      <c r="D23" s="60">
        <v>1603.3147275288904</v>
      </c>
      <c r="E23" s="60">
        <v>33.994132592280835</v>
      </c>
      <c r="F23" s="60">
        <v>0</v>
      </c>
      <c r="G23" s="60">
        <v>5144.8897079467861</v>
      </c>
      <c r="H23" s="61">
        <v>50.26295488675445</v>
      </c>
      <c r="I23" s="59">
        <v>407.75830895105997</v>
      </c>
      <c r="J23" s="60">
        <v>580.92616004943818</v>
      </c>
      <c r="K23" s="60">
        <v>31.645761173963514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486.09381510337988</v>
      </c>
      <c r="V23" s="62">
        <v>264.17733315440597</v>
      </c>
      <c r="W23" s="62">
        <v>61.332820671149292</v>
      </c>
      <c r="X23" s="62">
        <v>33.332538897446639</v>
      </c>
      <c r="Y23" s="66">
        <v>468.90774782572959</v>
      </c>
      <c r="Z23" s="66">
        <v>254.83722373569987</v>
      </c>
      <c r="AA23" s="67">
        <v>0</v>
      </c>
      <c r="AB23" s="68">
        <v>76.65765275955269</v>
      </c>
      <c r="AC23" s="69">
        <v>0</v>
      </c>
      <c r="AD23" s="69">
        <v>27.664818244510222</v>
      </c>
      <c r="AE23" s="68">
        <v>17.756639846448362</v>
      </c>
      <c r="AF23" s="68">
        <v>9.6501984075241758</v>
      </c>
      <c r="AG23" s="68">
        <v>0.64789085416938197</v>
      </c>
      <c r="AH23" s="69">
        <v>199.88629167874655</v>
      </c>
      <c r="AI23" s="69">
        <v>1020.5994733810426</v>
      </c>
      <c r="AJ23" s="69">
        <v>3374.5769013722738</v>
      </c>
      <c r="AK23" s="69">
        <v>465.59734681447355</v>
      </c>
      <c r="AL23" s="69">
        <v>5495.574722544352</v>
      </c>
      <c r="AM23" s="69">
        <v>3047.8208792368569</v>
      </c>
      <c r="AN23" s="69">
        <v>663.06577051480622</v>
      </c>
      <c r="AO23" s="69">
        <v>3386.3426734924315</v>
      </c>
      <c r="AP23" s="69">
        <v>364.98600811958306</v>
      </c>
      <c r="AQ23" s="69">
        <v>900.89362093607565</v>
      </c>
    </row>
    <row r="24" spans="1:43" x14ac:dyDescent="0.25">
      <c r="A24" s="11">
        <v>42599</v>
      </c>
      <c r="B24" s="59"/>
      <c r="C24" s="60">
        <v>123.34515813986532</v>
      </c>
      <c r="D24" s="60">
        <v>1600.8767280578593</v>
      </c>
      <c r="E24" s="60">
        <v>34.013939023017898</v>
      </c>
      <c r="F24" s="60">
        <v>0</v>
      </c>
      <c r="G24" s="60">
        <v>5145.4110773722487</v>
      </c>
      <c r="H24" s="61">
        <v>50.282574808597644</v>
      </c>
      <c r="I24" s="59">
        <v>355.49761419296254</v>
      </c>
      <c r="J24" s="60">
        <v>578.53471450805694</v>
      </c>
      <c r="K24" s="60">
        <v>31.42971845765905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471.76878625181223</v>
      </c>
      <c r="V24" s="62">
        <v>271.89020320945303</v>
      </c>
      <c r="W24" s="62">
        <v>60.375867193535434</v>
      </c>
      <c r="X24" s="62">
        <v>34.795873060230967</v>
      </c>
      <c r="Y24" s="66">
        <v>456.33931995285332</v>
      </c>
      <c r="Z24" s="66">
        <v>262.99787957615911</v>
      </c>
      <c r="AA24" s="67">
        <v>0</v>
      </c>
      <c r="AB24" s="68">
        <v>76.656582090590547</v>
      </c>
      <c r="AC24" s="69">
        <v>0</v>
      </c>
      <c r="AD24" s="69">
        <v>27.498601216740099</v>
      </c>
      <c r="AE24" s="68">
        <v>17.227023809329488</v>
      </c>
      <c r="AF24" s="68">
        <v>9.9282935639421783</v>
      </c>
      <c r="AG24" s="68">
        <v>0.63438860141202547</v>
      </c>
      <c r="AH24" s="69">
        <v>206.17621739705402</v>
      </c>
      <c r="AI24" s="69">
        <v>1023.8432783762613</v>
      </c>
      <c r="AJ24" s="69">
        <v>3385.0150062561033</v>
      </c>
      <c r="AK24" s="69">
        <v>479.25283923149112</v>
      </c>
      <c r="AL24" s="69">
        <v>5167.3582433064776</v>
      </c>
      <c r="AM24" s="69">
        <v>3032.0856187184654</v>
      </c>
      <c r="AN24" s="69">
        <v>671.92684810956337</v>
      </c>
      <c r="AO24" s="69">
        <v>3462.6812856038414</v>
      </c>
      <c r="AP24" s="69">
        <v>368.02153894106544</v>
      </c>
      <c r="AQ24" s="69">
        <v>969.32895615895598</v>
      </c>
    </row>
    <row r="25" spans="1:43" x14ac:dyDescent="0.25">
      <c r="A25" s="11">
        <v>42600</v>
      </c>
      <c r="B25" s="59"/>
      <c r="C25" s="60">
        <v>123.61925700505564</v>
      </c>
      <c r="D25" s="60">
        <v>1606.6752995808913</v>
      </c>
      <c r="E25" s="60">
        <v>33.939024309317269</v>
      </c>
      <c r="F25" s="60">
        <v>0</v>
      </c>
      <c r="G25" s="60">
        <v>5145.88279851278</v>
      </c>
      <c r="H25" s="61">
        <v>50.436976961295009</v>
      </c>
      <c r="I25" s="59">
        <v>292.5548094431561</v>
      </c>
      <c r="J25" s="60">
        <v>713.99324299494344</v>
      </c>
      <c r="K25" s="60">
        <v>39.13514375984667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458.43699975112025</v>
      </c>
      <c r="V25" s="62">
        <v>264.25104159681297</v>
      </c>
      <c r="W25" s="62">
        <v>61.226558215233254</v>
      </c>
      <c r="X25" s="62">
        <v>35.292050577389631</v>
      </c>
      <c r="Y25" s="66">
        <v>466.68150551194685</v>
      </c>
      <c r="Z25" s="66">
        <v>269.00331777856115</v>
      </c>
      <c r="AA25" s="67">
        <v>0</v>
      </c>
      <c r="AB25" s="68">
        <v>76.659117460250897</v>
      </c>
      <c r="AC25" s="69">
        <v>0</v>
      </c>
      <c r="AD25" s="69">
        <v>26.954942364825119</v>
      </c>
      <c r="AE25" s="68">
        <v>16.868289873773087</v>
      </c>
      <c r="AF25" s="68">
        <v>9.7231749870132926</v>
      </c>
      <c r="AG25" s="68">
        <v>0.63434977960346361</v>
      </c>
      <c r="AH25" s="69">
        <v>235.58750152587891</v>
      </c>
      <c r="AI25" s="69">
        <v>1017.4518975575767</v>
      </c>
      <c r="AJ25" s="69">
        <v>3345.4712038675948</v>
      </c>
      <c r="AK25" s="69">
        <v>459.36843247413634</v>
      </c>
      <c r="AL25" s="69">
        <v>5140.282193501791</v>
      </c>
      <c r="AM25" s="69">
        <v>3043.7055066426606</v>
      </c>
      <c r="AN25" s="69">
        <v>661.50081426302586</v>
      </c>
      <c r="AO25" s="69">
        <v>3323.818228403728</v>
      </c>
      <c r="AP25" s="69">
        <v>367.04819250901539</v>
      </c>
      <c r="AQ25" s="69">
        <v>939.04624271392834</v>
      </c>
    </row>
    <row r="26" spans="1:43" x14ac:dyDescent="0.25">
      <c r="A26" s="11">
        <v>42601</v>
      </c>
      <c r="B26" s="59"/>
      <c r="C26" s="60">
        <v>124.61369593143479</v>
      </c>
      <c r="D26" s="60">
        <v>1598.9013699849436</v>
      </c>
      <c r="E26" s="60">
        <v>34.074253316720366</v>
      </c>
      <c r="F26" s="60">
        <v>0</v>
      </c>
      <c r="G26" s="60">
        <v>4940.4425496419271</v>
      </c>
      <c r="H26" s="61">
        <v>50.664682817459195</v>
      </c>
      <c r="I26" s="59">
        <v>321.05923587481226</v>
      </c>
      <c r="J26" s="60">
        <v>632.42310479482023</v>
      </c>
      <c r="K26" s="60">
        <v>34.945814773440404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443.36787098650029</v>
      </c>
      <c r="V26" s="62">
        <v>262.94141669931241</v>
      </c>
      <c r="W26" s="62">
        <v>61.16563800452785</v>
      </c>
      <c r="X26" s="62">
        <v>36.274571439836137</v>
      </c>
      <c r="Y26" s="66">
        <v>482.05005532986411</v>
      </c>
      <c r="Z26" s="66">
        <v>285.8820694120069</v>
      </c>
      <c r="AA26" s="67">
        <v>0</v>
      </c>
      <c r="AB26" s="68">
        <v>76.262535603841712</v>
      </c>
      <c r="AC26" s="69">
        <v>0</v>
      </c>
      <c r="AD26" s="69">
        <v>27.223530998494869</v>
      </c>
      <c r="AE26" s="68">
        <v>16.862293136591759</v>
      </c>
      <c r="AF26" s="68">
        <v>10.00026284328918</v>
      </c>
      <c r="AG26" s="68">
        <v>0.62772482072149027</v>
      </c>
      <c r="AH26" s="69">
        <v>235.67870912551882</v>
      </c>
      <c r="AI26" s="69">
        <v>1033.5169326146445</v>
      </c>
      <c r="AJ26" s="69">
        <v>3275.2376654307054</v>
      </c>
      <c r="AK26" s="69">
        <v>490.72433826128639</v>
      </c>
      <c r="AL26" s="69">
        <v>4950.3055267333993</v>
      </c>
      <c r="AM26" s="69">
        <v>2999.4899113972979</v>
      </c>
      <c r="AN26" s="69">
        <v>626.68916029930119</v>
      </c>
      <c r="AO26" s="69">
        <v>3341.1672611236572</v>
      </c>
      <c r="AP26" s="69">
        <v>353.50692389806107</v>
      </c>
      <c r="AQ26" s="69">
        <v>781.99724677403765</v>
      </c>
    </row>
    <row r="27" spans="1:43" x14ac:dyDescent="0.25">
      <c r="A27" s="11">
        <v>42602</v>
      </c>
      <c r="B27" s="59"/>
      <c r="C27" s="60">
        <v>123.17640267213152</v>
      </c>
      <c r="D27" s="60">
        <v>1581.0284675598157</v>
      </c>
      <c r="E27" s="60">
        <v>34.046219561497452</v>
      </c>
      <c r="F27" s="60">
        <v>0</v>
      </c>
      <c r="G27" s="60">
        <v>4895.1964495340944</v>
      </c>
      <c r="H27" s="61">
        <v>50.14518726269413</v>
      </c>
      <c r="I27" s="59">
        <v>331.55564866066032</v>
      </c>
      <c r="J27" s="60">
        <v>524.15808451970418</v>
      </c>
      <c r="K27" s="60">
        <v>28.710306929548615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401.97252878826919</v>
      </c>
      <c r="V27" s="62">
        <v>251.22457725522125</v>
      </c>
      <c r="W27" s="62">
        <v>56.885875613299717</v>
      </c>
      <c r="X27" s="62">
        <v>35.552504286361028</v>
      </c>
      <c r="Y27" s="62">
        <v>454.23249296250742</v>
      </c>
      <c r="Z27" s="62">
        <v>283.88598187066316</v>
      </c>
      <c r="AA27" s="72">
        <v>0</v>
      </c>
      <c r="AB27" s="69">
        <v>73.376570431392494</v>
      </c>
      <c r="AC27" s="69">
        <v>0</v>
      </c>
      <c r="AD27" s="69">
        <v>26.186082584328123</v>
      </c>
      <c r="AE27" s="69">
        <v>15.895231006381689</v>
      </c>
      <c r="AF27" s="69">
        <v>9.9341930205775331</v>
      </c>
      <c r="AG27" s="69">
        <v>0.61539239085591646</v>
      </c>
      <c r="AH27" s="69">
        <v>229.80708413124086</v>
      </c>
      <c r="AI27" s="69">
        <v>1021.8858269373577</v>
      </c>
      <c r="AJ27" s="69">
        <v>3182.4942471822105</v>
      </c>
      <c r="AK27" s="69">
        <v>439.57569998105362</v>
      </c>
      <c r="AL27" s="69">
        <v>5138.6456331888839</v>
      </c>
      <c r="AM27" s="69">
        <v>3001.1863379160563</v>
      </c>
      <c r="AN27" s="69">
        <v>585.62395526568093</v>
      </c>
      <c r="AO27" s="69">
        <v>3279.2562821706133</v>
      </c>
      <c r="AP27" s="69">
        <v>330.33227462768559</v>
      </c>
      <c r="AQ27" s="69">
        <v>754.77491378784191</v>
      </c>
    </row>
    <row r="28" spans="1:43" x14ac:dyDescent="0.25">
      <c r="A28" s="11">
        <v>42603</v>
      </c>
      <c r="B28" s="59"/>
      <c r="C28" s="60">
        <v>123.67843726476023</v>
      </c>
      <c r="D28" s="60">
        <v>1580.7725762685163</v>
      </c>
      <c r="E28" s="60">
        <v>33.988348654905991</v>
      </c>
      <c r="F28" s="60">
        <v>0</v>
      </c>
      <c r="G28" s="60">
        <v>4820.1709292094038</v>
      </c>
      <c r="H28" s="61">
        <v>50.071758039792506</v>
      </c>
      <c r="I28" s="59">
        <v>356.3483427842458</v>
      </c>
      <c r="J28" s="60">
        <v>523.85557956695607</v>
      </c>
      <c r="K28" s="60">
        <v>28.827188518643446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397.98574781901817</v>
      </c>
      <c r="V28" s="62">
        <v>248.76949806788815</v>
      </c>
      <c r="W28" s="62">
        <v>56.675862517414089</v>
      </c>
      <c r="X28" s="62">
        <v>35.426459234498225</v>
      </c>
      <c r="Y28" s="66">
        <v>429.7719489959822</v>
      </c>
      <c r="Z28" s="66">
        <v>268.63814249953276</v>
      </c>
      <c r="AA28" s="67">
        <v>0</v>
      </c>
      <c r="AB28" s="68">
        <v>73.377383820217077</v>
      </c>
      <c r="AC28" s="69">
        <v>0</v>
      </c>
      <c r="AD28" s="69">
        <v>26.348302214675481</v>
      </c>
      <c r="AE28" s="68">
        <v>15.998549677400662</v>
      </c>
      <c r="AF28" s="68">
        <v>10.000235422678999</v>
      </c>
      <c r="AG28" s="68">
        <v>0.61535758751095038</v>
      </c>
      <c r="AH28" s="69">
        <v>215.7346934636434</v>
      </c>
      <c r="AI28" s="69">
        <v>1014.9971729278565</v>
      </c>
      <c r="AJ28" s="69">
        <v>3163.3809548695885</v>
      </c>
      <c r="AK28" s="69">
        <v>449.69467937151603</v>
      </c>
      <c r="AL28" s="69">
        <v>5743.348727416992</v>
      </c>
      <c r="AM28" s="69">
        <v>3014.9910905202228</v>
      </c>
      <c r="AN28" s="69">
        <v>643.2113913377126</v>
      </c>
      <c r="AO28" s="69">
        <v>3202.3734733581546</v>
      </c>
      <c r="AP28" s="69">
        <v>332.36257195472717</v>
      </c>
      <c r="AQ28" s="69">
        <v>804.15016110738134</v>
      </c>
    </row>
    <row r="29" spans="1:43" x14ac:dyDescent="0.25">
      <c r="A29" s="11">
        <v>42604</v>
      </c>
      <c r="B29" s="59"/>
      <c r="C29" s="60">
        <v>123.42477881113652</v>
      </c>
      <c r="D29" s="60">
        <v>1581.49665412903</v>
      </c>
      <c r="E29" s="60">
        <v>33.864049152533248</v>
      </c>
      <c r="F29" s="60">
        <v>0</v>
      </c>
      <c r="G29" s="60">
        <v>4818.9643224080337</v>
      </c>
      <c r="H29" s="61">
        <v>50.071687416235633</v>
      </c>
      <c r="I29" s="59">
        <v>443.65610469182332</v>
      </c>
      <c r="J29" s="60">
        <v>554.97913335164378</v>
      </c>
      <c r="K29" s="60">
        <v>30.434990750749861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403.62491184276439</v>
      </c>
      <c r="V29" s="62">
        <v>241.170677879762</v>
      </c>
      <c r="W29" s="62">
        <v>57.32331060120061</v>
      </c>
      <c r="X29" s="62">
        <v>34.251358799650184</v>
      </c>
      <c r="Y29" s="66">
        <v>431.79196179333934</v>
      </c>
      <c r="Z29" s="66">
        <v>258.00082470949877</v>
      </c>
      <c r="AA29" s="67">
        <v>0</v>
      </c>
      <c r="AB29" s="68">
        <v>73.474571143257165</v>
      </c>
      <c r="AC29" s="69">
        <v>0</v>
      </c>
      <c r="AD29" s="69">
        <v>26.357630227671773</v>
      </c>
      <c r="AE29" s="68">
        <v>16.265872110391751</v>
      </c>
      <c r="AF29" s="68">
        <v>9.7190517435080288</v>
      </c>
      <c r="AG29" s="68">
        <v>0.6259734375919902</v>
      </c>
      <c r="AH29" s="69">
        <v>201.30024719238281</v>
      </c>
      <c r="AI29" s="69">
        <v>1009.1793029149374</v>
      </c>
      <c r="AJ29" s="69">
        <v>3338.8952817281097</v>
      </c>
      <c r="AK29" s="69">
        <v>450.35569963455197</v>
      </c>
      <c r="AL29" s="69">
        <v>6785.1590850830089</v>
      </c>
      <c r="AM29" s="69">
        <v>3069.5061010996492</v>
      </c>
      <c r="AN29" s="69">
        <v>674.19792011578875</v>
      </c>
      <c r="AO29" s="69">
        <v>3397.8973032633467</v>
      </c>
      <c r="AP29" s="69">
        <v>341.5534039020539</v>
      </c>
      <c r="AQ29" s="69">
        <v>911.07430528004966</v>
      </c>
    </row>
    <row r="30" spans="1:43" x14ac:dyDescent="0.25">
      <c r="A30" s="11">
        <v>42605</v>
      </c>
      <c r="B30" s="59"/>
      <c r="C30" s="60">
        <v>123.49351673126215</v>
      </c>
      <c r="D30" s="60">
        <v>1580.5598332722982</v>
      </c>
      <c r="E30" s="60">
        <v>33.801344714562148</v>
      </c>
      <c r="F30" s="60">
        <v>0</v>
      </c>
      <c r="G30" s="60">
        <v>4819.0934290567975</v>
      </c>
      <c r="H30" s="61">
        <v>50.209020495414769</v>
      </c>
      <c r="I30" s="59">
        <v>453.03324654897079</v>
      </c>
      <c r="J30" s="60">
        <v>556.48767747878981</v>
      </c>
      <c r="K30" s="60">
        <v>30.443814028302789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419.35782576844457</v>
      </c>
      <c r="V30" s="62">
        <v>240.91096752836748</v>
      </c>
      <c r="W30" s="62">
        <v>58.732661814041315</v>
      </c>
      <c r="X30" s="62">
        <v>33.740499195906004</v>
      </c>
      <c r="Y30" s="66">
        <v>444.14997709150032</v>
      </c>
      <c r="Z30" s="66">
        <v>255.15346115872356</v>
      </c>
      <c r="AA30" s="67">
        <v>0</v>
      </c>
      <c r="AB30" s="68">
        <v>65.716812796063238</v>
      </c>
      <c r="AC30" s="69">
        <v>0</v>
      </c>
      <c r="AD30" s="69">
        <v>26.939838887585555</v>
      </c>
      <c r="AE30" s="68">
        <v>16.870613265716628</v>
      </c>
      <c r="AF30" s="68">
        <v>9.6917608660172796</v>
      </c>
      <c r="AG30" s="68">
        <v>0.63513197962080536</v>
      </c>
      <c r="AH30" s="69">
        <v>209.82420511245729</v>
      </c>
      <c r="AI30" s="69">
        <v>1005.915731048584</v>
      </c>
      <c r="AJ30" s="69">
        <v>3342.1394112904868</v>
      </c>
      <c r="AK30" s="69">
        <v>459.09607063929246</v>
      </c>
      <c r="AL30" s="69">
        <v>7388.5475669860853</v>
      </c>
      <c r="AM30" s="69">
        <v>3056.7445246378584</v>
      </c>
      <c r="AN30" s="69">
        <v>665.05838365554814</v>
      </c>
      <c r="AO30" s="69">
        <v>3496.5169484456383</v>
      </c>
      <c r="AP30" s="69">
        <v>337.29956469535836</v>
      </c>
      <c r="AQ30" s="69">
        <v>901.51447165807099</v>
      </c>
    </row>
    <row r="31" spans="1:43" x14ac:dyDescent="0.25">
      <c r="A31" s="11">
        <v>42606</v>
      </c>
      <c r="B31" s="59"/>
      <c r="C31" s="60">
        <v>123.53728403250423</v>
      </c>
      <c r="D31" s="60">
        <v>1586.131280771888</v>
      </c>
      <c r="E31" s="60">
        <v>34.013423647483265</v>
      </c>
      <c r="F31" s="60">
        <v>0</v>
      </c>
      <c r="G31" s="60">
        <v>4859.3021054585797</v>
      </c>
      <c r="H31" s="61">
        <v>50.410936979452913</v>
      </c>
      <c r="I31" s="59">
        <v>436.9443225224818</v>
      </c>
      <c r="J31" s="60">
        <v>527.51222139994354</v>
      </c>
      <c r="K31" s="60">
        <v>28.920520129799868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391.02781545508572</v>
      </c>
      <c r="V31" s="62">
        <v>245.69311252512713</v>
      </c>
      <c r="W31" s="62">
        <v>56.031837945132168</v>
      </c>
      <c r="X31" s="62">
        <v>35.206284875722119</v>
      </c>
      <c r="Y31" s="66">
        <v>414.69329483519681</v>
      </c>
      <c r="Z31" s="66">
        <v>260.5627587714734</v>
      </c>
      <c r="AA31" s="67">
        <v>0</v>
      </c>
      <c r="AB31" s="68">
        <v>58.884349883927989</v>
      </c>
      <c r="AC31" s="69">
        <v>0</v>
      </c>
      <c r="AD31" s="69">
        <v>26.078551941447788</v>
      </c>
      <c r="AE31" s="68">
        <v>15.79560197432664</v>
      </c>
      <c r="AF31" s="68">
        <v>9.9247942470888475</v>
      </c>
      <c r="AG31" s="68">
        <v>0.61412747448947924</v>
      </c>
      <c r="AH31" s="69">
        <v>227.77531328201295</v>
      </c>
      <c r="AI31" s="69">
        <v>1013.7867607752482</v>
      </c>
      <c r="AJ31" s="69">
        <v>3265.9151484171548</v>
      </c>
      <c r="AK31" s="69">
        <v>439.18191123008722</v>
      </c>
      <c r="AL31" s="69">
        <v>7019.7875216166176</v>
      </c>
      <c r="AM31" s="69">
        <v>3039.8418983459474</v>
      </c>
      <c r="AN31" s="69">
        <v>609.5336167176564</v>
      </c>
      <c r="AO31" s="69">
        <v>3469.5241970062257</v>
      </c>
      <c r="AP31" s="69">
        <v>330.28112158775326</v>
      </c>
      <c r="AQ31" s="69">
        <v>862.26556679407747</v>
      </c>
    </row>
    <row r="32" spans="1:43" x14ac:dyDescent="0.25">
      <c r="A32" s="11">
        <v>42607</v>
      </c>
      <c r="B32" s="59"/>
      <c r="C32" s="60">
        <v>123.67087246576978</v>
      </c>
      <c r="D32" s="60">
        <v>1587.4388998667382</v>
      </c>
      <c r="E32" s="60">
        <v>34.05109025835992</v>
      </c>
      <c r="F32" s="60">
        <v>0</v>
      </c>
      <c r="G32" s="60">
        <v>4935.5119005838988</v>
      </c>
      <c r="H32" s="61">
        <v>50.4378685156505</v>
      </c>
      <c r="I32" s="59">
        <v>387.37346285581651</v>
      </c>
      <c r="J32" s="60">
        <v>481.38250344594388</v>
      </c>
      <c r="K32" s="60">
        <v>26.433905630807118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359.00912431511978</v>
      </c>
      <c r="V32" s="62">
        <v>244.63527837957753</v>
      </c>
      <c r="W32" s="62">
        <v>51.417217945276931</v>
      </c>
      <c r="X32" s="62">
        <v>35.036617661297939</v>
      </c>
      <c r="Y32" s="66">
        <v>385.01861232185547</v>
      </c>
      <c r="Z32" s="66">
        <v>262.35861159896695</v>
      </c>
      <c r="AA32" s="67">
        <v>0</v>
      </c>
      <c r="AB32" s="68">
        <v>70.812660476897236</v>
      </c>
      <c r="AC32" s="69">
        <v>0</v>
      </c>
      <c r="AD32" s="69">
        <v>25.007852371533666</v>
      </c>
      <c r="AE32" s="68">
        <v>14.673847119365869</v>
      </c>
      <c r="AF32" s="68">
        <v>9.9990235117103641</v>
      </c>
      <c r="AG32" s="68">
        <v>0.59473611071764432</v>
      </c>
      <c r="AH32" s="69">
        <v>204.66493735313418</v>
      </c>
      <c r="AI32" s="69">
        <v>992.99085973103809</v>
      </c>
      <c r="AJ32" s="69">
        <v>3155.0085491180425</v>
      </c>
      <c r="AK32" s="69">
        <v>449.61863334973651</v>
      </c>
      <c r="AL32" s="69">
        <v>7658.0494766235361</v>
      </c>
      <c r="AM32" s="69">
        <v>3003.2521853129069</v>
      </c>
      <c r="AN32" s="69">
        <v>589.60800937016825</v>
      </c>
      <c r="AO32" s="69">
        <v>3550.0656634012862</v>
      </c>
      <c r="AP32" s="69">
        <v>357.00092663764957</v>
      </c>
      <c r="AQ32" s="69">
        <v>709.53402271270738</v>
      </c>
    </row>
    <row r="33" spans="1:43" x14ac:dyDescent="0.25">
      <c r="A33" s="11">
        <v>42608</v>
      </c>
      <c r="B33" s="59"/>
      <c r="C33" s="60">
        <v>123.81023793220503</v>
      </c>
      <c r="D33" s="60">
        <v>1580.3556378682467</v>
      </c>
      <c r="E33" s="60">
        <v>33.77067107160893</v>
      </c>
      <c r="F33" s="60">
        <v>0</v>
      </c>
      <c r="G33" s="60">
        <v>4934.0737800598108</v>
      </c>
      <c r="H33" s="61">
        <v>50.185227926572189</v>
      </c>
      <c r="I33" s="59">
        <v>340.29105132420875</v>
      </c>
      <c r="J33" s="60">
        <v>395.32546888987298</v>
      </c>
      <c r="K33" s="60">
        <v>21.606854919592553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299.43975164386347</v>
      </c>
      <c r="V33" s="62">
        <v>249.51402232091019</v>
      </c>
      <c r="W33" s="62">
        <v>42.035221242050383</v>
      </c>
      <c r="X33" s="62">
        <v>35.026669217010422</v>
      </c>
      <c r="Y33" s="66">
        <v>312.11703141158034</v>
      </c>
      <c r="Z33" s="66">
        <v>260.07761332566304</v>
      </c>
      <c r="AA33" s="67">
        <v>0</v>
      </c>
      <c r="AB33" s="68">
        <v>63.413596630095313</v>
      </c>
      <c r="AC33" s="69">
        <v>0</v>
      </c>
      <c r="AD33" s="69">
        <v>22.082645118236524</v>
      </c>
      <c r="AE33" s="68">
        <v>11.892683168389764</v>
      </c>
      <c r="AF33" s="68">
        <v>9.9098105620337318</v>
      </c>
      <c r="AG33" s="68">
        <v>0.54547352772745217</v>
      </c>
      <c r="AH33" s="69">
        <v>202.38122128645577</v>
      </c>
      <c r="AI33" s="69">
        <v>984.39877058664945</v>
      </c>
      <c r="AJ33" s="69">
        <v>3137.3929023742671</v>
      </c>
      <c r="AK33" s="69">
        <v>433.43083071708679</v>
      </c>
      <c r="AL33" s="69">
        <v>7707.7823336283363</v>
      </c>
      <c r="AM33" s="69">
        <v>3040.1584145863853</v>
      </c>
      <c r="AN33" s="69">
        <v>555.80941858291635</v>
      </c>
      <c r="AO33" s="69">
        <v>3154.2021372477216</v>
      </c>
      <c r="AP33" s="69">
        <v>329.25715683301286</v>
      </c>
      <c r="AQ33" s="69">
        <v>747.31914151509613</v>
      </c>
    </row>
    <row r="34" spans="1:43" x14ac:dyDescent="0.25">
      <c r="A34" s="11">
        <v>42609</v>
      </c>
      <c r="B34" s="59"/>
      <c r="C34" s="60">
        <v>123.43562176227573</v>
      </c>
      <c r="D34" s="60">
        <v>1579.7581521352117</v>
      </c>
      <c r="E34" s="60">
        <v>33.704647481441569</v>
      </c>
      <c r="F34" s="60">
        <v>0</v>
      </c>
      <c r="G34" s="60">
        <v>4935.0407857259142</v>
      </c>
      <c r="H34" s="61">
        <v>50.153266640504334</v>
      </c>
      <c r="I34" s="59">
        <v>370.18164485295557</v>
      </c>
      <c r="J34" s="60">
        <v>395.15865745544522</v>
      </c>
      <c r="K34" s="60">
        <v>21.690252133210507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302.16814410341738</v>
      </c>
      <c r="V34" s="62">
        <v>251.85838923534087</v>
      </c>
      <c r="W34" s="62">
        <v>42.862532567461706</v>
      </c>
      <c r="X34" s="62">
        <v>35.7260969485041</v>
      </c>
      <c r="Y34" s="66">
        <v>315.77043395591829</v>
      </c>
      <c r="Z34" s="66">
        <v>263.19595369743251</v>
      </c>
      <c r="AA34" s="67">
        <v>0</v>
      </c>
      <c r="AB34" s="68">
        <v>63.414826072585818</v>
      </c>
      <c r="AC34" s="69">
        <v>0</v>
      </c>
      <c r="AD34" s="69">
        <v>22.250639269087078</v>
      </c>
      <c r="AE34" s="68">
        <v>11.915379327438616</v>
      </c>
      <c r="AF34" s="68">
        <v>9.9315176106376004</v>
      </c>
      <c r="AG34" s="68">
        <v>0.54540374137398462</v>
      </c>
      <c r="AH34" s="69">
        <v>215.99722048441569</v>
      </c>
      <c r="AI34" s="69">
        <v>1010.3604579925536</v>
      </c>
      <c r="AJ34" s="69">
        <v>3208.5204743703207</v>
      </c>
      <c r="AK34" s="69">
        <v>439.70592222213747</v>
      </c>
      <c r="AL34" s="69">
        <v>7891.5388654073067</v>
      </c>
      <c r="AM34" s="69">
        <v>3024.4225901285809</v>
      </c>
      <c r="AN34" s="69">
        <v>591.95589427948005</v>
      </c>
      <c r="AO34" s="69">
        <v>2976.9652552286784</v>
      </c>
      <c r="AP34" s="69">
        <v>329.84924785296124</v>
      </c>
      <c r="AQ34" s="69">
        <v>760.29327904383342</v>
      </c>
    </row>
    <row r="35" spans="1:43" x14ac:dyDescent="0.25">
      <c r="A35" s="11">
        <v>42610</v>
      </c>
      <c r="B35" s="59"/>
      <c r="C35" s="60">
        <v>124.04356805483435</v>
      </c>
      <c r="D35" s="60">
        <v>1587.1512488047301</v>
      </c>
      <c r="E35" s="60">
        <v>33.934486915667925</v>
      </c>
      <c r="F35" s="60">
        <v>0</v>
      </c>
      <c r="G35" s="60">
        <v>4978.2994771321682</v>
      </c>
      <c r="H35" s="61">
        <v>50.260779293378235</v>
      </c>
      <c r="I35" s="59">
        <v>425.8278327465062</v>
      </c>
      <c r="J35" s="60">
        <v>444.62196524937906</v>
      </c>
      <c r="K35" s="60">
        <v>24.275350812077562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333.37713200342506</v>
      </c>
      <c r="V35" s="62">
        <v>248.49580560169142</v>
      </c>
      <c r="W35" s="62">
        <v>48.397166503741822</v>
      </c>
      <c r="X35" s="62">
        <v>36.074738560840949</v>
      </c>
      <c r="Y35" s="66">
        <v>348.59191920970591</v>
      </c>
      <c r="Z35" s="66">
        <v>259.83674785877531</v>
      </c>
      <c r="AA35" s="67">
        <v>0</v>
      </c>
      <c r="AB35" s="68">
        <v>66.709839751986365</v>
      </c>
      <c r="AC35" s="69">
        <v>0</v>
      </c>
      <c r="AD35" s="69">
        <v>23.383041750722459</v>
      </c>
      <c r="AE35" s="68">
        <v>13.329531727073137</v>
      </c>
      <c r="AF35" s="68">
        <v>9.9356926640616567</v>
      </c>
      <c r="AG35" s="68">
        <v>0.57293802556885509</v>
      </c>
      <c r="AH35" s="69">
        <v>204.8244995435079</v>
      </c>
      <c r="AI35" s="69">
        <v>1006.787209892273</v>
      </c>
      <c r="AJ35" s="69">
        <v>3319.1382006327308</v>
      </c>
      <c r="AK35" s="69">
        <v>441.09457359313961</v>
      </c>
      <c r="AL35" s="69">
        <v>7954.2603017171223</v>
      </c>
      <c r="AM35" s="69">
        <v>3032.5162710825598</v>
      </c>
      <c r="AN35" s="69">
        <v>612.14447584152242</v>
      </c>
      <c r="AO35" s="69">
        <v>3191.7674649556479</v>
      </c>
      <c r="AP35" s="69">
        <v>334.24622840881347</v>
      </c>
      <c r="AQ35" s="69">
        <v>862.96876281102493</v>
      </c>
    </row>
    <row r="36" spans="1:43" x14ac:dyDescent="0.25">
      <c r="A36" s="11">
        <v>42611</v>
      </c>
      <c r="B36" s="59"/>
      <c r="C36" s="60">
        <v>124.06421955426471</v>
      </c>
      <c r="D36" s="60">
        <v>1588.2396776835119</v>
      </c>
      <c r="E36" s="60">
        <v>34.091618178288179</v>
      </c>
      <c r="F36" s="60">
        <v>0</v>
      </c>
      <c r="G36" s="60">
        <v>5051.7851374308357</v>
      </c>
      <c r="H36" s="61">
        <v>50.308025427659487</v>
      </c>
      <c r="I36" s="59">
        <v>414.4547244389849</v>
      </c>
      <c r="J36" s="60">
        <v>456.82271331151264</v>
      </c>
      <c r="K36" s="60">
        <v>24.984725380937263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347.30416714290993</v>
      </c>
      <c r="V36" s="62">
        <v>248.08787353363343</v>
      </c>
      <c r="W36" s="62">
        <v>50.544359030626538</v>
      </c>
      <c r="X36" s="62">
        <v>36.105073700048251</v>
      </c>
      <c r="Y36" s="66">
        <v>368.04350045372485</v>
      </c>
      <c r="Z36" s="66">
        <v>262.90248731126815</v>
      </c>
      <c r="AA36" s="67">
        <v>0</v>
      </c>
      <c r="AB36" s="68">
        <v>68.344546360440077</v>
      </c>
      <c r="AC36" s="69">
        <v>0</v>
      </c>
      <c r="AD36" s="69">
        <v>24.232689789931019</v>
      </c>
      <c r="AE36" s="68">
        <v>13.999166293091921</v>
      </c>
      <c r="AF36" s="68">
        <v>9.9999473817652227</v>
      </c>
      <c r="AG36" s="68">
        <v>0.58332013768317859</v>
      </c>
      <c r="AH36" s="69">
        <v>215.33984247843424</v>
      </c>
      <c r="AI36" s="69">
        <v>1007.0889333724975</v>
      </c>
      <c r="AJ36" s="69">
        <v>3333.1145735422774</v>
      </c>
      <c r="AK36" s="69">
        <v>442.10181918144229</v>
      </c>
      <c r="AL36" s="69">
        <v>7091.4382443745944</v>
      </c>
      <c r="AM36" s="69">
        <v>3023.4922449747719</v>
      </c>
      <c r="AN36" s="69">
        <v>602.01702860196428</v>
      </c>
      <c r="AO36" s="69">
        <v>2974.8903336842859</v>
      </c>
      <c r="AP36" s="69">
        <v>336.94134902954102</v>
      </c>
      <c r="AQ36" s="69">
        <v>837.83095397949205</v>
      </c>
    </row>
    <row r="37" spans="1:43" x14ac:dyDescent="0.25">
      <c r="A37" s="11">
        <v>42612</v>
      </c>
      <c r="B37" s="59"/>
      <c r="C37" s="60">
        <v>123.4360115289691</v>
      </c>
      <c r="D37" s="60">
        <v>1580.1470878601067</v>
      </c>
      <c r="E37" s="60">
        <v>33.820951332648647</v>
      </c>
      <c r="F37" s="60">
        <v>0</v>
      </c>
      <c r="G37" s="60">
        <v>5052.4424072265556</v>
      </c>
      <c r="H37" s="61">
        <v>50.254358585675611</v>
      </c>
      <c r="I37" s="59">
        <v>402.89395769437164</v>
      </c>
      <c r="J37" s="60">
        <v>459.58035853703757</v>
      </c>
      <c r="K37" s="60">
        <v>25.134877433876227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348.19291620670964</v>
      </c>
      <c r="V37" s="62">
        <v>246.88420410799137</v>
      </c>
      <c r="W37" s="62">
        <v>49.726428260228815</v>
      </c>
      <c r="X37" s="62">
        <v>35.258240741668345</v>
      </c>
      <c r="Y37" s="66">
        <v>368.66725809731611</v>
      </c>
      <c r="Z37" s="66">
        <v>261.40141961416907</v>
      </c>
      <c r="AA37" s="67">
        <v>0</v>
      </c>
      <c r="AB37" s="68">
        <v>68.344568761190203</v>
      </c>
      <c r="AC37" s="69">
        <v>0</v>
      </c>
      <c r="AD37" s="69">
        <v>24.21354071564145</v>
      </c>
      <c r="AE37" s="68">
        <v>14.025189505608964</v>
      </c>
      <c r="AF37" s="68">
        <v>9.944480738661559</v>
      </c>
      <c r="AG37" s="68">
        <v>0.58512233846693862</v>
      </c>
      <c r="AH37" s="69">
        <v>221.25038396517434</v>
      </c>
      <c r="AI37" s="69">
        <v>1021.1457234064736</v>
      </c>
      <c r="AJ37" s="69">
        <v>3297.3801235198976</v>
      </c>
      <c r="AK37" s="69">
        <v>463.24983968734745</v>
      </c>
      <c r="AL37" s="69">
        <v>7607.7673388163257</v>
      </c>
      <c r="AM37" s="69">
        <v>3021.2915395100908</v>
      </c>
      <c r="AN37" s="69">
        <v>610.47383136749272</v>
      </c>
      <c r="AO37" s="69">
        <v>3006.2733112335204</v>
      </c>
      <c r="AP37" s="69">
        <v>336.56029003461208</v>
      </c>
      <c r="AQ37" s="69">
        <v>838.84938913981114</v>
      </c>
    </row>
    <row r="38" spans="1:43" ht="15.75" thickBot="1" x14ac:dyDescent="0.3">
      <c r="A38" s="11">
        <v>42613</v>
      </c>
      <c r="B38" s="73"/>
      <c r="C38" s="74">
        <v>107.72800979614256</v>
      </c>
      <c r="D38" s="74">
        <v>1379.1126743952423</v>
      </c>
      <c r="E38" s="74">
        <v>29.607617608706185</v>
      </c>
      <c r="F38" s="74">
        <v>0</v>
      </c>
      <c r="G38" s="74">
        <v>4600.3272509256813</v>
      </c>
      <c r="H38" s="75">
        <v>43.708717248837132</v>
      </c>
      <c r="I38" s="76">
        <v>383.92513635953304</v>
      </c>
      <c r="J38" s="74">
        <v>467.15757916768399</v>
      </c>
      <c r="K38" s="74">
        <v>25.526451290150519</v>
      </c>
      <c r="L38" s="74">
        <v>0</v>
      </c>
      <c r="M38" s="60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350.23300665105927</v>
      </c>
      <c r="V38" s="80">
        <v>208.26085721765429</v>
      </c>
      <c r="W38" s="81">
        <v>47.80717048713457</v>
      </c>
      <c r="X38" s="81">
        <v>28.427824099174114</v>
      </c>
      <c r="Y38" s="80">
        <v>384.30268653866938</v>
      </c>
      <c r="Z38" s="80">
        <v>228.51988650324634</v>
      </c>
      <c r="AA38" s="82">
        <v>0</v>
      </c>
      <c r="AB38" s="83">
        <v>65.571209896935386</v>
      </c>
      <c r="AC38" s="84">
        <v>0</v>
      </c>
      <c r="AD38" s="85">
        <v>22.732878106832526</v>
      </c>
      <c r="AE38" s="83">
        <v>14.105930334289493</v>
      </c>
      <c r="AF38" s="83">
        <v>8.3878820313429685</v>
      </c>
      <c r="AG38" s="83">
        <v>0.62710269406538965</v>
      </c>
      <c r="AH38" s="84">
        <v>215.18114441235861</v>
      </c>
      <c r="AI38" s="84">
        <v>1015.1940124511719</v>
      </c>
      <c r="AJ38" s="84">
        <v>3352.2983122507731</v>
      </c>
      <c r="AK38" s="84">
        <v>467.02962934176128</v>
      </c>
      <c r="AL38" s="84">
        <v>7477.4331130981445</v>
      </c>
      <c r="AM38" s="84">
        <v>2999.030797831218</v>
      </c>
      <c r="AN38" s="84">
        <v>626.1881156126658</v>
      </c>
      <c r="AO38" s="84">
        <v>3148.6379005432127</v>
      </c>
      <c r="AP38" s="84">
        <v>334.93618307113644</v>
      </c>
      <c r="AQ38" s="84">
        <v>831.8488789240522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3909.7074962218608</v>
      </c>
      <c r="D39" s="30">
        <f t="shared" si="0"/>
        <v>47764.012453333526</v>
      </c>
      <c r="E39" s="30">
        <f t="shared" si="0"/>
        <v>1017.0229255378252</v>
      </c>
      <c r="F39" s="30">
        <f t="shared" si="0"/>
        <v>0</v>
      </c>
      <c r="G39" s="30">
        <f t="shared" si="0"/>
        <v>141138.18187141421</v>
      </c>
      <c r="H39" s="31">
        <f t="shared" si="0"/>
        <v>1674.9440702696647</v>
      </c>
      <c r="I39" s="29">
        <f t="shared" si="0"/>
        <v>13152.834356598061</v>
      </c>
      <c r="J39" s="30">
        <f t="shared" si="0"/>
        <v>18608.762524445854</v>
      </c>
      <c r="K39" s="30">
        <f t="shared" si="0"/>
        <v>1076.9157633901639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14439.746905481052</v>
      </c>
      <c r="V39" s="262">
        <f t="shared" si="0"/>
        <v>8232.4554892375199</v>
      </c>
      <c r="W39" s="262">
        <f t="shared" si="0"/>
        <v>1643.2337530929904</v>
      </c>
      <c r="X39" s="262">
        <f t="shared" si="0"/>
        <v>964.63267639884714</v>
      </c>
      <c r="Y39" s="262">
        <f t="shared" si="0"/>
        <v>13298.241944019388</v>
      </c>
      <c r="Z39" s="262">
        <f t="shared" si="0"/>
        <v>7672.6888651923355</v>
      </c>
      <c r="AA39" s="270">
        <f t="shared" si="0"/>
        <v>0</v>
      </c>
      <c r="AB39" s="273">
        <f t="shared" si="0"/>
        <v>2240.5917885144631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159</v>
      </c>
      <c r="AH39" s="273">
        <f t="shared" ref="AH39:AQ39" si="1">SUM(AH8:AH38)</f>
        <v>6597.7012640714647</v>
      </c>
      <c r="AI39" s="273">
        <f t="shared" si="1"/>
        <v>31881.828462664285</v>
      </c>
      <c r="AJ39" s="273">
        <f t="shared" si="1"/>
        <v>102413.97910563149</v>
      </c>
      <c r="AK39" s="273">
        <f t="shared" si="1"/>
        <v>15063.625425036749</v>
      </c>
      <c r="AL39" s="273">
        <f t="shared" si="1"/>
        <v>181678.43151232402</v>
      </c>
      <c r="AM39" s="273">
        <f t="shared" si="1"/>
        <v>92972.102896372453</v>
      </c>
      <c r="AN39" s="273">
        <f t="shared" si="1"/>
        <v>20303.474758116405</v>
      </c>
      <c r="AO39" s="273">
        <f t="shared" si="1"/>
        <v>103335.23125915528</v>
      </c>
      <c r="AP39" s="273">
        <f t="shared" si="1"/>
        <v>11285.573425030709</v>
      </c>
      <c r="AQ39" s="273">
        <f t="shared" si="1"/>
        <v>27484.33782691956</v>
      </c>
    </row>
    <row r="40" spans="1:43" ht="15.75" thickBot="1" x14ac:dyDescent="0.3">
      <c r="A40" s="47" t="s">
        <v>174</v>
      </c>
      <c r="B40" s="32">
        <f>Projection!$AC$30</f>
        <v>0.80583665399999982</v>
      </c>
      <c r="C40" s="33">
        <f>Projection!$AC$28</f>
        <v>1.3221902399999999</v>
      </c>
      <c r="D40" s="33">
        <f>Projection!$AC$31</f>
        <v>2.1962556000000002</v>
      </c>
      <c r="E40" s="33">
        <f>Projection!$AC$26</f>
        <v>4.3368000000000002</v>
      </c>
      <c r="F40" s="33">
        <f>Projection!$AC$23</f>
        <v>0</v>
      </c>
      <c r="G40" s="33">
        <f>Projection!$AC$24</f>
        <v>5.2499999999999998E-2</v>
      </c>
      <c r="H40" s="34">
        <f>Projection!$AC$29</f>
        <v>3.6159737999999999</v>
      </c>
      <c r="I40" s="32">
        <f>Projection!$AC$30</f>
        <v>0.80583665399999982</v>
      </c>
      <c r="J40" s="33">
        <f>Projection!$AC$28</f>
        <v>1.3221902399999999</v>
      </c>
      <c r="K40" s="33">
        <f>Projection!$AC$26</f>
        <v>4.3368000000000002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1.3221902399999999</v>
      </c>
      <c r="T40" s="38">
        <f>Projection!$AC$28</f>
        <v>1.3221902399999999</v>
      </c>
      <c r="U40" s="26">
        <f>Projection!$AC$27</f>
        <v>0.25650000000000001</v>
      </c>
      <c r="V40" s="27">
        <f>Projection!$AC$27</f>
        <v>0.25650000000000001</v>
      </c>
      <c r="W40" s="27">
        <f>Projection!$AC$22</f>
        <v>1.625</v>
      </c>
      <c r="X40" s="27">
        <f>Projection!$AC$22</f>
        <v>1.625</v>
      </c>
      <c r="Y40" s="27">
        <f>Projection!$AC$31</f>
        <v>2.1962556000000002</v>
      </c>
      <c r="Z40" s="27">
        <f>Projection!$AC$31</f>
        <v>2.1962556000000002</v>
      </c>
      <c r="AA40" s="28">
        <v>0</v>
      </c>
      <c r="AB40" s="41">
        <f>Projection!$AC$27</f>
        <v>0.25650000000000001</v>
      </c>
      <c r="AC40" s="41">
        <f>Projection!$AC$30</f>
        <v>0.80583665399999982</v>
      </c>
      <c r="AD40" s="43">
        <f>SUM(AD8:AD38)</f>
        <v>804.10479842821792</v>
      </c>
      <c r="AE40" s="43">
        <f>SUM(AE8:AE38)</f>
        <v>502.62829776589274</v>
      </c>
      <c r="AF40" s="43">
        <f>SUM(AF8:AF38)</f>
        <v>291.05044121437322</v>
      </c>
      <c r="AG40" s="43">
        <f>IF(SUM(AE40:AF40)&gt;0, AE40/(AE40+AF40), "")</f>
        <v>0.63328935636058414</v>
      </c>
      <c r="AH40" s="313">
        <v>6.5000000000000002E-2</v>
      </c>
      <c r="AI40" s="313">
        <f t="shared" ref="AI40:AQ40" si="2">$AH$40</f>
        <v>6.5000000000000002E-2</v>
      </c>
      <c r="AJ40" s="313">
        <f t="shared" si="2"/>
        <v>6.5000000000000002E-2</v>
      </c>
      <c r="AK40" s="313">
        <f t="shared" si="2"/>
        <v>6.5000000000000002E-2</v>
      </c>
      <c r="AL40" s="313">
        <f t="shared" si="2"/>
        <v>6.5000000000000002E-2</v>
      </c>
      <c r="AM40" s="313">
        <f t="shared" si="2"/>
        <v>6.5000000000000002E-2</v>
      </c>
      <c r="AN40" s="313">
        <f t="shared" si="2"/>
        <v>6.5000000000000002E-2</v>
      </c>
      <c r="AO40" s="313">
        <f t="shared" si="2"/>
        <v>6.5000000000000002E-2</v>
      </c>
      <c r="AP40" s="313">
        <f t="shared" si="2"/>
        <v>6.5000000000000002E-2</v>
      </c>
      <c r="AQ40" s="313">
        <f t="shared" si="2"/>
        <v>6.5000000000000002E-2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5169.3770927593805</v>
      </c>
      <c r="D41" s="36">
        <f t="shared" si="3"/>
        <v>104901.9798291035</v>
      </c>
      <c r="E41" s="36">
        <f t="shared" si="3"/>
        <v>4410.6250234724412</v>
      </c>
      <c r="F41" s="36">
        <f t="shared" si="3"/>
        <v>0</v>
      </c>
      <c r="G41" s="36">
        <f t="shared" si="3"/>
        <v>7409.754548249246</v>
      </c>
      <c r="H41" s="37">
        <f t="shared" si="3"/>
        <v>6056.5538745604663</v>
      </c>
      <c r="I41" s="35">
        <f t="shared" si="3"/>
        <v>10599.036028537223</v>
      </c>
      <c r="J41" s="36">
        <f t="shared" si="3"/>
        <v>24604.324188300066</v>
      </c>
      <c r="K41" s="36">
        <f t="shared" si="3"/>
        <v>4670.3682826704626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3703.7950812558897</v>
      </c>
      <c r="V41" s="268">
        <f t="shared" si="3"/>
        <v>2111.6248329894238</v>
      </c>
      <c r="W41" s="268">
        <f t="shared" si="3"/>
        <v>2670.2548487761092</v>
      </c>
      <c r="X41" s="268">
        <f t="shared" si="3"/>
        <v>1567.5280991481266</v>
      </c>
      <c r="Y41" s="268">
        <f t="shared" si="3"/>
        <v>29206.338339707469</v>
      </c>
      <c r="Z41" s="268">
        <f t="shared" si="3"/>
        <v>16851.185887236312</v>
      </c>
      <c r="AA41" s="272">
        <f t="shared" si="3"/>
        <v>0</v>
      </c>
      <c r="AB41" s="275">
        <f t="shared" si="3"/>
        <v>574.7117937539598</v>
      </c>
      <c r="AC41" s="275">
        <f t="shared" si="3"/>
        <v>0</v>
      </c>
      <c r="AH41" s="278">
        <f t="shared" ref="AH41:AQ41" si="4">AH40*AH39</f>
        <v>428.85058216464523</v>
      </c>
      <c r="AI41" s="278">
        <f t="shared" si="4"/>
        <v>2072.3188500731785</v>
      </c>
      <c r="AJ41" s="278">
        <f t="shared" si="4"/>
        <v>6656.9086418660472</v>
      </c>
      <c r="AK41" s="278">
        <f t="shared" si="4"/>
        <v>979.13565262738871</v>
      </c>
      <c r="AL41" s="278">
        <f t="shared" si="4"/>
        <v>11809.098048301063</v>
      </c>
      <c r="AM41" s="278">
        <f t="shared" si="4"/>
        <v>6043.1866882642098</v>
      </c>
      <c r="AN41" s="278">
        <f t="shared" si="4"/>
        <v>1319.7258592775663</v>
      </c>
      <c r="AO41" s="278">
        <f t="shared" si="4"/>
        <v>6716.7900318450929</v>
      </c>
      <c r="AP41" s="278">
        <f t="shared" si="4"/>
        <v>733.5622726269961</v>
      </c>
      <c r="AQ41" s="278">
        <f t="shared" si="4"/>
        <v>1786.4819587497714</v>
      </c>
    </row>
    <row r="42" spans="1:43" ht="49.5" customHeight="1" thickTop="1" thickBot="1" x14ac:dyDescent="0.3">
      <c r="A42" s="576" t="s">
        <v>230</v>
      </c>
      <c r="B42" s="577"/>
      <c r="C42" s="577"/>
      <c r="D42" s="577"/>
      <c r="E42" s="577"/>
      <c r="F42" s="577"/>
      <c r="G42" s="577"/>
      <c r="H42" s="577"/>
      <c r="I42" s="577"/>
      <c r="J42" s="577"/>
      <c r="K42" s="57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6" t="s">
        <v>186</v>
      </c>
      <c r="AH42" s="295">
        <v>193.19</v>
      </c>
      <c r="AI42" s="278" t="s">
        <v>199</v>
      </c>
      <c r="AJ42" s="278">
        <v>142.94</v>
      </c>
      <c r="AK42" s="278">
        <v>39.299999999999997</v>
      </c>
      <c r="AL42" s="278">
        <v>61.23</v>
      </c>
      <c r="AM42" s="278">
        <v>961.97</v>
      </c>
      <c r="AN42" s="278">
        <v>140.94</v>
      </c>
      <c r="AO42" s="278" t="s">
        <v>199</v>
      </c>
      <c r="AP42" s="278">
        <v>39.299999999999997</v>
      </c>
      <c r="AQ42" s="278">
        <v>139.44</v>
      </c>
    </row>
    <row r="43" spans="1:43" ht="38.25" customHeight="1" thickTop="1" thickBot="1" x14ac:dyDescent="0.3">
      <c r="A43" s="608" t="s">
        <v>49</v>
      </c>
      <c r="B43" s="605"/>
      <c r="C43" s="289"/>
      <c r="D43" s="605" t="s">
        <v>47</v>
      </c>
      <c r="E43" s="605"/>
      <c r="F43" s="289"/>
      <c r="G43" s="605" t="s">
        <v>48</v>
      </c>
      <c r="H43" s="605"/>
      <c r="I43" s="290"/>
      <c r="J43" s="605" t="s">
        <v>50</v>
      </c>
      <c r="K43" s="578"/>
      <c r="L43" s="44"/>
      <c r="M43" s="44"/>
      <c r="N43" s="44"/>
      <c r="O43" s="45"/>
      <c r="P43" s="45"/>
      <c r="Q43" s="45"/>
      <c r="R43" s="568" t="s">
        <v>168</v>
      </c>
      <c r="S43" s="569"/>
      <c r="T43" s="569"/>
      <c r="U43" s="570"/>
      <c r="AC43" s="45"/>
    </row>
    <row r="44" spans="1:43" ht="24.75" thickTop="1" thickBot="1" x14ac:dyDescent="0.3">
      <c r="A44" s="282" t="s">
        <v>135</v>
      </c>
      <c r="B44" s="283">
        <f>SUM(B41:AC41)</f>
        <v>224507.45775052012</v>
      </c>
      <c r="C44" s="12"/>
      <c r="D44" s="282" t="s">
        <v>135</v>
      </c>
      <c r="E44" s="283">
        <f>SUM(B41:H41)+P41+R41+T41+V41+X41+Z41</f>
        <v>148478.62918751891</v>
      </c>
      <c r="F44" s="12"/>
      <c r="G44" s="282" t="s">
        <v>135</v>
      </c>
      <c r="H44" s="283">
        <f>SUM(I41:N41)+O41+Q41+S41+U41+W41+Y41</f>
        <v>75454.116769247223</v>
      </c>
      <c r="I44" s="12"/>
      <c r="J44" s="282" t="s">
        <v>200</v>
      </c>
      <c r="K44" s="283">
        <v>122144.74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3" ht="24" thickBot="1" x14ac:dyDescent="0.4">
      <c r="A45" s="284" t="s">
        <v>185</v>
      </c>
      <c r="B45" s="285">
        <f>SUM(AH41:AQ41)</f>
        <v>38546.058585795952</v>
      </c>
      <c r="C45" s="12"/>
      <c r="D45" s="284" t="s">
        <v>185</v>
      </c>
      <c r="E45" s="285">
        <f>AH41*(1-$AG$40)+AI41+AJ41*0.5+AL41+AM41*(1-$AG$40)+AN41*(1-$AG$40)+AO41*(1-$AG$40)+AP41*0.5+AQ41*0.5</f>
        <v>23790.334203144885</v>
      </c>
      <c r="F45" s="24"/>
      <c r="G45" s="284" t="s">
        <v>185</v>
      </c>
      <c r="H45" s="285">
        <f>AH41*AG40+AJ41*0.5+AK41+AM41*AG40+AN41*AG40+AO41*AG40+AP41*0.5+AQ41*0.5</f>
        <v>14755.724382651075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2607.8664294918376</v>
      </c>
      <c r="U45" s="256">
        <f>(T45*8.34*0.895)/27000</f>
        <v>0.72095916257984893</v>
      </c>
    </row>
    <row r="46" spans="1:43" ht="32.25" thickBot="1" x14ac:dyDescent="0.3">
      <c r="A46" s="286" t="s">
        <v>186</v>
      </c>
      <c r="B46" s="287">
        <f>SUM(AH42:AQ42)</f>
        <v>1718.3100000000002</v>
      </c>
      <c r="C46" s="12"/>
      <c r="D46" s="286" t="s">
        <v>186</v>
      </c>
      <c r="E46" s="287">
        <f>AH42*(1-$AG$40)+AJ42*0.5+AL42+AM42*(1-$AG$40)+AN42*(1-$AG$40)+AP42*0.5+AQ42*0.5</f>
        <v>697.36366522104686</v>
      </c>
      <c r="F46" s="23"/>
      <c r="G46" s="286" t="s">
        <v>186</v>
      </c>
      <c r="H46" s="287">
        <f>AH42*AG40+AJ42*0.5+AK42+AM42*AG40+AN42*AG40+AP42*0.5+AQ42*0.5</f>
        <v>1020.9463347789532</v>
      </c>
      <c r="I46" s="12"/>
      <c r="J46" s="606" t="s">
        <v>201</v>
      </c>
      <c r="K46" s="607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3" ht="24.75" thickTop="1" thickBot="1" x14ac:dyDescent="0.4">
      <c r="A47" s="286" t="s">
        <v>187</v>
      </c>
      <c r="B47" s="287">
        <f>K44</f>
        <v>122144.74</v>
      </c>
      <c r="C47" s="12"/>
      <c r="D47" s="286" t="s">
        <v>189</v>
      </c>
      <c r="E47" s="287">
        <f>K44*0.5</f>
        <v>61072.37</v>
      </c>
      <c r="F47" s="24"/>
      <c r="G47" s="286" t="s">
        <v>187</v>
      </c>
      <c r="H47" s="287">
        <f>K44*0.5</f>
        <v>61072.37</v>
      </c>
      <c r="I47" s="12"/>
      <c r="J47" s="282" t="s">
        <v>200</v>
      </c>
      <c r="K47" s="283">
        <v>267288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141138.18187141421</v>
      </c>
      <c r="U47" s="256">
        <f>T47/40000</f>
        <v>3.5284545467853552</v>
      </c>
    </row>
    <row r="48" spans="1:43" ht="24" thickBot="1" x14ac:dyDescent="0.3">
      <c r="A48" s="286" t="s">
        <v>188</v>
      </c>
      <c r="B48" s="287">
        <f>K47</f>
        <v>267288</v>
      </c>
      <c r="C48" s="12"/>
      <c r="D48" s="286" t="s">
        <v>188</v>
      </c>
      <c r="E48" s="287">
        <f>K47*0.5</f>
        <v>133644</v>
      </c>
      <c r="F48" s="23"/>
      <c r="G48" s="286" t="s">
        <v>188</v>
      </c>
      <c r="H48" s="287">
        <f>K47*0.5</f>
        <v>133644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196</v>
      </c>
      <c r="B49" s="292">
        <f>AD40</f>
        <v>804.10479842821792</v>
      </c>
      <c r="C49" s="12"/>
      <c r="D49" s="291" t="s">
        <v>197</v>
      </c>
      <c r="E49" s="292">
        <f>AF40</f>
        <v>291.05044121437322</v>
      </c>
      <c r="F49" s="23"/>
      <c r="G49" s="291" t="s">
        <v>198</v>
      </c>
      <c r="H49" s="292">
        <f>AE40</f>
        <v>502.62829776589274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2093.938688927989</v>
      </c>
      <c r="U49" s="256">
        <f>(T49*8.34*1.04)/45000</f>
        <v>0.40359970249524008</v>
      </c>
    </row>
    <row r="50" spans="1:25" ht="48" thickTop="1" thickBot="1" x14ac:dyDescent="0.3">
      <c r="A50" s="291" t="s">
        <v>192</v>
      </c>
      <c r="B50" s="293">
        <f>(SUM(B44:B48)/AD40)</f>
        <v>813.58122425719694</v>
      </c>
      <c r="C50" s="12"/>
      <c r="D50" s="291" t="s">
        <v>190</v>
      </c>
      <c r="E50" s="293">
        <f>SUM(E44:E48)/AF40</f>
        <v>1263.2954463898859</v>
      </c>
      <c r="F50" s="23"/>
      <c r="G50" s="291" t="s">
        <v>191</v>
      </c>
      <c r="H50" s="293">
        <f>SUM(H44:H48)/AE40</f>
        <v>568.90381770717931</v>
      </c>
      <c r="I50" s="12"/>
      <c r="J50" s="12"/>
      <c r="K50" s="86"/>
      <c r="L50" s="12"/>
      <c r="M50" s="12"/>
      <c r="N50" s="12"/>
      <c r="O50" s="12"/>
      <c r="P50" s="12"/>
      <c r="Q50" s="12"/>
      <c r="R50" s="318" t="s">
        <v>153</v>
      </c>
      <c r="S50" s="319"/>
      <c r="T50" s="254">
        <f>$U$39+$V$39+$AB$39</f>
        <v>24912.794183233036</v>
      </c>
      <c r="U50" s="256">
        <f>T50/2000/8</f>
        <v>1.5570496364520647</v>
      </c>
    </row>
    <row r="51" spans="1:25" ht="47.25" customHeight="1" thickTop="1" thickBot="1" x14ac:dyDescent="0.3">
      <c r="A51" s="281" t="s">
        <v>193</v>
      </c>
      <c r="B51" s="294">
        <f>B50/1000</f>
        <v>0.81358122425719692</v>
      </c>
      <c r="C51" s="12"/>
      <c r="D51" s="281" t="s">
        <v>194</v>
      </c>
      <c r="E51" s="294">
        <f>E50/1000</f>
        <v>1.263295446389886</v>
      </c>
      <c r="F51" s="378">
        <f>E44/E49</f>
        <v>510.14741145215089</v>
      </c>
      <c r="G51" s="281" t="s">
        <v>195</v>
      </c>
      <c r="H51" s="294">
        <f>H50/1000</f>
        <v>0.56890381770717935</v>
      </c>
      <c r="I51" s="378">
        <f>H44/H49</f>
        <v>150.1191180532999</v>
      </c>
      <c r="J51" s="12"/>
      <c r="K51" s="86"/>
      <c r="L51" s="12"/>
      <c r="M51" s="12"/>
      <c r="N51" s="12"/>
      <c r="O51" s="12"/>
      <c r="P51" s="12"/>
      <c r="Q51" s="12"/>
      <c r="R51" s="318" t="s">
        <v>154</v>
      </c>
      <c r="S51" s="319"/>
      <c r="T51" s="254">
        <f>$C$39+$J$39+$S$39+$T$39</f>
        <v>22518.470020667715</v>
      </c>
      <c r="U51" s="256">
        <f>(T51*8.34*1.4)/45000</f>
        <v>5.8427923546959164</v>
      </c>
    </row>
    <row r="52" spans="1:25" ht="16.5" thickTop="1" thickBot="1" x14ac:dyDescent="0.3">
      <c r="A52" s="303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155</v>
      </c>
      <c r="S52" s="319"/>
      <c r="T52" s="254">
        <f>$H$39</f>
        <v>1674.9440702696647</v>
      </c>
      <c r="U52" s="256">
        <f>(T52*8.34*1.135)/45000</f>
        <v>0.35233006832812491</v>
      </c>
    </row>
    <row r="53" spans="1:25" ht="48" customHeight="1" thickTop="1" thickBot="1" x14ac:dyDescent="0.3">
      <c r="A53" s="571" t="s">
        <v>51</v>
      </c>
      <c r="B53" s="572"/>
      <c r="C53" s="572"/>
      <c r="D53" s="572"/>
      <c r="E53" s="573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156</v>
      </c>
      <c r="S53" s="319"/>
      <c r="T53" s="254">
        <f>$B$39+$I$39+$AC$39</f>
        <v>13152.834356598061</v>
      </c>
      <c r="U53" s="256">
        <f>(T53*8.34*1.029*0.03)/3300</f>
        <v>1.0261434822864965</v>
      </c>
    </row>
    <row r="54" spans="1:25" ht="42.75" customHeight="1" thickBot="1" x14ac:dyDescent="0.3">
      <c r="A54" s="602" t="s">
        <v>202</v>
      </c>
      <c r="B54" s="603"/>
      <c r="C54" s="603"/>
      <c r="D54" s="603"/>
      <c r="E54" s="60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65" t="s">
        <v>158</v>
      </c>
      <c r="S54" s="566"/>
      <c r="T54" s="258">
        <f>$D$39+$Y$39+$Z$39</f>
        <v>68734.943262545246</v>
      </c>
      <c r="U54" s="259">
        <f>(T54*1.54*8.34)/45000</f>
        <v>19.617869273040579</v>
      </c>
    </row>
    <row r="55" spans="1:25" ht="24" thickTop="1" x14ac:dyDescent="0.25">
      <c r="A55" s="611"/>
      <c r="B55" s="6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613"/>
      <c r="B56" s="61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09"/>
      <c r="B57" s="61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10"/>
      <c r="B58" s="61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09"/>
      <c r="B59" s="61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10"/>
      <c r="B60" s="610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</row>
  </sheetData>
  <sheetProtection selectLockedCells="1" selectUnlockedCells="1"/>
  <mergeCells count="34"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7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74"/>
  <sheetViews>
    <sheetView topLeftCell="A13" zoomScale="80" zoomScaleNormal="80" workbookViewId="0">
      <selection activeCell="B43" sqref="B43"/>
    </sheetView>
  </sheetViews>
  <sheetFormatPr defaultRowHeight="15" x14ac:dyDescent="0.25"/>
  <cols>
    <col min="1" max="1" width="38.7109375" customWidth="1"/>
    <col min="2" max="2" width="28.7109375" bestFit="1" customWidth="1"/>
    <col min="3" max="3" width="25.28515625" customWidth="1"/>
    <col min="4" max="4" width="38.7109375" customWidth="1"/>
    <col min="5" max="5" width="26.42578125" bestFit="1" customWidth="1"/>
    <col min="6" max="6" width="16.7109375" customWidth="1"/>
    <col min="7" max="7" width="43.7109375" customWidth="1"/>
    <col min="8" max="8" width="26.42578125" bestFit="1" customWidth="1"/>
    <col min="9" max="9" width="16.7109375" customWidth="1"/>
    <col min="10" max="10" width="25.28515625" bestFit="1" customWidth="1"/>
    <col min="11" max="11" width="28.7109375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23" bestFit="1" customWidth="1"/>
    <col min="22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3.42578125" bestFit="1" customWidth="1"/>
    <col min="35" max="38" width="18.85546875" bestFit="1" customWidth="1"/>
    <col min="39" max="39" width="23.42578125" bestFit="1" customWidth="1"/>
    <col min="40" max="43" width="18.85546875" bestFit="1" customWidth="1"/>
  </cols>
  <sheetData>
    <row r="1" spans="1:58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8" ht="15" customHeight="1" x14ac:dyDescent="0.25">
      <c r="A2" s="1" t="s">
        <v>2</v>
      </c>
      <c r="B2" s="5"/>
      <c r="O2" s="4"/>
      <c r="P2" s="4"/>
      <c r="Q2" s="4"/>
      <c r="R2" s="4"/>
    </row>
    <row r="3" spans="1:58" ht="15.75" thickBot="1" x14ac:dyDescent="0.3">
      <c r="A3" s="6"/>
      <c r="BE3" t="s">
        <v>171</v>
      </c>
      <c r="BF3" s="260" t="s">
        <v>208</v>
      </c>
    </row>
    <row r="4" spans="1:58" ht="30" customHeight="1" thickTop="1" x14ac:dyDescent="0.25">
      <c r="A4" s="13"/>
      <c r="B4" s="581" t="s">
        <v>3</v>
      </c>
      <c r="C4" s="582"/>
      <c r="D4" s="582"/>
      <c r="E4" s="582"/>
      <c r="F4" s="582"/>
      <c r="G4" s="582"/>
      <c r="H4" s="583"/>
      <c r="I4" s="581" t="s">
        <v>4</v>
      </c>
      <c r="J4" s="582"/>
      <c r="K4" s="582"/>
      <c r="L4" s="582"/>
      <c r="M4" s="582"/>
      <c r="N4" s="583"/>
      <c r="O4" s="587" t="s">
        <v>5</v>
      </c>
      <c r="P4" s="588"/>
      <c r="Q4" s="589"/>
      <c r="R4" s="589"/>
      <c r="S4" s="589"/>
      <c r="T4" s="590"/>
      <c r="U4" s="581" t="s">
        <v>6</v>
      </c>
      <c r="V4" s="594"/>
      <c r="W4" s="594"/>
      <c r="X4" s="594"/>
      <c r="Y4" s="594"/>
      <c r="Z4" s="594"/>
      <c r="AA4" s="595"/>
      <c r="AB4" s="574" t="s">
        <v>7</v>
      </c>
      <c r="AC4" s="600" t="s">
        <v>8</v>
      </c>
      <c r="AD4" s="579" t="s">
        <v>27</v>
      </c>
      <c r="AE4" s="579" t="s">
        <v>31</v>
      </c>
      <c r="AF4" s="579" t="s">
        <v>32</v>
      </c>
      <c r="AG4" s="579" t="s">
        <v>33</v>
      </c>
      <c r="AH4" s="574" t="s">
        <v>175</v>
      </c>
      <c r="AI4" s="574" t="s">
        <v>176</v>
      </c>
      <c r="AJ4" s="574" t="s">
        <v>177</v>
      </c>
      <c r="AK4" s="574" t="s">
        <v>178</v>
      </c>
      <c r="AL4" s="574" t="s">
        <v>179</v>
      </c>
      <c r="AM4" s="574" t="s">
        <v>180</v>
      </c>
      <c r="AN4" s="574" t="s">
        <v>181</v>
      </c>
      <c r="AO4" s="574" t="s">
        <v>184</v>
      </c>
      <c r="AP4" s="574" t="s">
        <v>182</v>
      </c>
      <c r="AQ4" s="574" t="s">
        <v>183</v>
      </c>
    </row>
    <row r="5" spans="1:58" ht="30" customHeight="1" thickBot="1" x14ac:dyDescent="0.3">
      <c r="A5" s="13"/>
      <c r="B5" s="584"/>
      <c r="C5" s="585"/>
      <c r="D5" s="585"/>
      <c r="E5" s="585"/>
      <c r="F5" s="585"/>
      <c r="G5" s="585"/>
      <c r="H5" s="586"/>
      <c r="I5" s="584"/>
      <c r="J5" s="585"/>
      <c r="K5" s="585"/>
      <c r="L5" s="585"/>
      <c r="M5" s="585"/>
      <c r="N5" s="586"/>
      <c r="O5" s="591"/>
      <c r="P5" s="592"/>
      <c r="Q5" s="592"/>
      <c r="R5" s="592"/>
      <c r="S5" s="592"/>
      <c r="T5" s="593"/>
      <c r="U5" s="596"/>
      <c r="V5" s="597"/>
      <c r="W5" s="597"/>
      <c r="X5" s="597"/>
      <c r="Y5" s="597"/>
      <c r="Z5" s="597"/>
      <c r="AA5" s="598"/>
      <c r="AB5" s="599"/>
      <c r="AC5" s="601"/>
      <c r="AD5" s="580"/>
      <c r="AE5" s="580"/>
      <c r="AF5" s="580"/>
      <c r="AG5" s="580"/>
      <c r="AH5" s="575"/>
      <c r="AI5" s="575"/>
      <c r="AJ5" s="575"/>
      <c r="AK5" s="575"/>
      <c r="AL5" s="575"/>
      <c r="AM5" s="575"/>
      <c r="AN5" s="575"/>
      <c r="AO5" s="575"/>
      <c r="AP5" s="575"/>
      <c r="AQ5" s="575"/>
    </row>
    <row r="6" spans="1:58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8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5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58" x14ac:dyDescent="0.25">
      <c r="A8" s="11">
        <v>42614</v>
      </c>
      <c r="B8" s="49"/>
      <c r="C8" s="50">
        <v>98.728948553403754</v>
      </c>
      <c r="D8" s="50">
        <v>1266.3218175252271</v>
      </c>
      <c r="E8" s="50">
        <v>27.025731054941822</v>
      </c>
      <c r="F8" s="50">
        <v>0</v>
      </c>
      <c r="G8" s="50">
        <v>3962.9717536926182</v>
      </c>
      <c r="H8" s="51">
        <v>40.101711845398015</v>
      </c>
      <c r="I8" s="49">
        <v>394.70629078547171</v>
      </c>
      <c r="J8" s="50">
        <v>488.61980667114284</v>
      </c>
      <c r="K8" s="50">
        <v>26.667551160355409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372.48084611325532</v>
      </c>
      <c r="V8" s="54">
        <v>198.65821664106272</v>
      </c>
      <c r="W8" s="54">
        <v>50.680210693283421</v>
      </c>
      <c r="X8" s="54">
        <v>27.02968590298935</v>
      </c>
      <c r="Y8" s="54">
        <v>416.54108876513845</v>
      </c>
      <c r="Z8" s="54">
        <v>222.15722154649674</v>
      </c>
      <c r="AA8" s="55">
        <v>0</v>
      </c>
      <c r="AB8" s="56">
        <v>64.395461199019806</v>
      </c>
      <c r="AC8" s="57">
        <v>0</v>
      </c>
      <c r="AD8" s="57">
        <v>23.238782531685278</v>
      </c>
      <c r="AE8" s="58">
        <v>14.998676936634215</v>
      </c>
      <c r="AF8" s="58">
        <v>7.9993654527438967</v>
      </c>
      <c r="AG8" s="58">
        <v>0.65217189718554092</v>
      </c>
      <c r="AH8" s="57">
        <v>214.34258875846865</v>
      </c>
      <c r="AI8" s="57">
        <v>1008.8725224812827</v>
      </c>
      <c r="AJ8" s="57">
        <v>3347.9106960296626</v>
      </c>
      <c r="AK8" s="57">
        <v>453.48246885935464</v>
      </c>
      <c r="AL8" s="57">
        <v>7562.6654378255207</v>
      </c>
      <c r="AM8" s="57">
        <v>2955.5924349466964</v>
      </c>
      <c r="AN8" s="57">
        <v>642.10038631757118</v>
      </c>
      <c r="AO8" s="57">
        <v>2859.8360262552897</v>
      </c>
      <c r="AP8" s="57">
        <v>339.20857763290405</v>
      </c>
      <c r="AQ8" s="57">
        <v>888.96491330464664</v>
      </c>
    </row>
    <row r="9" spans="1:58" x14ac:dyDescent="0.25">
      <c r="A9" s="11">
        <v>42615</v>
      </c>
      <c r="B9" s="59"/>
      <c r="C9" s="60">
        <v>99.073029152552152</v>
      </c>
      <c r="D9" s="60">
        <v>1272.4932862599678</v>
      </c>
      <c r="E9" s="60">
        <v>27.48300384978446</v>
      </c>
      <c r="F9" s="60">
        <v>0</v>
      </c>
      <c r="G9" s="60">
        <v>4029.2215647379508</v>
      </c>
      <c r="H9" s="61">
        <v>40.318091899156599</v>
      </c>
      <c r="I9" s="59">
        <v>398.14989271163978</v>
      </c>
      <c r="J9" s="60">
        <v>489.05235481262179</v>
      </c>
      <c r="K9" s="60">
        <v>26.723338963091429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372.72394412028126</v>
      </c>
      <c r="V9" s="62">
        <v>198.57654733988792</v>
      </c>
      <c r="W9" s="62">
        <v>50.542269574172778</v>
      </c>
      <c r="X9" s="62">
        <v>26.927460779182539</v>
      </c>
      <c r="Y9" s="66">
        <v>416.60803478261721</v>
      </c>
      <c r="Z9" s="66">
        <v>221.9567227870148</v>
      </c>
      <c r="AA9" s="67">
        <v>0</v>
      </c>
      <c r="AB9" s="68">
        <v>64.3953275097752</v>
      </c>
      <c r="AC9" s="69">
        <v>0</v>
      </c>
      <c r="AD9" s="69">
        <v>23.23833544254304</v>
      </c>
      <c r="AE9" s="68">
        <v>15.015111613863942</v>
      </c>
      <c r="AF9" s="68">
        <v>7.9996175969900944</v>
      </c>
      <c r="AG9" s="68">
        <v>0.65241313405428325</v>
      </c>
      <c r="AH9" s="69">
        <v>208.28340220451355</v>
      </c>
      <c r="AI9" s="69">
        <v>1005.1098197937011</v>
      </c>
      <c r="AJ9" s="69">
        <v>3274.7997191111244</v>
      </c>
      <c r="AK9" s="69">
        <v>448.27924191157018</v>
      </c>
      <c r="AL9" s="69">
        <v>8079.8713841756198</v>
      </c>
      <c r="AM9" s="69">
        <v>2960.0544694264731</v>
      </c>
      <c r="AN9" s="69">
        <v>636.68712952931719</v>
      </c>
      <c r="AO9" s="69">
        <v>2969.2709500630694</v>
      </c>
      <c r="AP9" s="69">
        <v>343.97080726623534</v>
      </c>
      <c r="AQ9" s="69">
        <v>940.40026559829698</v>
      </c>
    </row>
    <row r="10" spans="1:58" x14ac:dyDescent="0.25">
      <c r="A10" s="11">
        <v>42616</v>
      </c>
      <c r="B10" s="59"/>
      <c r="C10" s="60">
        <v>98.964410074552362</v>
      </c>
      <c r="D10" s="60">
        <v>1266.4833169937119</v>
      </c>
      <c r="E10" s="60">
        <v>27.443669384717936</v>
      </c>
      <c r="F10" s="60">
        <v>0</v>
      </c>
      <c r="G10" s="60">
        <v>4029.9812609354622</v>
      </c>
      <c r="H10" s="61">
        <v>40.207119635740845</v>
      </c>
      <c r="I10" s="59">
        <v>423.98720429738387</v>
      </c>
      <c r="J10" s="60">
        <v>520.40140469869004</v>
      </c>
      <c r="K10" s="60">
        <v>28.586729842424425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396.9200748757109</v>
      </c>
      <c r="V10" s="62">
        <v>198.49814416081782</v>
      </c>
      <c r="W10" s="62">
        <v>53.880402266250087</v>
      </c>
      <c r="X10" s="62">
        <v>26.945373976959925</v>
      </c>
      <c r="Y10" s="66">
        <v>443.76539681998264</v>
      </c>
      <c r="Z10" s="66">
        <v>221.92530256661453</v>
      </c>
      <c r="AA10" s="67">
        <v>0</v>
      </c>
      <c r="AB10" s="68">
        <v>64.396523475648564</v>
      </c>
      <c r="AC10" s="69">
        <v>0</v>
      </c>
      <c r="AD10" s="69">
        <v>24.235652241441954</v>
      </c>
      <c r="AE10" s="68">
        <v>15.99964986779381</v>
      </c>
      <c r="AF10" s="68">
        <v>8.001360996856679</v>
      </c>
      <c r="AG10" s="68">
        <v>0.6666240000482081</v>
      </c>
      <c r="AH10" s="69">
        <v>211.21875705718995</v>
      </c>
      <c r="AI10" s="69">
        <v>1009.2522406895956</v>
      </c>
      <c r="AJ10" s="69">
        <v>3334.941221491496</v>
      </c>
      <c r="AK10" s="69">
        <v>449.49362986882528</v>
      </c>
      <c r="AL10" s="69">
        <v>8341.6153015136733</v>
      </c>
      <c r="AM10" s="69">
        <v>2894.2452208201089</v>
      </c>
      <c r="AN10" s="69">
        <v>649.12301495869963</v>
      </c>
      <c r="AO10" s="69">
        <v>3233.1776756286617</v>
      </c>
      <c r="AP10" s="69">
        <v>342.30554763476044</v>
      </c>
      <c r="AQ10" s="69">
        <v>847.58880275090542</v>
      </c>
    </row>
    <row r="11" spans="1:58" x14ac:dyDescent="0.25">
      <c r="A11" s="11">
        <v>42617</v>
      </c>
      <c r="B11" s="59"/>
      <c r="C11" s="60">
        <v>98.716886393229544</v>
      </c>
      <c r="D11" s="60">
        <v>1265.2826748530053</v>
      </c>
      <c r="E11" s="60">
        <v>27.119164240360291</v>
      </c>
      <c r="F11" s="60">
        <v>0</v>
      </c>
      <c r="G11" s="60">
        <v>4031.5608777364032</v>
      </c>
      <c r="H11" s="61">
        <v>40.131283346811934</v>
      </c>
      <c r="I11" s="59">
        <v>423.71817468007384</v>
      </c>
      <c r="J11" s="60">
        <v>520.51911999384663</v>
      </c>
      <c r="K11" s="60">
        <v>28.610854240258554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394.66895696373587</v>
      </c>
      <c r="V11" s="62">
        <v>197.37356673825099</v>
      </c>
      <c r="W11" s="62">
        <v>50.839547516093255</v>
      </c>
      <c r="X11" s="62">
        <v>25.424808938120062</v>
      </c>
      <c r="Y11" s="66">
        <v>440.84858584736241</v>
      </c>
      <c r="Z11" s="66">
        <v>220.46795483892853</v>
      </c>
      <c r="AA11" s="67">
        <v>0</v>
      </c>
      <c r="AB11" s="68">
        <v>64.395639451345815</v>
      </c>
      <c r="AC11" s="69">
        <v>0</v>
      </c>
      <c r="AD11" s="69">
        <v>24.080945095751005</v>
      </c>
      <c r="AE11" s="68">
        <v>15.897709017334851</v>
      </c>
      <c r="AF11" s="68">
        <v>7.9504290275521985</v>
      </c>
      <c r="AG11" s="68">
        <v>0.6666226515215623</v>
      </c>
      <c r="AH11" s="69">
        <v>205.74352165857951</v>
      </c>
      <c r="AI11" s="69">
        <v>1006.7583060582476</v>
      </c>
      <c r="AJ11" s="69">
        <v>3296.1026353200282</v>
      </c>
      <c r="AK11" s="69">
        <v>446.89345968564356</v>
      </c>
      <c r="AL11" s="69">
        <v>8375.170634714761</v>
      </c>
      <c r="AM11" s="69">
        <v>2896.201689783732</v>
      </c>
      <c r="AN11" s="69">
        <v>641.75961689949042</v>
      </c>
      <c r="AO11" s="69">
        <v>3184.7599544525146</v>
      </c>
      <c r="AP11" s="69">
        <v>340.99026018778488</v>
      </c>
      <c r="AQ11" s="69">
        <v>868.15215098063175</v>
      </c>
    </row>
    <row r="12" spans="1:58" x14ac:dyDescent="0.25">
      <c r="A12" s="11">
        <v>42618</v>
      </c>
      <c r="B12" s="59"/>
      <c r="C12" s="60">
        <v>98.872622179984688</v>
      </c>
      <c r="D12" s="60">
        <v>1265.203869247433</v>
      </c>
      <c r="E12" s="60">
        <v>27.424325054883944</v>
      </c>
      <c r="F12" s="60">
        <v>0</v>
      </c>
      <c r="G12" s="60">
        <v>4030.7688967386921</v>
      </c>
      <c r="H12" s="61">
        <v>40.054573204119983</v>
      </c>
      <c r="I12" s="59">
        <v>414.82456245422355</v>
      </c>
      <c r="J12" s="60">
        <v>522.66974274317488</v>
      </c>
      <c r="K12" s="60">
        <v>28.781971815228502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389.93518573930589</v>
      </c>
      <c r="V12" s="62">
        <v>196.95773149109186</v>
      </c>
      <c r="W12" s="62">
        <v>49.704315456902151</v>
      </c>
      <c r="X12" s="62">
        <v>25.105837010189703</v>
      </c>
      <c r="Y12" s="66">
        <v>437.3637832524559</v>
      </c>
      <c r="Z12" s="66">
        <v>220.9140947935802</v>
      </c>
      <c r="AA12" s="67">
        <v>0</v>
      </c>
      <c r="AB12" s="68">
        <v>64.395780801773981</v>
      </c>
      <c r="AC12" s="69">
        <v>0</v>
      </c>
      <c r="AD12" s="69">
        <v>23.963373657067596</v>
      </c>
      <c r="AE12" s="68">
        <v>15.724559541808347</v>
      </c>
      <c r="AF12" s="68">
        <v>7.9425342706101629</v>
      </c>
      <c r="AG12" s="68">
        <v>0.6644060173352343</v>
      </c>
      <c r="AH12" s="69">
        <v>207.97039542198181</v>
      </c>
      <c r="AI12" s="69">
        <v>1011.3592851638793</v>
      </c>
      <c r="AJ12" s="69">
        <v>3309.9596898396803</v>
      </c>
      <c r="AK12" s="69">
        <v>460.30705010096227</v>
      </c>
      <c r="AL12" s="69">
        <v>9014.524477640789</v>
      </c>
      <c r="AM12" s="69">
        <v>2886.6483421325679</v>
      </c>
      <c r="AN12" s="69">
        <v>648.16764987309762</v>
      </c>
      <c r="AO12" s="69">
        <v>3166.1978135426843</v>
      </c>
      <c r="AP12" s="69">
        <v>338.7167808214823</v>
      </c>
      <c r="AQ12" s="69">
        <v>810.37258701324458</v>
      </c>
    </row>
    <row r="13" spans="1:58" x14ac:dyDescent="0.25">
      <c r="A13" s="11">
        <v>42619</v>
      </c>
      <c r="B13" s="59"/>
      <c r="C13" s="60">
        <v>99.096248300869675</v>
      </c>
      <c r="D13" s="60">
        <v>1262.3694537480662</v>
      </c>
      <c r="E13" s="60">
        <v>29.134077327450147</v>
      </c>
      <c r="F13" s="60">
        <v>0</v>
      </c>
      <c r="G13" s="60">
        <v>4071.7447369893312</v>
      </c>
      <c r="H13" s="61">
        <v>40.304287846883149</v>
      </c>
      <c r="I13" s="59">
        <v>399.66870818138176</v>
      </c>
      <c r="J13" s="60">
        <v>524.02371927897138</v>
      </c>
      <c r="K13" s="60">
        <v>28.854960278670006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396.24547758601119</v>
      </c>
      <c r="V13" s="62">
        <v>198.11230573155837</v>
      </c>
      <c r="W13" s="62">
        <v>50.861792320145213</v>
      </c>
      <c r="X13" s="62">
        <v>25.429556979603404</v>
      </c>
      <c r="Y13" s="66">
        <v>445.31918662825302</v>
      </c>
      <c r="Z13" s="66">
        <v>222.64786815207282</v>
      </c>
      <c r="AA13" s="67">
        <v>0</v>
      </c>
      <c r="AB13" s="68">
        <v>64.66693211131593</v>
      </c>
      <c r="AC13" s="69">
        <v>0</v>
      </c>
      <c r="AD13" s="69">
        <v>24.286643111705729</v>
      </c>
      <c r="AE13" s="68">
        <v>15.979864257896759</v>
      </c>
      <c r="AF13" s="68">
        <v>7.989511382428474</v>
      </c>
      <c r="AG13" s="68">
        <v>0.666678369002353</v>
      </c>
      <c r="AH13" s="69">
        <v>212.3347485701243</v>
      </c>
      <c r="AI13" s="69">
        <v>1007.8765529632566</v>
      </c>
      <c r="AJ13" s="69">
        <v>3324.1561690012618</v>
      </c>
      <c r="AK13" s="69">
        <v>460.36196552912401</v>
      </c>
      <c r="AL13" s="69">
        <v>8461.0664494832363</v>
      </c>
      <c r="AM13" s="69">
        <v>2867.5981063842773</v>
      </c>
      <c r="AN13" s="69">
        <v>628.83384844462057</v>
      </c>
      <c r="AO13" s="69">
        <v>3230.6730347951247</v>
      </c>
      <c r="AP13" s="69">
        <v>339.52384651501978</v>
      </c>
      <c r="AQ13" s="69">
        <v>915.25695473353085</v>
      </c>
    </row>
    <row r="14" spans="1:58" x14ac:dyDescent="0.25">
      <c r="A14" s="11">
        <v>42620</v>
      </c>
      <c r="B14" s="59"/>
      <c r="C14" s="60">
        <v>89.976253386338442</v>
      </c>
      <c r="D14" s="60">
        <v>1134.6372783660888</v>
      </c>
      <c r="E14" s="60">
        <v>24.87915387550995</v>
      </c>
      <c r="F14" s="60">
        <v>0</v>
      </c>
      <c r="G14" s="60">
        <v>3475.5987798054957</v>
      </c>
      <c r="H14" s="61">
        <v>34.159116207559926</v>
      </c>
      <c r="I14" s="59">
        <v>387.54089897473631</v>
      </c>
      <c r="J14" s="60">
        <v>525.89555006027285</v>
      </c>
      <c r="K14" s="60">
        <v>28.810185901323955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393.43146375061633</v>
      </c>
      <c r="V14" s="62">
        <v>135.00907510080447</v>
      </c>
      <c r="W14" s="62">
        <v>50.370808737043795</v>
      </c>
      <c r="X14" s="62">
        <v>17.285135852729955</v>
      </c>
      <c r="Y14" s="66">
        <v>433.4523285875926</v>
      </c>
      <c r="Z14" s="66">
        <v>148.74254698651868</v>
      </c>
      <c r="AA14" s="67">
        <v>0</v>
      </c>
      <c r="AB14" s="68">
        <v>63.621106870968809</v>
      </c>
      <c r="AC14" s="69">
        <v>0</v>
      </c>
      <c r="AD14" s="69">
        <v>21.064495233694714</v>
      </c>
      <c r="AE14" s="68">
        <v>15.449383508010555</v>
      </c>
      <c r="AF14" s="68">
        <v>5.3015764382694472</v>
      </c>
      <c r="AG14" s="68">
        <v>0.74451415973072355</v>
      </c>
      <c r="AH14" s="69">
        <v>215.93439869880677</v>
      </c>
      <c r="AI14" s="69">
        <v>999.61404075622568</v>
      </c>
      <c r="AJ14" s="69">
        <v>3013.3371652603146</v>
      </c>
      <c r="AK14" s="69">
        <v>491.73182489077249</v>
      </c>
      <c r="AL14" s="69">
        <v>6006.6678098678594</v>
      </c>
      <c r="AM14" s="69">
        <v>2600.8024041493732</v>
      </c>
      <c r="AN14" s="69">
        <v>612.46283663113911</v>
      </c>
      <c r="AO14" s="69">
        <v>2867.8181326548261</v>
      </c>
      <c r="AP14" s="69">
        <v>307.26708081563322</v>
      </c>
      <c r="AQ14" s="69">
        <v>910.58321657180784</v>
      </c>
    </row>
    <row r="15" spans="1:58" x14ac:dyDescent="0.25">
      <c r="A15" s="11">
        <v>42621</v>
      </c>
      <c r="B15" s="59"/>
      <c r="C15" s="60">
        <v>99.183144553502615</v>
      </c>
      <c r="D15" s="60">
        <v>1250.7652580897036</v>
      </c>
      <c r="E15" s="60">
        <v>27.705222687621927</v>
      </c>
      <c r="F15" s="60">
        <v>0</v>
      </c>
      <c r="G15" s="60">
        <v>4434.7158226013134</v>
      </c>
      <c r="H15" s="61">
        <v>40.252653696139632</v>
      </c>
      <c r="I15" s="59">
        <v>391.75987456639666</v>
      </c>
      <c r="J15" s="60">
        <v>555.6970646222436</v>
      </c>
      <c r="K15" s="60">
        <v>30.483432150880464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420.62340184764173</v>
      </c>
      <c r="V15" s="62">
        <v>199.21645393984977</v>
      </c>
      <c r="W15" s="62">
        <v>54.998217176081518</v>
      </c>
      <c r="X15" s="62">
        <v>26.048360007324039</v>
      </c>
      <c r="Y15" s="66">
        <v>480.48464551974263</v>
      </c>
      <c r="Z15" s="66">
        <v>227.56804978639951</v>
      </c>
      <c r="AA15" s="67">
        <v>0</v>
      </c>
      <c r="AB15" s="68">
        <v>68.83191375202486</v>
      </c>
      <c r="AC15" s="69">
        <v>0</v>
      </c>
      <c r="AD15" s="69">
        <v>25.106565762890742</v>
      </c>
      <c r="AE15" s="68">
        <v>16.800202522971869</v>
      </c>
      <c r="AF15" s="68">
        <v>7.956943806255647</v>
      </c>
      <c r="AG15" s="68">
        <v>0.6786001221448561</v>
      </c>
      <c r="AH15" s="69">
        <v>210.87396097183228</v>
      </c>
      <c r="AI15" s="69">
        <v>1028.0644648234049</v>
      </c>
      <c r="AJ15" s="69">
        <v>3397.3164269765225</v>
      </c>
      <c r="AK15" s="69">
        <v>506.91695909500118</v>
      </c>
      <c r="AL15" s="69">
        <v>6891.8428227742515</v>
      </c>
      <c r="AM15" s="69">
        <v>2705.2560629526779</v>
      </c>
      <c r="AN15" s="69">
        <v>641.63505881627407</v>
      </c>
      <c r="AO15" s="69">
        <v>3129.3714141845703</v>
      </c>
      <c r="AP15" s="69">
        <v>347.48087593714388</v>
      </c>
      <c r="AQ15" s="69">
        <v>917.11232067743924</v>
      </c>
    </row>
    <row r="16" spans="1:58" x14ac:dyDescent="0.25">
      <c r="A16" s="11">
        <v>42622</v>
      </c>
      <c r="B16" s="49"/>
      <c r="C16" s="50">
        <v>98.268041018645434</v>
      </c>
      <c r="D16" s="50">
        <v>1247.0671422958403</v>
      </c>
      <c r="E16" s="50">
        <v>27.634395972887667</v>
      </c>
      <c r="F16" s="50">
        <v>0</v>
      </c>
      <c r="G16" s="50">
        <v>4284.9943303426162</v>
      </c>
      <c r="H16" s="51">
        <v>40.052913804849048</v>
      </c>
      <c r="I16" s="49">
        <v>369.60201725959746</v>
      </c>
      <c r="J16" s="50">
        <v>528.70105333328252</v>
      </c>
      <c r="K16" s="50">
        <v>29.032243679960612</v>
      </c>
      <c r="L16" s="5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391.66632406305206</v>
      </c>
      <c r="V16" s="66">
        <v>196.76092328106452</v>
      </c>
      <c r="W16" s="62">
        <v>50.055643358351894</v>
      </c>
      <c r="X16" s="62">
        <v>25.146391194540055</v>
      </c>
      <c r="Y16" s="66">
        <v>451.36422205512059</v>
      </c>
      <c r="Z16" s="66">
        <v>226.75128192360961</v>
      </c>
      <c r="AA16" s="67">
        <v>0</v>
      </c>
      <c r="AB16" s="68">
        <v>66.992122067345434</v>
      </c>
      <c r="AC16" s="69">
        <v>0</v>
      </c>
      <c r="AD16" s="69">
        <v>24.106425435013275</v>
      </c>
      <c r="AE16" s="68">
        <v>15.809094831188093</v>
      </c>
      <c r="AF16" s="68">
        <v>7.9419952753500338</v>
      </c>
      <c r="AG16" s="68">
        <v>0.66561554691909552</v>
      </c>
      <c r="AH16" s="69">
        <v>217.66650195121764</v>
      </c>
      <c r="AI16" s="69">
        <v>1019.2930475234984</v>
      </c>
      <c r="AJ16" s="69">
        <v>3290.3805319468188</v>
      </c>
      <c r="AK16" s="69">
        <v>466.06002140045172</v>
      </c>
      <c r="AL16" s="69">
        <v>6525.2311587015784</v>
      </c>
      <c r="AM16" s="69">
        <v>2708.1026373545333</v>
      </c>
      <c r="AN16" s="69">
        <v>586.82189626693719</v>
      </c>
      <c r="AO16" s="69">
        <v>3192.6398376464845</v>
      </c>
      <c r="AP16" s="69">
        <v>364.81611560185752</v>
      </c>
      <c r="AQ16" s="69">
        <v>806.44399162928266</v>
      </c>
    </row>
    <row r="17" spans="1:43" x14ac:dyDescent="0.25">
      <c r="A17" s="11">
        <v>42623</v>
      </c>
      <c r="B17" s="59"/>
      <c r="C17" s="60">
        <v>99.571064488093072</v>
      </c>
      <c r="D17" s="60">
        <v>1254.8581548055045</v>
      </c>
      <c r="E17" s="60">
        <v>27.913497080405484</v>
      </c>
      <c r="F17" s="60">
        <v>0</v>
      </c>
      <c r="G17" s="60">
        <v>4121.0344807942738</v>
      </c>
      <c r="H17" s="61">
        <v>40.460115955273345</v>
      </c>
      <c r="I17" s="59">
        <v>376.71552823384559</v>
      </c>
      <c r="J17" s="60">
        <v>524.83252410888713</v>
      </c>
      <c r="K17" s="60">
        <v>28.725600887338373</v>
      </c>
      <c r="L17" s="50">
        <v>0</v>
      </c>
      <c r="M17" s="5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390.80387805662474</v>
      </c>
      <c r="V17" s="62">
        <v>195.42949147394631</v>
      </c>
      <c r="W17" s="62">
        <v>46.036735390765756</v>
      </c>
      <c r="X17" s="62">
        <v>23.021613376196811</v>
      </c>
      <c r="Y17" s="66">
        <v>457.94173903206905</v>
      </c>
      <c r="Z17" s="66">
        <v>229.00315531353209</v>
      </c>
      <c r="AA17" s="67">
        <v>0</v>
      </c>
      <c r="AB17" s="68">
        <v>66.364917204115017</v>
      </c>
      <c r="AC17" s="69">
        <v>0</v>
      </c>
      <c r="AD17" s="69">
        <v>24.345732564396336</v>
      </c>
      <c r="AE17" s="68">
        <v>16.000773960158821</v>
      </c>
      <c r="AF17" s="68">
        <v>8.0015150662612342</v>
      </c>
      <c r="AG17" s="68">
        <v>0.66663533392778829</v>
      </c>
      <c r="AH17" s="69">
        <v>226.97228918075561</v>
      </c>
      <c r="AI17" s="69">
        <v>1012.7356508255006</v>
      </c>
      <c r="AJ17" s="69">
        <v>3163.0641906738279</v>
      </c>
      <c r="AK17" s="69">
        <v>448.60508050918583</v>
      </c>
      <c r="AL17" s="69">
        <v>4917.721303812662</v>
      </c>
      <c r="AM17" s="69">
        <v>2683.3454650878907</v>
      </c>
      <c r="AN17" s="69">
        <v>555.79751343727116</v>
      </c>
      <c r="AO17" s="69">
        <v>3143.7303145090741</v>
      </c>
      <c r="AP17" s="69">
        <v>359.37549670537311</v>
      </c>
      <c r="AQ17" s="69">
        <v>766.85020739237473</v>
      </c>
    </row>
    <row r="18" spans="1:43" x14ac:dyDescent="0.25">
      <c r="A18" s="11">
        <v>42624</v>
      </c>
      <c r="B18" s="59"/>
      <c r="C18" s="60">
        <v>98.915756281218194</v>
      </c>
      <c r="D18" s="60">
        <v>1240.8189517339069</v>
      </c>
      <c r="E18" s="60">
        <v>27.861378091076972</v>
      </c>
      <c r="F18" s="60">
        <v>0</v>
      </c>
      <c r="G18" s="60">
        <v>4097.5108543395963</v>
      </c>
      <c r="H18" s="61">
        <v>40.055464408795025</v>
      </c>
      <c r="I18" s="59">
        <v>384.57671879132619</v>
      </c>
      <c r="J18" s="60">
        <v>524.76343660354678</v>
      </c>
      <c r="K18" s="60">
        <v>28.923354118069053</v>
      </c>
      <c r="L18" s="50">
        <v>0</v>
      </c>
      <c r="M18" s="5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390.79226903304095</v>
      </c>
      <c r="V18" s="62">
        <v>195.43024793812376</v>
      </c>
      <c r="W18" s="62">
        <v>43.705830320842971</v>
      </c>
      <c r="X18" s="62">
        <v>21.856730372579968</v>
      </c>
      <c r="Y18" s="66">
        <v>460.21712856083172</v>
      </c>
      <c r="Z18" s="66">
        <v>230.1487380048718</v>
      </c>
      <c r="AA18" s="67">
        <v>0</v>
      </c>
      <c r="AB18" s="68">
        <v>66.497587834464525</v>
      </c>
      <c r="AC18" s="69">
        <v>0</v>
      </c>
      <c r="AD18" s="69">
        <v>24.345362250010169</v>
      </c>
      <c r="AE18" s="68">
        <v>15.999182376655654</v>
      </c>
      <c r="AF18" s="68">
        <v>8.0009878046300695</v>
      </c>
      <c r="AG18" s="68">
        <v>0.66662787204447038</v>
      </c>
      <c r="AH18" s="69">
        <v>206.30821024576824</v>
      </c>
      <c r="AI18" s="69">
        <v>999.94715677897125</v>
      </c>
      <c r="AJ18" s="69">
        <v>3337.563158925374</v>
      </c>
      <c r="AK18" s="69">
        <v>455.63901039759315</v>
      </c>
      <c r="AL18" s="69">
        <v>4544.923894246419</v>
      </c>
      <c r="AM18" s="69">
        <v>2708.8192024230952</v>
      </c>
      <c r="AN18" s="69">
        <v>627.06755550702417</v>
      </c>
      <c r="AO18" s="69">
        <v>3044.223823038737</v>
      </c>
      <c r="AP18" s="69">
        <v>370.48581058184311</v>
      </c>
      <c r="AQ18" s="69">
        <v>922.18687330881767</v>
      </c>
    </row>
    <row r="19" spans="1:43" x14ac:dyDescent="0.25">
      <c r="A19" s="11">
        <v>42625</v>
      </c>
      <c r="B19" s="59"/>
      <c r="C19" s="60">
        <v>98.843127290407608</v>
      </c>
      <c r="D19" s="60">
        <v>1245.1161987940468</v>
      </c>
      <c r="E19" s="60">
        <v>27.733249467611348</v>
      </c>
      <c r="F19" s="60">
        <v>0</v>
      </c>
      <c r="G19" s="60">
        <v>4097.2948618571027</v>
      </c>
      <c r="H19" s="61">
        <v>40.244859262307472</v>
      </c>
      <c r="I19" s="59">
        <v>380.84225759506194</v>
      </c>
      <c r="J19" s="60">
        <v>524.35785640080758</v>
      </c>
      <c r="K19" s="60">
        <v>28.638486796617549</v>
      </c>
      <c r="L19" s="50">
        <v>0</v>
      </c>
      <c r="M19" s="5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388.82200717853442</v>
      </c>
      <c r="V19" s="62">
        <v>194.40279555923101</v>
      </c>
      <c r="W19" s="62">
        <v>42.199573231785592</v>
      </c>
      <c r="X19" s="62">
        <v>21.098895783177035</v>
      </c>
      <c r="Y19" s="66">
        <v>458.65629543016962</v>
      </c>
      <c r="Z19" s="66">
        <v>229.31846548367898</v>
      </c>
      <c r="AA19" s="67">
        <v>0</v>
      </c>
      <c r="AB19" s="68">
        <v>66.694604667028315</v>
      </c>
      <c r="AC19" s="69">
        <v>0</v>
      </c>
      <c r="AD19" s="69">
        <v>24.223543267779913</v>
      </c>
      <c r="AE19" s="68">
        <v>15.917981093452786</v>
      </c>
      <c r="AF19" s="68">
        <v>7.9586545182493031</v>
      </c>
      <c r="AG19" s="68">
        <v>0.66667604901803179</v>
      </c>
      <c r="AH19" s="69">
        <v>205.8428214550018</v>
      </c>
      <c r="AI19" s="69">
        <v>1000.3424840927123</v>
      </c>
      <c r="AJ19" s="69">
        <v>3273.6981961568199</v>
      </c>
      <c r="AK19" s="69">
        <v>449.45964198112478</v>
      </c>
      <c r="AL19" s="69">
        <v>4833.4610160827624</v>
      </c>
      <c r="AM19" s="69">
        <v>2699.0140276590982</v>
      </c>
      <c r="AN19" s="69">
        <v>588.61605474154157</v>
      </c>
      <c r="AO19" s="69">
        <v>3122.5372512817385</v>
      </c>
      <c r="AP19" s="69">
        <v>407.6820572694142</v>
      </c>
      <c r="AQ19" s="69">
        <v>875.65447654724119</v>
      </c>
    </row>
    <row r="20" spans="1:43" x14ac:dyDescent="0.25">
      <c r="A20" s="11">
        <v>42626</v>
      </c>
      <c r="B20" s="59"/>
      <c r="C20" s="60">
        <v>98.985202113787594</v>
      </c>
      <c r="D20" s="60">
        <v>1238.5454559961943</v>
      </c>
      <c r="E20" s="60">
        <v>27.56870949318013</v>
      </c>
      <c r="F20" s="60">
        <v>0</v>
      </c>
      <c r="G20" s="60">
        <v>4098.5045857747391</v>
      </c>
      <c r="H20" s="61">
        <v>39.994395347436253</v>
      </c>
      <c r="I20" s="59">
        <v>350.96151099205048</v>
      </c>
      <c r="J20" s="60">
        <v>483.82518711090131</v>
      </c>
      <c r="K20" s="60">
        <v>26.486522233486191</v>
      </c>
      <c r="L20" s="50">
        <v>0</v>
      </c>
      <c r="M20" s="5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350.66769920114331</v>
      </c>
      <c r="V20" s="62">
        <v>192.64344590315918</v>
      </c>
      <c r="W20" s="62">
        <v>35.758394582075972</v>
      </c>
      <c r="X20" s="62">
        <v>19.644296774265069</v>
      </c>
      <c r="Y20" s="66">
        <v>413.47479969964468</v>
      </c>
      <c r="Z20" s="66">
        <v>227.14726902339791</v>
      </c>
      <c r="AA20" s="67">
        <v>0</v>
      </c>
      <c r="AB20" s="68">
        <v>66.695525741577868</v>
      </c>
      <c r="AC20" s="69">
        <v>0</v>
      </c>
      <c r="AD20" s="69">
        <v>22.548494331704262</v>
      </c>
      <c r="AE20" s="68">
        <v>14.362084388625748</v>
      </c>
      <c r="AF20" s="68">
        <v>7.8899808373562648</v>
      </c>
      <c r="AG20" s="68">
        <v>0.64542703082931174</v>
      </c>
      <c r="AH20" s="69">
        <v>223.14321283499405</v>
      </c>
      <c r="AI20" s="69">
        <v>963.88243840535472</v>
      </c>
      <c r="AJ20" s="69">
        <v>3164.7395371754969</v>
      </c>
      <c r="AK20" s="69">
        <v>443.41205681165053</v>
      </c>
      <c r="AL20" s="69">
        <v>4988.756840260824</v>
      </c>
      <c r="AM20" s="69">
        <v>2745.0623975117996</v>
      </c>
      <c r="AN20" s="69">
        <v>539.91241842905686</v>
      </c>
      <c r="AO20" s="69">
        <v>3246.8955474853515</v>
      </c>
      <c r="AP20" s="69">
        <v>395.8666344801585</v>
      </c>
      <c r="AQ20" s="69">
        <v>709.53946348826094</v>
      </c>
    </row>
    <row r="21" spans="1:43" x14ac:dyDescent="0.25">
      <c r="A21" s="11">
        <v>42627</v>
      </c>
      <c r="B21" s="59"/>
      <c r="C21" s="60">
        <v>98.794613019625871</v>
      </c>
      <c r="D21" s="60">
        <v>1234.4070226669319</v>
      </c>
      <c r="E21" s="60">
        <v>27.353575490415146</v>
      </c>
      <c r="F21" s="60">
        <v>0</v>
      </c>
      <c r="G21" s="60">
        <v>4094.6544916788803</v>
      </c>
      <c r="H21" s="61">
        <v>39.954782913128525</v>
      </c>
      <c r="I21" s="59">
        <v>328.46669001579289</v>
      </c>
      <c r="J21" s="60">
        <v>448.60897820790598</v>
      </c>
      <c r="K21" s="60">
        <v>24.651234756410137</v>
      </c>
      <c r="L21" s="50">
        <v>0</v>
      </c>
      <c r="M21" s="5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321.39156219283507</v>
      </c>
      <c r="V21" s="62">
        <v>182.70438871795039</v>
      </c>
      <c r="W21" s="62">
        <v>33.583661949479769</v>
      </c>
      <c r="X21" s="62">
        <v>19.091610201354509</v>
      </c>
      <c r="Y21" s="66">
        <v>378.07551745082037</v>
      </c>
      <c r="Z21" s="66">
        <v>214.92803306276369</v>
      </c>
      <c r="AA21" s="67">
        <v>0</v>
      </c>
      <c r="AB21" s="68">
        <v>64.373522194227974</v>
      </c>
      <c r="AC21" s="69">
        <v>0</v>
      </c>
      <c r="AD21" s="69">
        <v>20.886845231718492</v>
      </c>
      <c r="AE21" s="68">
        <v>13.172122809833258</v>
      </c>
      <c r="AF21" s="68">
        <v>7.4880766304760451</v>
      </c>
      <c r="AG21" s="68">
        <v>0.63756029305959394</v>
      </c>
      <c r="AH21" s="69">
        <v>204.7155026833216</v>
      </c>
      <c r="AI21" s="69">
        <v>935.8592700958252</v>
      </c>
      <c r="AJ21" s="69">
        <v>3138.2275085449219</v>
      </c>
      <c r="AK21" s="69">
        <v>439.71556111971535</v>
      </c>
      <c r="AL21" s="69">
        <v>5043.2587287902834</v>
      </c>
      <c r="AM21" s="69">
        <v>2783.3011269887293</v>
      </c>
      <c r="AN21" s="69">
        <v>543.62015344301858</v>
      </c>
      <c r="AO21" s="69">
        <v>2962.225480397542</v>
      </c>
      <c r="AP21" s="69">
        <v>352.82360858917235</v>
      </c>
      <c r="AQ21" s="69">
        <v>783.73893575668342</v>
      </c>
    </row>
    <row r="22" spans="1:43" x14ac:dyDescent="0.25">
      <c r="A22" s="11">
        <v>42628</v>
      </c>
      <c r="B22" s="59"/>
      <c r="C22" s="60">
        <v>98.678502166272168</v>
      </c>
      <c r="D22" s="60">
        <v>1230.3237111409508</v>
      </c>
      <c r="E22" s="60">
        <v>27.492751502990718</v>
      </c>
      <c r="F22" s="60">
        <v>0</v>
      </c>
      <c r="G22" s="60">
        <v>4098.9334449768203</v>
      </c>
      <c r="H22" s="61">
        <v>40.051219578584025</v>
      </c>
      <c r="I22" s="59">
        <v>353.30873959859213</v>
      </c>
      <c r="J22" s="60">
        <v>458.11025508244813</v>
      </c>
      <c r="K22" s="60">
        <v>25.162905937433273</v>
      </c>
      <c r="L22" s="50">
        <v>0</v>
      </c>
      <c r="M22" s="5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333.06835299919976</v>
      </c>
      <c r="V22" s="62">
        <v>185.18862806633888</v>
      </c>
      <c r="W22" s="62">
        <v>40.689938369488729</v>
      </c>
      <c r="X22" s="62">
        <v>22.62392627487969</v>
      </c>
      <c r="Y22" s="66">
        <v>385.29155238042341</v>
      </c>
      <c r="Z22" s="66">
        <v>214.22513831883629</v>
      </c>
      <c r="AA22" s="67">
        <v>0</v>
      </c>
      <c r="AB22" s="68">
        <v>61.757485286396381</v>
      </c>
      <c r="AC22" s="69">
        <v>0</v>
      </c>
      <c r="AD22" s="69">
        <v>21.119832473993331</v>
      </c>
      <c r="AE22" s="68">
        <v>13.441561672557217</v>
      </c>
      <c r="AF22" s="68">
        <v>7.4736141779760592</v>
      </c>
      <c r="AG22" s="68">
        <v>0.64267026816389383</v>
      </c>
      <c r="AH22" s="69">
        <v>244.0898207505544</v>
      </c>
      <c r="AI22" s="69">
        <v>1008.2644243240358</v>
      </c>
      <c r="AJ22" s="69">
        <v>3141.2995970408115</v>
      </c>
      <c r="AK22" s="69">
        <v>441.46715539296468</v>
      </c>
      <c r="AL22" s="69">
        <v>5240.0968531290691</v>
      </c>
      <c r="AM22" s="69">
        <v>2813.552461751302</v>
      </c>
      <c r="AN22" s="69">
        <v>562.07270824114482</v>
      </c>
      <c r="AO22" s="69">
        <v>2984.1750981648761</v>
      </c>
      <c r="AP22" s="69">
        <v>354.35887430508927</v>
      </c>
      <c r="AQ22" s="69">
        <v>786.76623999277763</v>
      </c>
    </row>
    <row r="23" spans="1:43" x14ac:dyDescent="0.25">
      <c r="A23" s="11">
        <v>42629</v>
      </c>
      <c r="B23" s="59"/>
      <c r="C23" s="60">
        <v>98.810805074374599</v>
      </c>
      <c r="D23" s="60">
        <v>1230.92434508006</v>
      </c>
      <c r="E23" s="60">
        <v>28.006366816659778</v>
      </c>
      <c r="F23" s="60">
        <v>0</v>
      </c>
      <c r="G23" s="60">
        <v>4036.3953381856313</v>
      </c>
      <c r="H23" s="61">
        <v>40.237457607189825</v>
      </c>
      <c r="I23" s="59">
        <v>358.83943856557198</v>
      </c>
      <c r="J23" s="60">
        <v>457.65972998936957</v>
      </c>
      <c r="K23" s="60">
        <v>25.152256393432626</v>
      </c>
      <c r="L23" s="50">
        <v>0</v>
      </c>
      <c r="M23" s="5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348.3158170111659</v>
      </c>
      <c r="V23" s="62">
        <v>201.7359524997444</v>
      </c>
      <c r="W23" s="62">
        <v>42.720108697878665</v>
      </c>
      <c r="X23" s="62">
        <v>24.742436025473101</v>
      </c>
      <c r="Y23" s="66">
        <v>393.05356022619208</v>
      </c>
      <c r="Z23" s="66">
        <v>227.64695280290596</v>
      </c>
      <c r="AA23" s="67">
        <v>0</v>
      </c>
      <c r="AB23" s="68">
        <v>61.755738817322673</v>
      </c>
      <c r="AC23" s="69">
        <v>0</v>
      </c>
      <c r="AD23" s="69">
        <v>21.787111285660028</v>
      </c>
      <c r="AE23" s="68">
        <v>13.647873038675165</v>
      </c>
      <c r="AF23" s="68">
        <v>7.9045123206806718</v>
      </c>
      <c r="AG23" s="68">
        <v>0.63324188070675236</v>
      </c>
      <c r="AH23" s="69">
        <v>235.90977625846867</v>
      </c>
      <c r="AI23" s="69">
        <v>1010.2625789642335</v>
      </c>
      <c r="AJ23" s="69">
        <v>3139.7550880432118</v>
      </c>
      <c r="AK23" s="69">
        <v>438.46946652730315</v>
      </c>
      <c r="AL23" s="69">
        <v>5461.1428754170738</v>
      </c>
      <c r="AM23" s="69">
        <v>2796.2915564219156</v>
      </c>
      <c r="AN23" s="69">
        <v>534.70524617830915</v>
      </c>
      <c r="AO23" s="69">
        <v>3052.5864117940264</v>
      </c>
      <c r="AP23" s="69">
        <v>350.97907834053035</v>
      </c>
      <c r="AQ23" s="69">
        <v>739.02396192550646</v>
      </c>
    </row>
    <row r="24" spans="1:43" x14ac:dyDescent="0.25">
      <c r="A24" s="11">
        <v>42630</v>
      </c>
      <c r="B24" s="59"/>
      <c r="C24" s="60">
        <v>98.215075437227753</v>
      </c>
      <c r="D24" s="60">
        <v>1226.8837337493896</v>
      </c>
      <c r="E24" s="60">
        <v>28.093643201390858</v>
      </c>
      <c r="F24" s="60">
        <v>0</v>
      </c>
      <c r="G24" s="60">
        <v>4030.4343681335472</v>
      </c>
      <c r="H24" s="61">
        <v>40.125219051043189</v>
      </c>
      <c r="I24" s="59">
        <v>365.52810815175343</v>
      </c>
      <c r="J24" s="60">
        <v>456.52919785181672</v>
      </c>
      <c r="K24" s="60">
        <v>25.127434573570874</v>
      </c>
      <c r="L24" s="50">
        <v>0</v>
      </c>
      <c r="M24" s="5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360.46679193754409</v>
      </c>
      <c r="V24" s="62">
        <v>206.00366102808803</v>
      </c>
      <c r="W24" s="62">
        <v>46.345682549486234</v>
      </c>
      <c r="X24" s="62">
        <v>26.486157647759004</v>
      </c>
      <c r="Y24" s="66">
        <v>403.86773928223778</v>
      </c>
      <c r="Z24" s="66">
        <v>230.80692791721464</v>
      </c>
      <c r="AA24" s="67">
        <v>0</v>
      </c>
      <c r="AB24" s="68">
        <v>61.75763014157792</v>
      </c>
      <c r="AC24" s="69">
        <v>0</v>
      </c>
      <c r="AD24" s="69">
        <v>22.248987241586054</v>
      </c>
      <c r="AE24" s="68">
        <v>13.999011903480049</v>
      </c>
      <c r="AF24" s="68">
        <v>8.0003145016263808</v>
      </c>
      <c r="AG24" s="68">
        <v>0.63633820625665305</v>
      </c>
      <c r="AH24" s="69">
        <v>228.74702097574868</v>
      </c>
      <c r="AI24" s="69">
        <v>1002.9964425404868</v>
      </c>
      <c r="AJ24" s="69">
        <v>3108.9359134674069</v>
      </c>
      <c r="AK24" s="69">
        <v>442.91615446408588</v>
      </c>
      <c r="AL24" s="69">
        <v>5585.4329734802241</v>
      </c>
      <c r="AM24" s="69">
        <v>2755.0559914906817</v>
      </c>
      <c r="AN24" s="69">
        <v>555.69084820747366</v>
      </c>
      <c r="AO24" s="69">
        <v>3018.4906272888184</v>
      </c>
      <c r="AP24" s="69">
        <v>350.28547399838772</v>
      </c>
      <c r="AQ24" s="69">
        <v>729.73547852834065</v>
      </c>
    </row>
    <row r="25" spans="1:43" s="386" customFormat="1" ht="15" customHeight="1" x14ac:dyDescent="0.25">
      <c r="A25" s="11">
        <v>42631</v>
      </c>
      <c r="B25" s="380"/>
      <c r="C25" s="381">
        <v>98.864139429727985</v>
      </c>
      <c r="D25" s="381">
        <v>1226.7148917516079</v>
      </c>
      <c r="E25" s="381">
        <v>28.10115730861822</v>
      </c>
      <c r="F25" s="381">
        <v>0</v>
      </c>
      <c r="G25" s="381">
        <v>4030.0563639322972</v>
      </c>
      <c r="H25" s="382">
        <v>40.212862934668912</v>
      </c>
      <c r="I25" s="380">
        <v>381.42856078147861</v>
      </c>
      <c r="J25" s="381">
        <v>457.98637603123944</v>
      </c>
      <c r="K25" s="381">
        <v>25.147139357030397</v>
      </c>
      <c r="L25" s="383">
        <v>0</v>
      </c>
      <c r="M25" s="50">
        <v>0</v>
      </c>
      <c r="N25" s="382">
        <v>0</v>
      </c>
      <c r="O25" s="380">
        <v>0</v>
      </c>
      <c r="P25" s="381">
        <v>0</v>
      </c>
      <c r="Q25" s="381">
        <v>0</v>
      </c>
      <c r="R25" s="381">
        <v>0</v>
      </c>
      <c r="S25" s="381">
        <v>0</v>
      </c>
      <c r="T25" s="382">
        <v>0</v>
      </c>
      <c r="U25" s="380">
        <v>360.70458894572107</v>
      </c>
      <c r="V25" s="381">
        <v>206.14009027214718</v>
      </c>
      <c r="W25" s="381">
        <v>46.635367370243209</v>
      </c>
      <c r="X25" s="381">
        <v>26.651778586114169</v>
      </c>
      <c r="Y25" s="381">
        <v>403.66739494767472</v>
      </c>
      <c r="Z25" s="381">
        <v>230.69302632841726</v>
      </c>
      <c r="AA25" s="382">
        <v>0</v>
      </c>
      <c r="AB25" s="384">
        <v>61.754824746981086</v>
      </c>
      <c r="AC25" s="385">
        <v>0</v>
      </c>
      <c r="AD25" s="385">
        <v>22.245794145266235</v>
      </c>
      <c r="AE25" s="385">
        <v>14.00043962526048</v>
      </c>
      <c r="AF25" s="385">
        <v>8.0011510156729297</v>
      </c>
      <c r="AG25" s="385">
        <v>0.63633761093677532</v>
      </c>
      <c r="AH25" s="385">
        <v>219.86426321665448</v>
      </c>
      <c r="AI25" s="385">
        <v>992.99018014272053</v>
      </c>
      <c r="AJ25" s="385">
        <v>3190.9664690653476</v>
      </c>
      <c r="AK25" s="385">
        <v>450.77371184031165</v>
      </c>
      <c r="AL25" s="385">
        <v>5317.6548240661614</v>
      </c>
      <c r="AM25" s="385">
        <v>2750.6100460052489</v>
      </c>
      <c r="AN25" s="385">
        <v>603.20766531626373</v>
      </c>
      <c r="AO25" s="385">
        <v>3031.6859909057616</v>
      </c>
      <c r="AP25" s="385">
        <v>360.1856167952219</v>
      </c>
      <c r="AQ25" s="385">
        <v>807.78281927108765</v>
      </c>
    </row>
    <row r="26" spans="1:43" x14ac:dyDescent="0.25">
      <c r="A26" s="11">
        <v>42632</v>
      </c>
      <c r="B26" s="59"/>
      <c r="C26" s="60">
        <v>98.558212939898766</v>
      </c>
      <c r="D26" s="60">
        <v>1226.9018625259398</v>
      </c>
      <c r="E26" s="60">
        <v>28.107264267901552</v>
      </c>
      <c r="F26" s="60">
        <v>0</v>
      </c>
      <c r="G26" s="60">
        <v>4032.0400385538769</v>
      </c>
      <c r="H26" s="61">
        <v>40.005828303098731</v>
      </c>
      <c r="I26" s="59">
        <v>391.48746178944913</v>
      </c>
      <c r="J26" s="60">
        <v>458.56621497472099</v>
      </c>
      <c r="K26" s="60">
        <v>25.005860506494848</v>
      </c>
      <c r="L26" s="50">
        <v>0</v>
      </c>
      <c r="M26" s="5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360.87279482011564</v>
      </c>
      <c r="V26" s="62">
        <v>206.21301242916428</v>
      </c>
      <c r="W26" s="62">
        <v>46.538575232660484</v>
      </c>
      <c r="X26" s="62">
        <v>26.593469861511625</v>
      </c>
      <c r="Y26" s="62">
        <v>403.92502244331405</v>
      </c>
      <c r="Z26" s="62">
        <v>230.81428378405045</v>
      </c>
      <c r="AA26" s="72">
        <v>0</v>
      </c>
      <c r="AB26" s="69">
        <v>61.897666870222693</v>
      </c>
      <c r="AC26" s="69">
        <v>0</v>
      </c>
      <c r="AD26" s="69">
        <v>22.248045464356725</v>
      </c>
      <c r="AE26" s="69">
        <v>13.998916933027107</v>
      </c>
      <c r="AF26" s="69">
        <v>7.9993805932201694</v>
      </c>
      <c r="AG26" s="69">
        <v>0.63636365115638127</v>
      </c>
      <c r="AH26" s="69">
        <v>202.38742561340331</v>
      </c>
      <c r="AI26" s="69">
        <v>986.65007508595784</v>
      </c>
      <c r="AJ26" s="69">
        <v>3378.2410929361972</v>
      </c>
      <c r="AK26" s="69">
        <v>453.94564588864642</v>
      </c>
      <c r="AL26" s="69">
        <v>5308.1941727956146</v>
      </c>
      <c r="AM26" s="69">
        <v>2760.1747052510582</v>
      </c>
      <c r="AN26" s="69">
        <v>626.27744679450996</v>
      </c>
      <c r="AO26" s="69">
        <v>2868.7587079366049</v>
      </c>
      <c r="AP26" s="69">
        <v>369.91316779454547</v>
      </c>
      <c r="AQ26" s="69">
        <v>918.84069029490183</v>
      </c>
    </row>
    <row r="27" spans="1:43" x14ac:dyDescent="0.25">
      <c r="A27" s="11">
        <v>42633</v>
      </c>
      <c r="B27" s="59"/>
      <c r="C27" s="60">
        <v>98.411725640298116</v>
      </c>
      <c r="D27" s="60">
        <v>1226.5348062515259</v>
      </c>
      <c r="E27" s="60">
        <v>28.036132491628326</v>
      </c>
      <c r="F27" s="60">
        <v>0</v>
      </c>
      <c r="G27" s="60">
        <v>4120.1370170593236</v>
      </c>
      <c r="H27" s="61">
        <v>40.015834478537222</v>
      </c>
      <c r="I27" s="59">
        <v>399.08664142290718</v>
      </c>
      <c r="J27" s="60">
        <v>457.35071697235071</v>
      </c>
      <c r="K27" s="60">
        <v>24.013883611063175</v>
      </c>
      <c r="L27" s="50">
        <v>0</v>
      </c>
      <c r="M27" s="5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360.58460561296744</v>
      </c>
      <c r="V27" s="62">
        <v>206.00907938882875</v>
      </c>
      <c r="W27" s="62">
        <v>46.376842317719095</v>
      </c>
      <c r="X27" s="62">
        <v>26.496002441904029</v>
      </c>
      <c r="Y27" s="66">
        <v>396.34603928123209</v>
      </c>
      <c r="Z27" s="66">
        <v>226.4402900199654</v>
      </c>
      <c r="AA27" s="67">
        <v>0</v>
      </c>
      <c r="AB27" s="68">
        <v>62.087078955437192</v>
      </c>
      <c r="AC27" s="69">
        <v>0</v>
      </c>
      <c r="AD27" s="69">
        <v>22.231594047281504</v>
      </c>
      <c r="AE27" s="68">
        <v>13.988718550536493</v>
      </c>
      <c r="AF27" s="68">
        <v>7.9920301243215848</v>
      </c>
      <c r="AG27" s="68">
        <v>0.63640773831043373</v>
      </c>
      <c r="AH27" s="69">
        <v>198.48061618804931</v>
      </c>
      <c r="AI27" s="69">
        <v>979.98097324371338</v>
      </c>
      <c r="AJ27" s="69">
        <v>3383.4537329355881</v>
      </c>
      <c r="AK27" s="69">
        <v>465.78853616714474</v>
      </c>
      <c r="AL27" s="69">
        <v>5428.5458429972323</v>
      </c>
      <c r="AM27" s="69">
        <v>2796.0845657348632</v>
      </c>
      <c r="AN27" s="69">
        <v>629.9543756167094</v>
      </c>
      <c r="AO27" s="69">
        <v>2974.993281936645</v>
      </c>
      <c r="AP27" s="69">
        <v>403.28091041247052</v>
      </c>
      <c r="AQ27" s="69">
        <v>938.95384041468321</v>
      </c>
    </row>
    <row r="28" spans="1:43" x14ac:dyDescent="0.25">
      <c r="A28" s="11">
        <v>42634</v>
      </c>
      <c r="B28" s="59"/>
      <c r="C28" s="60">
        <v>99.097855647405126</v>
      </c>
      <c r="D28" s="60">
        <v>1215.923321024577</v>
      </c>
      <c r="E28" s="60">
        <v>27.870559904972737</v>
      </c>
      <c r="F28" s="60">
        <v>0</v>
      </c>
      <c r="G28" s="60">
        <v>4121.8444953918424</v>
      </c>
      <c r="H28" s="61">
        <v>40.16069355209671</v>
      </c>
      <c r="I28" s="59">
        <v>411.86021134058615</v>
      </c>
      <c r="J28" s="60">
        <v>456.78782698313353</v>
      </c>
      <c r="K28" s="60">
        <v>25.130939340591382</v>
      </c>
      <c r="L28" s="50">
        <v>0</v>
      </c>
      <c r="M28" s="5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336.17699773804128</v>
      </c>
      <c r="V28" s="62">
        <v>192.09241688818898</v>
      </c>
      <c r="W28" s="62">
        <v>43.991784979261539</v>
      </c>
      <c r="X28" s="62">
        <v>25.137021142882414</v>
      </c>
      <c r="Y28" s="66">
        <v>372.73305497729672</v>
      </c>
      <c r="Z28" s="66">
        <v>212.98064372774033</v>
      </c>
      <c r="AA28" s="67">
        <v>0</v>
      </c>
      <c r="AB28" s="68">
        <v>62.088892285028123</v>
      </c>
      <c r="AC28" s="69">
        <v>0</v>
      </c>
      <c r="AD28" s="69">
        <v>20.881240702999989</v>
      </c>
      <c r="AE28" s="68">
        <v>13.122703204978379</v>
      </c>
      <c r="AF28" s="68">
        <v>7.4983469770734841</v>
      </c>
      <c r="AG28" s="68">
        <v>0.6363741462789374</v>
      </c>
      <c r="AH28" s="69">
        <v>203.93144989013672</v>
      </c>
      <c r="AI28" s="69">
        <v>989.80734895070384</v>
      </c>
      <c r="AJ28" s="69">
        <v>3184.8034446716301</v>
      </c>
      <c r="AK28" s="69">
        <v>468.20381565093999</v>
      </c>
      <c r="AL28" s="69">
        <v>5484.447916666667</v>
      </c>
      <c r="AM28" s="69">
        <v>2869.0536848704019</v>
      </c>
      <c r="AN28" s="69">
        <v>608.2217601299285</v>
      </c>
      <c r="AO28" s="69">
        <v>2787.4925688425701</v>
      </c>
      <c r="AP28" s="69">
        <v>421.70886437098187</v>
      </c>
      <c r="AQ28" s="69">
        <v>941.95677076975505</v>
      </c>
    </row>
    <row r="29" spans="1:43" x14ac:dyDescent="0.25">
      <c r="A29" s="11">
        <v>42635</v>
      </c>
      <c r="B29" s="59"/>
      <c r="C29" s="60">
        <v>98.906766780218504</v>
      </c>
      <c r="D29" s="60">
        <v>1211.6097472508748</v>
      </c>
      <c r="E29" s="60">
        <v>27.742523943384452</v>
      </c>
      <c r="F29" s="60">
        <v>0</v>
      </c>
      <c r="G29" s="60">
        <v>4120.7167180379256</v>
      </c>
      <c r="H29" s="61">
        <v>40.09083259503047</v>
      </c>
      <c r="I29" s="59">
        <v>429.30417807897044</v>
      </c>
      <c r="J29" s="60">
        <v>468.99281380971246</v>
      </c>
      <c r="K29" s="60">
        <v>25.839240224162744</v>
      </c>
      <c r="L29" s="50">
        <v>0</v>
      </c>
      <c r="M29" s="5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333.12566686214114</v>
      </c>
      <c r="V29" s="62">
        <v>177.89483592767829</v>
      </c>
      <c r="W29" s="62">
        <v>43.389422727000202</v>
      </c>
      <c r="X29" s="62">
        <v>23.170698042341666</v>
      </c>
      <c r="Y29" s="66">
        <v>371.9495496324032</v>
      </c>
      <c r="Z29" s="66">
        <v>198.6274571049872</v>
      </c>
      <c r="AA29" s="67">
        <v>0</v>
      </c>
      <c r="AB29" s="68">
        <v>62.089572236271707</v>
      </c>
      <c r="AC29" s="69">
        <v>0</v>
      </c>
      <c r="AD29" s="69">
        <v>20.321882402896865</v>
      </c>
      <c r="AE29" s="68">
        <v>13.021806199600348</v>
      </c>
      <c r="AF29" s="68">
        <v>6.9538684880699417</v>
      </c>
      <c r="AG29" s="68">
        <v>0.65188317306938726</v>
      </c>
      <c r="AH29" s="69">
        <v>216.80077873865761</v>
      </c>
      <c r="AI29" s="69">
        <v>998.04187698364262</v>
      </c>
      <c r="AJ29" s="69">
        <v>3032.8905244191483</v>
      </c>
      <c r="AK29" s="69">
        <v>459.71736461321507</v>
      </c>
      <c r="AL29" s="69">
        <v>5363.2329751968373</v>
      </c>
      <c r="AM29" s="69">
        <v>2884.0827281951911</v>
      </c>
      <c r="AN29" s="69">
        <v>585.25690283775339</v>
      </c>
      <c r="AO29" s="69">
        <v>3039.7692016601563</v>
      </c>
      <c r="AP29" s="69">
        <v>419.51346023877454</v>
      </c>
      <c r="AQ29" s="69">
        <v>836.34147777557371</v>
      </c>
    </row>
    <row r="30" spans="1:43" x14ac:dyDescent="0.25">
      <c r="A30" s="11">
        <v>42636</v>
      </c>
      <c r="B30" s="59"/>
      <c r="C30" s="60">
        <v>98.817551541328925</v>
      </c>
      <c r="D30" s="60">
        <v>1211.7489309310918</v>
      </c>
      <c r="E30" s="60">
        <v>28.208596812188581</v>
      </c>
      <c r="F30" s="60">
        <v>0</v>
      </c>
      <c r="G30" s="60">
        <v>4122.5601203918459</v>
      </c>
      <c r="H30" s="61">
        <v>40.195723170042115</v>
      </c>
      <c r="I30" s="59">
        <v>377.92336428960124</v>
      </c>
      <c r="J30" s="60">
        <v>395.99524393081634</v>
      </c>
      <c r="K30" s="60">
        <v>21.886607185999544</v>
      </c>
      <c r="L30" s="50">
        <v>0</v>
      </c>
      <c r="M30" s="5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377.77829264627269</v>
      </c>
      <c r="V30" s="62">
        <v>250.84835506982475</v>
      </c>
      <c r="W30" s="62">
        <v>40.025729187844689</v>
      </c>
      <c r="X30" s="62">
        <v>26.577462291202337</v>
      </c>
      <c r="Y30" s="66">
        <v>340.73481847930907</v>
      </c>
      <c r="Z30" s="66">
        <v>226.25113828491257</v>
      </c>
      <c r="AA30" s="67">
        <v>0</v>
      </c>
      <c r="AB30" s="68">
        <v>57.183489449818744</v>
      </c>
      <c r="AC30" s="69">
        <v>0</v>
      </c>
      <c r="AD30" s="69">
        <v>20.26618874404166</v>
      </c>
      <c r="AE30" s="68">
        <v>11.978497010507974</v>
      </c>
      <c r="AF30" s="68">
        <v>7.9538351720706917</v>
      </c>
      <c r="AG30" s="68">
        <v>0.60095812676539007</v>
      </c>
      <c r="AH30" s="69">
        <v>214.17677822113038</v>
      </c>
      <c r="AI30" s="69">
        <v>990.81216901143375</v>
      </c>
      <c r="AJ30" s="69">
        <v>3034.8912401835123</v>
      </c>
      <c r="AK30" s="69">
        <v>445.6732513745626</v>
      </c>
      <c r="AL30" s="69">
        <v>5532.3957435607917</v>
      </c>
      <c r="AM30" s="69">
        <v>2818.5297031402583</v>
      </c>
      <c r="AN30" s="69">
        <v>578.11370881398523</v>
      </c>
      <c r="AO30" s="69">
        <v>2850.2863740285234</v>
      </c>
      <c r="AP30" s="69">
        <v>417.872139453888</v>
      </c>
      <c r="AQ30" s="69">
        <v>827.54126787185669</v>
      </c>
    </row>
    <row r="31" spans="1:43" x14ac:dyDescent="0.25">
      <c r="A31" s="11">
        <v>42637</v>
      </c>
      <c r="B31" s="59"/>
      <c r="C31" s="60">
        <v>98.443675899505934</v>
      </c>
      <c r="D31" s="60">
        <v>1210.9909997304298</v>
      </c>
      <c r="E31" s="60">
        <v>27.962083182732343</v>
      </c>
      <c r="F31" s="60">
        <v>0</v>
      </c>
      <c r="G31" s="60">
        <v>4097.5748046875206</v>
      </c>
      <c r="H31" s="61">
        <v>40.241381470362413</v>
      </c>
      <c r="I31" s="59">
        <v>388.6508409341173</v>
      </c>
      <c r="J31" s="60">
        <v>398.01479660669986</v>
      </c>
      <c r="K31" s="60">
        <v>21.854125010470547</v>
      </c>
      <c r="L31" s="50">
        <v>0</v>
      </c>
      <c r="M31" s="5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309.18809023050557</v>
      </c>
      <c r="V31" s="62">
        <v>206.06049614864611</v>
      </c>
      <c r="W31" s="62">
        <v>40.459699235944207</v>
      </c>
      <c r="X31" s="62">
        <v>26.964640495590114</v>
      </c>
      <c r="Y31" s="66">
        <v>340.92735636514857</v>
      </c>
      <c r="Z31" s="66">
        <v>227.21334496058645</v>
      </c>
      <c r="AA31" s="67">
        <v>0</v>
      </c>
      <c r="AB31" s="68">
        <v>56.725105730692718</v>
      </c>
      <c r="AC31" s="69">
        <v>0</v>
      </c>
      <c r="AD31" s="69">
        <v>20.336101386282149</v>
      </c>
      <c r="AE31" s="68">
        <v>12.002072823451371</v>
      </c>
      <c r="AF31" s="68">
        <v>7.9988626954187954</v>
      </c>
      <c r="AG31" s="68">
        <v>0.60007557207150863</v>
      </c>
      <c r="AH31" s="69">
        <v>229.97652901808422</v>
      </c>
      <c r="AI31" s="69">
        <v>1003.5242047627767</v>
      </c>
      <c r="AJ31" s="69">
        <v>3137.9785092671705</v>
      </c>
      <c r="AK31" s="69">
        <v>441.61907650629684</v>
      </c>
      <c r="AL31" s="69">
        <v>5500.9199963887522</v>
      </c>
      <c r="AM31" s="69">
        <v>2725.8542058308917</v>
      </c>
      <c r="AN31" s="69">
        <v>547.74952274958287</v>
      </c>
      <c r="AO31" s="69">
        <v>2885.3902506510412</v>
      </c>
      <c r="AP31" s="69">
        <v>416.75512301127122</v>
      </c>
      <c r="AQ31" s="69">
        <v>682.66109132766712</v>
      </c>
    </row>
    <row r="32" spans="1:43" x14ac:dyDescent="0.25">
      <c r="A32" s="11">
        <v>42638</v>
      </c>
      <c r="B32" s="59"/>
      <c r="C32" s="60">
        <v>98.657313871384346</v>
      </c>
      <c r="D32" s="60">
        <v>1210.6648357391332</v>
      </c>
      <c r="E32" s="60">
        <v>28.135770776371153</v>
      </c>
      <c r="F32" s="60">
        <v>0</v>
      </c>
      <c r="G32" s="60">
        <v>4007.3339831034314</v>
      </c>
      <c r="H32" s="61">
        <v>40.229289738337194</v>
      </c>
      <c r="I32" s="59">
        <v>391.62473963101718</v>
      </c>
      <c r="J32" s="60">
        <v>394.60775305430121</v>
      </c>
      <c r="K32" s="60">
        <v>21.637685447434574</v>
      </c>
      <c r="L32" s="50">
        <v>0</v>
      </c>
      <c r="M32" s="5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308.86916051421542</v>
      </c>
      <c r="V32" s="62">
        <v>205.8915175439856</v>
      </c>
      <c r="W32" s="62">
        <v>40.870047200077877</v>
      </c>
      <c r="X32" s="62">
        <v>27.243885488953083</v>
      </c>
      <c r="Y32" s="66">
        <v>340.80873914687669</v>
      </c>
      <c r="Z32" s="66">
        <v>227.1823719091349</v>
      </c>
      <c r="AA32" s="67">
        <v>0</v>
      </c>
      <c r="AB32" s="68">
        <v>56.724140055974821</v>
      </c>
      <c r="AC32" s="69">
        <v>0</v>
      </c>
      <c r="AD32" s="69">
        <v>20.330509071879927</v>
      </c>
      <c r="AE32" s="68">
        <v>11.999990279962464</v>
      </c>
      <c r="AF32" s="68">
        <v>7.9991676901029969</v>
      </c>
      <c r="AG32" s="68">
        <v>0.60002477593926351</v>
      </c>
      <c r="AH32" s="69">
        <v>219.35553208192189</v>
      </c>
      <c r="AI32" s="69">
        <v>987.40801868438746</v>
      </c>
      <c r="AJ32" s="69">
        <v>3012.5267119089767</v>
      </c>
      <c r="AK32" s="69">
        <v>441.59046924908955</v>
      </c>
      <c r="AL32" s="69">
        <v>5433.2616650899245</v>
      </c>
      <c r="AM32" s="69">
        <v>2704.8858545939124</v>
      </c>
      <c r="AN32" s="69">
        <v>525.45650842984526</v>
      </c>
      <c r="AO32" s="69">
        <v>2881.4010064442946</v>
      </c>
      <c r="AP32" s="69">
        <v>409.04302908579513</v>
      </c>
      <c r="AQ32" s="69">
        <v>630.13154220581055</v>
      </c>
    </row>
    <row r="33" spans="1:43" x14ac:dyDescent="0.25">
      <c r="A33" s="11">
        <v>42639</v>
      </c>
      <c r="B33" s="59"/>
      <c r="C33" s="60">
        <v>92.510579629739553</v>
      </c>
      <c r="D33" s="60">
        <v>1132.4317087173461</v>
      </c>
      <c r="E33" s="60">
        <v>25.837191028396266</v>
      </c>
      <c r="F33" s="60">
        <v>0</v>
      </c>
      <c r="G33" s="60">
        <v>3884.7937950134233</v>
      </c>
      <c r="H33" s="61">
        <v>37.575271787246088</v>
      </c>
      <c r="I33" s="59">
        <v>418.27980593045567</v>
      </c>
      <c r="J33" s="60">
        <v>415.35414865811646</v>
      </c>
      <c r="K33" s="60">
        <v>23.524647814532074</v>
      </c>
      <c r="L33" s="50">
        <v>0</v>
      </c>
      <c r="M33" s="5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317.81413903831589</v>
      </c>
      <c r="V33" s="62">
        <v>191.45245135559466</v>
      </c>
      <c r="W33" s="62">
        <v>41.210556194285267</v>
      </c>
      <c r="X33" s="62">
        <v>24.825396469136301</v>
      </c>
      <c r="Y33" s="66">
        <v>350.77258255724144</v>
      </c>
      <c r="Z33" s="66">
        <v>211.30674362735058</v>
      </c>
      <c r="AA33" s="67">
        <v>0</v>
      </c>
      <c r="AB33" s="68">
        <v>56.560033604833258</v>
      </c>
      <c r="AC33" s="69">
        <v>0</v>
      </c>
      <c r="AD33" s="69">
        <v>20.128403000699084</v>
      </c>
      <c r="AE33" s="68">
        <v>12.343677319216839</v>
      </c>
      <c r="AF33" s="68">
        <v>7.4358783679589742</v>
      </c>
      <c r="AG33" s="68">
        <v>0.62406241648895744</v>
      </c>
      <c r="AH33" s="69">
        <v>237.87463888327278</v>
      </c>
      <c r="AI33" s="69">
        <v>1005.3212210337321</v>
      </c>
      <c r="AJ33" s="69">
        <v>3029.2041522979739</v>
      </c>
      <c r="AK33" s="69">
        <v>445.62287901242576</v>
      </c>
      <c r="AL33" s="69">
        <v>5263.6450347900391</v>
      </c>
      <c r="AM33" s="69">
        <v>2692.2652793884276</v>
      </c>
      <c r="AN33" s="69">
        <v>546.14046451250715</v>
      </c>
      <c r="AO33" s="69">
        <v>2777.1966907501223</v>
      </c>
      <c r="AP33" s="69">
        <v>413.11100180943805</v>
      </c>
      <c r="AQ33" s="69">
        <v>779.78035723368305</v>
      </c>
    </row>
    <row r="34" spans="1:43" x14ac:dyDescent="0.25">
      <c r="A34" s="11">
        <v>42640</v>
      </c>
      <c r="B34" s="59"/>
      <c r="C34" s="60">
        <v>86.508322318395045</v>
      </c>
      <c r="D34" s="60">
        <v>1055.8847845713324</v>
      </c>
      <c r="E34" s="60">
        <v>24.020436453819244</v>
      </c>
      <c r="F34" s="60">
        <v>0</v>
      </c>
      <c r="G34" s="60">
        <v>3327.4427300771017</v>
      </c>
      <c r="H34" s="61">
        <v>34.998001694679289</v>
      </c>
      <c r="I34" s="59">
        <v>478.49948253631555</v>
      </c>
      <c r="J34" s="60">
        <v>543.96901636123687</v>
      </c>
      <c r="K34" s="60">
        <v>27.504501566290884</v>
      </c>
      <c r="L34" s="50">
        <v>0</v>
      </c>
      <c r="M34" s="5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354.06936533629442</v>
      </c>
      <c r="V34" s="62">
        <v>168.96475785130266</v>
      </c>
      <c r="W34" s="62">
        <v>43.610196758724719</v>
      </c>
      <c r="X34" s="62">
        <v>20.811137750330126</v>
      </c>
      <c r="Y34" s="66">
        <v>389.54232358357325</v>
      </c>
      <c r="Z34" s="66">
        <v>185.89273973086475</v>
      </c>
      <c r="AA34" s="67">
        <v>0</v>
      </c>
      <c r="AB34" s="68">
        <v>56.073170354629951</v>
      </c>
      <c r="AC34" s="69">
        <v>0</v>
      </c>
      <c r="AD34" s="69">
        <v>20.694028037786488</v>
      </c>
      <c r="AE34" s="68">
        <v>13.75689697750817</v>
      </c>
      <c r="AF34" s="68">
        <v>6.5649022314659895</v>
      </c>
      <c r="AG34" s="68">
        <v>0.67695270660055973</v>
      </c>
      <c r="AH34" s="69">
        <v>240.99747079213458</v>
      </c>
      <c r="AI34" s="69">
        <v>1005.6631954828899</v>
      </c>
      <c r="AJ34" s="69">
        <v>2987.8296706517544</v>
      </c>
      <c r="AK34" s="69">
        <v>449.32352315584825</v>
      </c>
      <c r="AL34" s="69">
        <v>4955.3693813959762</v>
      </c>
      <c r="AM34" s="69">
        <v>2647.1852506001792</v>
      </c>
      <c r="AN34" s="69">
        <v>556.85910441080728</v>
      </c>
      <c r="AO34" s="69">
        <v>2791.0522844950365</v>
      </c>
      <c r="AP34" s="69">
        <v>414.98141765594482</v>
      </c>
      <c r="AQ34" s="69">
        <v>839.19005994796748</v>
      </c>
    </row>
    <row r="35" spans="1:43" x14ac:dyDescent="0.25">
      <c r="A35" s="11">
        <v>42641</v>
      </c>
      <c r="B35" s="59"/>
      <c r="C35" s="60">
        <v>32.940727367003731</v>
      </c>
      <c r="D35" s="60">
        <v>397.96082258025768</v>
      </c>
      <c r="E35" s="60">
        <v>9.5187873870134396</v>
      </c>
      <c r="F35" s="60">
        <v>0</v>
      </c>
      <c r="G35" s="60">
        <v>1267.6442887624116</v>
      </c>
      <c r="H35" s="61">
        <v>13.608142075935985</v>
      </c>
      <c r="I35" s="59">
        <v>545.49566607475265</v>
      </c>
      <c r="J35" s="60">
        <v>736.40904715855891</v>
      </c>
      <c r="K35" s="60">
        <v>34.683247915407001</v>
      </c>
      <c r="L35" s="50">
        <v>0</v>
      </c>
      <c r="M35" s="5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433.86159449096243</v>
      </c>
      <c r="V35" s="62">
        <v>63.200243955758843</v>
      </c>
      <c r="W35" s="62">
        <v>54.286145488552236</v>
      </c>
      <c r="X35" s="62">
        <v>7.9078159529646639</v>
      </c>
      <c r="Y35" s="66">
        <v>458.138876113131</v>
      </c>
      <c r="Z35" s="66">
        <v>66.736694613263808</v>
      </c>
      <c r="AA35" s="67">
        <v>0</v>
      </c>
      <c r="AB35" s="68">
        <v>46.231529725260948</v>
      </c>
      <c r="AC35" s="69">
        <v>0</v>
      </c>
      <c r="AD35" s="69">
        <v>19.75156943069566</v>
      </c>
      <c r="AE35" s="68">
        <v>16.895457533573754</v>
      </c>
      <c r="AF35" s="68">
        <v>2.4611467145849621</v>
      </c>
      <c r="AG35" s="68">
        <v>0.87285235142320605</v>
      </c>
      <c r="AH35" s="69">
        <v>218.88203581174216</v>
      </c>
      <c r="AI35" s="69">
        <v>968.93411992390963</v>
      </c>
      <c r="AJ35" s="69">
        <v>1844.6239198684696</v>
      </c>
      <c r="AK35" s="69">
        <v>454.53217790921531</v>
      </c>
      <c r="AL35" s="69">
        <v>2737.4156276702888</v>
      </c>
      <c r="AM35" s="69">
        <v>2244.4028133392339</v>
      </c>
      <c r="AN35" s="69">
        <v>556.0930896917979</v>
      </c>
      <c r="AO35" s="69">
        <v>2756.6498355865474</v>
      </c>
      <c r="AP35" s="69">
        <v>369.44006523291267</v>
      </c>
      <c r="AQ35" s="69">
        <v>838.32097167968743</v>
      </c>
    </row>
    <row r="36" spans="1:43" x14ac:dyDescent="0.25">
      <c r="A36" s="11">
        <v>42642</v>
      </c>
      <c r="B36" s="59"/>
      <c r="C36" s="60">
        <v>0</v>
      </c>
      <c r="D36" s="60">
        <v>0</v>
      </c>
      <c r="E36" s="60">
        <v>0.59709149350722657</v>
      </c>
      <c r="F36" s="60">
        <v>0</v>
      </c>
      <c r="G36" s="60">
        <v>0</v>
      </c>
      <c r="H36" s="61">
        <v>0</v>
      </c>
      <c r="I36" s="59">
        <v>593.65242174069022</v>
      </c>
      <c r="J36" s="60">
        <v>879.39677095413174</v>
      </c>
      <c r="K36" s="60">
        <v>40.34885419507826</v>
      </c>
      <c r="L36" s="60">
        <v>0</v>
      </c>
      <c r="M36" s="5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516.82769205305306</v>
      </c>
      <c r="V36" s="62">
        <v>0</v>
      </c>
      <c r="W36" s="62">
        <v>63.688271025816633</v>
      </c>
      <c r="X36" s="62">
        <v>0</v>
      </c>
      <c r="Y36" s="66">
        <v>472.86546077728286</v>
      </c>
      <c r="Z36" s="66">
        <v>0</v>
      </c>
      <c r="AA36" s="67">
        <v>0</v>
      </c>
      <c r="AB36" s="68">
        <v>39.867580368784012</v>
      </c>
      <c r="AC36" s="69">
        <v>0</v>
      </c>
      <c r="AD36" s="69">
        <v>20.513521809048139</v>
      </c>
      <c r="AE36" s="68">
        <v>20.093545674108032</v>
      </c>
      <c r="AF36" s="68">
        <v>0</v>
      </c>
      <c r="AG36" s="68">
        <v>1</v>
      </c>
      <c r="AH36" s="69">
        <v>205.79265867869057</v>
      </c>
      <c r="AI36" s="69">
        <v>942.42002938588462</v>
      </c>
      <c r="AJ36" s="69">
        <v>1183.3811896006266</v>
      </c>
      <c r="AK36" s="69">
        <v>459.33339940706901</v>
      </c>
      <c r="AL36" s="69">
        <v>1341.5246205012004</v>
      </c>
      <c r="AM36" s="69">
        <v>1975.9873076121016</v>
      </c>
      <c r="AN36" s="69">
        <v>554.41722424825036</v>
      </c>
      <c r="AO36" s="69">
        <v>2999.5204240163171</v>
      </c>
      <c r="AP36" s="69">
        <v>403.83168385823569</v>
      </c>
      <c r="AQ36" s="69">
        <v>878.6343585968018</v>
      </c>
    </row>
    <row r="37" spans="1:43" ht="15.75" thickBot="1" x14ac:dyDescent="0.3">
      <c r="A37" s="11">
        <v>42643</v>
      </c>
      <c r="B37" s="73"/>
      <c r="C37" s="74">
        <v>0</v>
      </c>
      <c r="D37" s="74">
        <v>0</v>
      </c>
      <c r="E37" s="74">
        <v>0.59683817376693171</v>
      </c>
      <c r="F37" s="74">
        <v>0</v>
      </c>
      <c r="G37" s="74">
        <v>0</v>
      </c>
      <c r="H37" s="75">
        <v>0</v>
      </c>
      <c r="I37" s="76">
        <v>629.3377392133084</v>
      </c>
      <c r="J37" s="74">
        <v>910.91134783427003</v>
      </c>
      <c r="K37" s="74">
        <v>41.711116407314947</v>
      </c>
      <c r="L37" s="74">
        <v>0</v>
      </c>
      <c r="M37" s="50">
        <v>0</v>
      </c>
      <c r="N37" s="75">
        <v>0</v>
      </c>
      <c r="O37" s="76">
        <v>0</v>
      </c>
      <c r="P37" s="74">
        <v>0</v>
      </c>
      <c r="Q37" s="74">
        <v>0</v>
      </c>
      <c r="R37" s="77">
        <v>0</v>
      </c>
      <c r="S37" s="74">
        <v>0</v>
      </c>
      <c r="T37" s="78">
        <v>0</v>
      </c>
      <c r="U37" s="79">
        <v>540.32161267598985</v>
      </c>
      <c r="V37" s="80">
        <v>0</v>
      </c>
      <c r="W37" s="81">
        <v>65.254573639233925</v>
      </c>
      <c r="X37" s="81">
        <v>0</v>
      </c>
      <c r="Y37" s="80">
        <v>482.34740149180078</v>
      </c>
      <c r="Z37" s="80">
        <v>0</v>
      </c>
      <c r="AA37" s="82">
        <v>0</v>
      </c>
      <c r="AB37" s="83">
        <v>40.962142313850592</v>
      </c>
      <c r="AC37" s="84">
        <v>0</v>
      </c>
      <c r="AD37" s="85">
        <v>21.383528726630736</v>
      </c>
      <c r="AE37" s="83">
        <v>20.998547864310972</v>
      </c>
      <c r="AF37" s="83">
        <v>0</v>
      </c>
      <c r="AG37" s="83">
        <v>1</v>
      </c>
      <c r="AH37" s="84">
        <v>213.1964259147644</v>
      </c>
      <c r="AI37" s="84">
        <v>936.30439503987634</v>
      </c>
      <c r="AJ37" s="84">
        <v>1182.4315289815268</v>
      </c>
      <c r="AK37" s="84">
        <v>453.51304923693345</v>
      </c>
      <c r="AL37" s="84">
        <v>1270.2759052912393</v>
      </c>
      <c r="AM37" s="84">
        <v>1994.3699339548748</v>
      </c>
      <c r="AN37" s="84">
        <v>530.5119815508524</v>
      </c>
      <c r="AO37" s="84">
        <v>2911.5650882720947</v>
      </c>
      <c r="AP37" s="84">
        <v>422.70001753171283</v>
      </c>
      <c r="AQ37" s="84">
        <v>891.19101305007928</v>
      </c>
    </row>
    <row r="38" spans="1:43" ht="15.75" thickTop="1" x14ac:dyDescent="0.25">
      <c r="A38" s="46" t="s">
        <v>173</v>
      </c>
      <c r="B38" s="29">
        <f t="shared" ref="B38:AC38" si="0">SUM(B8:B37)</f>
        <v>0</v>
      </c>
      <c r="C38" s="30">
        <f t="shared" si="0"/>
        <v>2673.4106005489916</v>
      </c>
      <c r="D38" s="30">
        <f t="shared" si="0"/>
        <v>33459.868382420151</v>
      </c>
      <c r="E38" s="30">
        <f t="shared" si="0"/>
        <v>752.60634781618921</v>
      </c>
      <c r="F38" s="30">
        <f t="shared" si="0"/>
        <v>0</v>
      </c>
      <c r="G38" s="30">
        <f t="shared" si="0"/>
        <v>110158.4648043315</v>
      </c>
      <c r="H38" s="31">
        <f t="shared" si="0"/>
        <v>1084.039127410452</v>
      </c>
      <c r="I38" s="29">
        <f t="shared" si="0"/>
        <v>12339.827729618546</v>
      </c>
      <c r="J38" s="30">
        <f t="shared" si="0"/>
        <v>15528.60905489922</v>
      </c>
      <c r="K38" s="30">
        <f t="shared" si="0"/>
        <v>827.70691231042179</v>
      </c>
      <c r="L38" s="30">
        <f t="shared" si="0"/>
        <v>0</v>
      </c>
      <c r="M38" s="30">
        <f t="shared" si="0"/>
        <v>0</v>
      </c>
      <c r="N38" s="31">
        <f t="shared" si="0"/>
        <v>0</v>
      </c>
      <c r="O38" s="261">
        <f t="shared" si="0"/>
        <v>0</v>
      </c>
      <c r="P38" s="262">
        <f t="shared" si="0"/>
        <v>0</v>
      </c>
      <c r="Q38" s="262">
        <f t="shared" si="0"/>
        <v>0</v>
      </c>
      <c r="R38" s="262">
        <f t="shared" si="0"/>
        <v>0</v>
      </c>
      <c r="S38" s="262">
        <f t="shared" si="0"/>
        <v>0</v>
      </c>
      <c r="T38" s="263">
        <f t="shared" si="0"/>
        <v>0</v>
      </c>
      <c r="U38" s="261">
        <f t="shared" si="0"/>
        <v>11323.218653634292</v>
      </c>
      <c r="V38" s="262">
        <f t="shared" si="0"/>
        <v>5347.4688324420895</v>
      </c>
      <c r="W38" s="262">
        <f t="shared" si="0"/>
        <v>1409.310343547492</v>
      </c>
      <c r="X38" s="262">
        <f t="shared" si="0"/>
        <v>666.28758562025473</v>
      </c>
      <c r="Y38" s="262">
        <f t="shared" si="0"/>
        <v>12441.084224116938</v>
      </c>
      <c r="Z38" s="262">
        <f t="shared" si="0"/>
        <v>5980.4944573997109</v>
      </c>
      <c r="AA38" s="270">
        <f t="shared" si="0"/>
        <v>0</v>
      </c>
      <c r="AB38" s="273">
        <f t="shared" si="0"/>
        <v>1822.2330458237152</v>
      </c>
      <c r="AC38" s="273">
        <f t="shared" si="0"/>
        <v>0</v>
      </c>
      <c r="AD38" s="276" t="s">
        <v>29</v>
      </c>
      <c r="AE38" s="276" t="s">
        <v>29</v>
      </c>
      <c r="AF38" s="276" t="s">
        <v>29</v>
      </c>
      <c r="AG38" s="276" t="s">
        <v>159</v>
      </c>
      <c r="AH38" s="273">
        <f t="shared" ref="AH38:AQ38" si="1">SUM(AH8:AH37)</f>
        <v>6501.8135327259697</v>
      </c>
      <c r="AI38" s="273">
        <f t="shared" si="1"/>
        <v>29818.348534011846</v>
      </c>
      <c r="AJ38" s="273">
        <f t="shared" si="1"/>
        <v>90639.409631792689</v>
      </c>
      <c r="AK38" s="273">
        <f t="shared" si="1"/>
        <v>13632.847648557028</v>
      </c>
      <c r="AL38" s="273">
        <f t="shared" si="1"/>
        <v>168810.3336683274</v>
      </c>
      <c r="AM38" s="273">
        <f t="shared" si="1"/>
        <v>81322.429675801599</v>
      </c>
      <c r="AN38" s="273">
        <f t="shared" si="1"/>
        <v>17643.333691024778</v>
      </c>
      <c r="AO38" s="273">
        <f t="shared" si="1"/>
        <v>89964.371098709089</v>
      </c>
      <c r="AP38" s="273">
        <f t="shared" si="1"/>
        <v>11248.473423933987</v>
      </c>
      <c r="AQ38" s="273">
        <f t="shared" si="1"/>
        <v>25029.697100639343</v>
      </c>
    </row>
    <row r="39" spans="1:43" ht="15.75" thickBot="1" x14ac:dyDescent="0.3">
      <c r="A39" s="47" t="s">
        <v>174</v>
      </c>
      <c r="B39" s="32">
        <f>Projection!$AC$30</f>
        <v>0.80583665399999982</v>
      </c>
      <c r="C39" s="33">
        <f>Projection!$AC$28</f>
        <v>1.3221902399999999</v>
      </c>
      <c r="D39" s="33">
        <f>Projection!$AC$31</f>
        <v>2.1962556000000002</v>
      </c>
      <c r="E39" s="33">
        <f>Projection!$AC$26</f>
        <v>4.3368000000000002</v>
      </c>
      <c r="F39" s="33">
        <f>Projection!$AC$23</f>
        <v>0</v>
      </c>
      <c r="G39" s="33">
        <f>Projection!$AC$24</f>
        <v>5.2499999999999998E-2</v>
      </c>
      <c r="H39" s="34">
        <f>Projection!$AC$29</f>
        <v>3.6159737999999999</v>
      </c>
      <c r="I39" s="32">
        <f>Projection!$AC$30</f>
        <v>0.80583665399999982</v>
      </c>
      <c r="J39" s="33">
        <f>Projection!$AC$28</f>
        <v>1.3221902399999999</v>
      </c>
      <c r="K39" s="33">
        <f>Projection!$AC$26</f>
        <v>4.3368000000000002</v>
      </c>
      <c r="L39" s="33">
        <f>Projection!$AC$25</f>
        <v>0</v>
      </c>
      <c r="M39" s="33">
        <f>Projection!$AC$23</f>
        <v>0</v>
      </c>
      <c r="N39" s="34">
        <f>Projection!$AC$23</f>
        <v>0</v>
      </c>
      <c r="O39" s="264">
        <v>15.77</v>
      </c>
      <c r="P39" s="265">
        <v>15.77</v>
      </c>
      <c r="Q39" s="265">
        <v>15.77</v>
      </c>
      <c r="R39" s="265">
        <v>15.77</v>
      </c>
      <c r="S39" s="265">
        <f>Projection!$AC$28</f>
        <v>1.3221902399999999</v>
      </c>
      <c r="T39" s="266">
        <f>Projection!$AC$28</f>
        <v>1.3221902399999999</v>
      </c>
      <c r="U39" s="264">
        <f>Projection!$AC$27</f>
        <v>0.25650000000000001</v>
      </c>
      <c r="V39" s="265">
        <f>Projection!$AC$27</f>
        <v>0.25650000000000001</v>
      </c>
      <c r="W39" s="265">
        <f>Projection!$AC$22</f>
        <v>1.625</v>
      </c>
      <c r="X39" s="265">
        <f>Projection!$AC$22</f>
        <v>1.625</v>
      </c>
      <c r="Y39" s="265">
        <f>Projection!$AC$31</f>
        <v>2.1962556000000002</v>
      </c>
      <c r="Z39" s="265">
        <f>Projection!$AC$31</f>
        <v>2.1962556000000002</v>
      </c>
      <c r="AA39" s="271">
        <v>0</v>
      </c>
      <c r="AB39" s="274">
        <f>Projection!$AC$27</f>
        <v>0.25650000000000001</v>
      </c>
      <c r="AC39" s="274">
        <f>Projection!$AC$30</f>
        <v>0.80583665399999982</v>
      </c>
      <c r="AD39" s="277">
        <f>SUM(AD8:AD37)</f>
        <v>666.15953412850718</v>
      </c>
      <c r="AE39" s="277">
        <f>SUM(AE8:AE37)</f>
        <v>446.41611333698353</v>
      </c>
      <c r="AF39" s="277">
        <f>SUM(AF8:AF37)</f>
        <v>210.65956017427317</v>
      </c>
      <c r="AG39" s="277">
        <f>IF(SUM(AE39:AF39)&gt;0, AE39/(AE39+AF39), "")</f>
        <v>0.67939832706245473</v>
      </c>
      <c r="AH39" s="313">
        <v>5.8999999999999997E-2</v>
      </c>
      <c r="AI39" s="313">
        <f t="shared" ref="AI39:AQ39" si="2">$AH$39</f>
        <v>5.8999999999999997E-2</v>
      </c>
      <c r="AJ39" s="313">
        <f t="shared" si="2"/>
        <v>5.8999999999999997E-2</v>
      </c>
      <c r="AK39" s="313">
        <f t="shared" si="2"/>
        <v>5.8999999999999997E-2</v>
      </c>
      <c r="AL39" s="313">
        <f t="shared" si="2"/>
        <v>5.8999999999999997E-2</v>
      </c>
      <c r="AM39" s="313">
        <f t="shared" si="2"/>
        <v>5.8999999999999997E-2</v>
      </c>
      <c r="AN39" s="313">
        <f t="shared" si="2"/>
        <v>5.8999999999999997E-2</v>
      </c>
      <c r="AO39" s="313">
        <f t="shared" si="2"/>
        <v>5.8999999999999997E-2</v>
      </c>
      <c r="AP39" s="313">
        <f t="shared" si="2"/>
        <v>5.8999999999999997E-2</v>
      </c>
      <c r="AQ39" s="313">
        <f t="shared" si="2"/>
        <v>5.8999999999999997E-2</v>
      </c>
    </row>
    <row r="40" spans="1:43" ht="16.5" thickTop="1" thickBot="1" x14ac:dyDescent="0.3">
      <c r="A40" s="48" t="s">
        <v>26</v>
      </c>
      <c r="B40" s="35">
        <f t="shared" ref="B40:AC40" si="3">B39*B38</f>
        <v>0</v>
      </c>
      <c r="C40" s="36">
        <f t="shared" si="3"/>
        <v>3534.7574035584148</v>
      </c>
      <c r="D40" s="36">
        <f t="shared" si="3"/>
        <v>73486.423310153201</v>
      </c>
      <c r="E40" s="36">
        <f t="shared" si="3"/>
        <v>3263.9032092092493</v>
      </c>
      <c r="F40" s="36">
        <f t="shared" si="3"/>
        <v>0</v>
      </c>
      <c r="G40" s="36">
        <f t="shared" si="3"/>
        <v>5783.3194022274029</v>
      </c>
      <c r="H40" s="37">
        <f t="shared" si="3"/>
        <v>3919.8570828910561</v>
      </c>
      <c r="I40" s="35">
        <f t="shared" si="3"/>
        <v>9943.885488572223</v>
      </c>
      <c r="J40" s="36">
        <f t="shared" si="3"/>
        <v>20531.775333163368</v>
      </c>
      <c r="K40" s="36">
        <f t="shared" si="3"/>
        <v>3589.5993373078372</v>
      </c>
      <c r="L40" s="36">
        <f t="shared" si="3"/>
        <v>0</v>
      </c>
      <c r="M40" s="36">
        <f t="shared" si="3"/>
        <v>0</v>
      </c>
      <c r="N40" s="37">
        <f t="shared" si="3"/>
        <v>0</v>
      </c>
      <c r="O40" s="267">
        <f t="shared" si="3"/>
        <v>0</v>
      </c>
      <c r="P40" s="268">
        <f t="shared" si="3"/>
        <v>0</v>
      </c>
      <c r="Q40" s="268">
        <f t="shared" si="3"/>
        <v>0</v>
      </c>
      <c r="R40" s="268">
        <f t="shared" si="3"/>
        <v>0</v>
      </c>
      <c r="S40" s="268">
        <f t="shared" si="3"/>
        <v>0</v>
      </c>
      <c r="T40" s="269">
        <f t="shared" si="3"/>
        <v>0</v>
      </c>
      <c r="U40" s="267">
        <f t="shared" si="3"/>
        <v>2904.405584657196</v>
      </c>
      <c r="V40" s="268">
        <f t="shared" si="3"/>
        <v>1371.6257555213961</v>
      </c>
      <c r="W40" s="268">
        <f t="shared" si="3"/>
        <v>2290.1293082646744</v>
      </c>
      <c r="X40" s="268">
        <f t="shared" si="3"/>
        <v>1082.7173266329139</v>
      </c>
      <c r="Y40" s="268">
        <f t="shared" si="3"/>
        <v>27323.800897288482</v>
      </c>
      <c r="Z40" s="268">
        <f t="shared" si="3"/>
        <v>13134.694442833077</v>
      </c>
      <c r="AA40" s="272">
        <f t="shared" si="3"/>
        <v>0</v>
      </c>
      <c r="AB40" s="275">
        <f t="shared" si="3"/>
        <v>467.40277625378297</v>
      </c>
      <c r="AC40" s="275">
        <f t="shared" si="3"/>
        <v>0</v>
      </c>
      <c r="AH40" s="278">
        <f t="shared" ref="AH40:AI40" si="4">AH39*AH38</f>
        <v>383.60699843083222</v>
      </c>
      <c r="AI40" s="278">
        <f t="shared" si="4"/>
        <v>1759.2825635066988</v>
      </c>
      <c r="AJ40" s="278">
        <f t="shared" ref="AJ40:AQ40" si="5">AJ39*AJ38</f>
        <v>5347.7251682757687</v>
      </c>
      <c r="AK40" s="278">
        <f t="shared" si="5"/>
        <v>804.33801126486458</v>
      </c>
      <c r="AL40" s="278">
        <f t="shared" si="5"/>
        <v>9959.8096864313156</v>
      </c>
      <c r="AM40" s="278">
        <f t="shared" si="5"/>
        <v>4798.023350872294</v>
      </c>
      <c r="AN40" s="278">
        <f t="shared" si="5"/>
        <v>1040.9566877704619</v>
      </c>
      <c r="AO40" s="278">
        <f t="shared" si="5"/>
        <v>5307.8978948238364</v>
      </c>
      <c r="AP40" s="278">
        <f t="shared" si="5"/>
        <v>663.65993201210517</v>
      </c>
      <c r="AQ40" s="278">
        <f t="shared" si="5"/>
        <v>1476.7521289377212</v>
      </c>
    </row>
    <row r="41" spans="1:43" ht="49.5" customHeight="1" thickTop="1" thickBot="1" x14ac:dyDescent="0.3">
      <c r="A41" s="576" t="s">
        <v>231</v>
      </c>
      <c r="B41" s="577"/>
      <c r="C41" s="577"/>
      <c r="D41" s="577"/>
      <c r="E41" s="577"/>
      <c r="F41" s="577"/>
      <c r="G41" s="577"/>
      <c r="H41" s="577"/>
      <c r="I41" s="577"/>
      <c r="J41" s="577"/>
      <c r="K41" s="578"/>
      <c r="L41" s="44"/>
      <c r="M41" s="44"/>
      <c r="N41" s="44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G41" s="296" t="s">
        <v>186</v>
      </c>
      <c r="AH41" s="295">
        <v>310.77999999999997</v>
      </c>
      <c r="AI41" s="278" t="s">
        <v>199</v>
      </c>
      <c r="AJ41" s="278">
        <v>361.18</v>
      </c>
      <c r="AK41" s="278">
        <v>39.299999999999997</v>
      </c>
      <c r="AL41" s="278">
        <v>151.4</v>
      </c>
      <c r="AM41" s="278">
        <v>1179.29</v>
      </c>
      <c r="AN41" s="278">
        <v>228.63</v>
      </c>
      <c r="AO41" s="278" t="s">
        <v>199</v>
      </c>
      <c r="AP41" s="278">
        <v>39.299999999999997</v>
      </c>
      <c r="AQ41" s="278">
        <v>186.78</v>
      </c>
    </row>
    <row r="42" spans="1:43" ht="38.25" customHeight="1" thickTop="1" thickBot="1" x14ac:dyDescent="0.3">
      <c r="A42" s="608" t="s">
        <v>49</v>
      </c>
      <c r="B42" s="605"/>
      <c r="C42" s="289"/>
      <c r="D42" s="605" t="s">
        <v>47</v>
      </c>
      <c r="E42" s="605"/>
      <c r="F42" s="289"/>
      <c r="G42" s="605" t="s">
        <v>48</v>
      </c>
      <c r="H42" s="605"/>
      <c r="I42" s="290"/>
      <c r="J42" s="605" t="s">
        <v>50</v>
      </c>
      <c r="K42" s="578"/>
      <c r="L42" s="44"/>
      <c r="M42" s="44"/>
      <c r="N42" s="44"/>
      <c r="O42" s="45"/>
      <c r="P42" s="45"/>
      <c r="Q42" s="45"/>
      <c r="R42" s="568" t="s">
        <v>168</v>
      </c>
      <c r="S42" s="569"/>
      <c r="T42" s="569"/>
      <c r="U42" s="570"/>
      <c r="AC42" s="45"/>
    </row>
    <row r="43" spans="1:43" ht="61.5" customHeight="1" thickTop="1" thickBot="1" x14ac:dyDescent="0.3">
      <c r="A43" s="282" t="s">
        <v>135</v>
      </c>
      <c r="B43" s="283">
        <f>SUM(B40:AC40)</f>
        <v>172628.29665853429</v>
      </c>
      <c r="C43" s="12"/>
      <c r="D43" s="282" t="s">
        <v>135</v>
      </c>
      <c r="E43" s="283">
        <f>SUM(B40:H40)+P40+R40+T40+V40+X40+Z40</f>
        <v>105577.29793302671</v>
      </c>
      <c r="F43" s="12"/>
      <c r="G43" s="282" t="s">
        <v>135</v>
      </c>
      <c r="H43" s="283">
        <f>SUM(I40:N40)+O40+Q40+S40+U40+W40+Y40</f>
        <v>66583.59594925378</v>
      </c>
      <c r="I43" s="12"/>
      <c r="J43" s="282" t="s">
        <v>200</v>
      </c>
      <c r="K43" s="283">
        <v>202682.37</v>
      </c>
      <c r="L43" s="12"/>
      <c r="M43" s="12"/>
      <c r="N43" s="12"/>
      <c r="O43" s="12"/>
      <c r="P43" s="12"/>
      <c r="Q43" s="12"/>
      <c r="R43" s="301" t="s">
        <v>135</v>
      </c>
      <c r="S43" s="302"/>
      <c r="T43" s="297" t="s">
        <v>169</v>
      </c>
      <c r="U43" s="255" t="s">
        <v>170</v>
      </c>
    </row>
    <row r="44" spans="1:43" ht="60" customHeight="1" thickBot="1" x14ac:dyDescent="0.4">
      <c r="A44" s="284" t="s">
        <v>185</v>
      </c>
      <c r="B44" s="285">
        <f>SUM(AH40:AQ40)</f>
        <v>31542.052422325905</v>
      </c>
      <c r="C44" s="378">
        <f>B44/B48</f>
        <v>47.349097035127336</v>
      </c>
      <c r="D44" s="284" t="s">
        <v>185</v>
      </c>
      <c r="E44" s="285">
        <f>AH40*(1-$AG$39)+AI40+AJ40*0.5+AL40+AM40*(1-$AG$39)+AN40*(1-$AG$39)+AO40*(1-$AG$39)+AP40*0.5+AQ40*0.5</f>
        <v>19159.853623498282</v>
      </c>
      <c r="F44" s="24"/>
      <c r="G44" s="284" t="s">
        <v>185</v>
      </c>
      <c r="H44" s="285">
        <f>AH40*AG39+AJ40*0.5+AK40+AM40*AG39+AN40*AG39+AO40*AG39+AP40*0.5+AQ40*0.5</f>
        <v>12382.198798827616</v>
      </c>
      <c r="I44" s="12"/>
      <c r="J44" s="12"/>
      <c r="K44" s="288"/>
      <c r="L44" s="12"/>
      <c r="M44" s="12"/>
      <c r="N44" s="12"/>
      <c r="O44" s="12"/>
      <c r="P44" s="12"/>
      <c r="Q44" s="12"/>
      <c r="R44" s="299" t="s">
        <v>141</v>
      </c>
      <c r="S44" s="300"/>
      <c r="T44" s="254">
        <f>$W$38+$X$38</f>
        <v>2075.5979291677468</v>
      </c>
      <c r="U44" s="256">
        <f>(T44*8.34*0.895)/27000</f>
        <v>0.57381057861802998</v>
      </c>
    </row>
    <row r="45" spans="1:43" ht="32.25" thickBot="1" x14ac:dyDescent="0.3">
      <c r="A45" s="286" t="s">
        <v>186</v>
      </c>
      <c r="B45" s="287">
        <f>SUM(AH41:AQ41)</f>
        <v>2496.6600000000003</v>
      </c>
      <c r="C45" s="12"/>
      <c r="D45" s="286" t="s">
        <v>186</v>
      </c>
      <c r="E45" s="287">
        <f>AH41*(1-$AG$39)+AJ41*0.5+AL41+AM41*(1-$AG$39)+AN41*(1-$AG$39)+AP41*0.5+AQ41*0.5</f>
        <v>996.04809527775888</v>
      </c>
      <c r="F45" s="23"/>
      <c r="G45" s="286" t="s">
        <v>186</v>
      </c>
      <c r="H45" s="287">
        <f>AH41*AG39+AJ41*0.5+AK41+AM41*AG39+AN41*AG39+AP41*0.5+AQ41*0.5</f>
        <v>1500.611904722241</v>
      </c>
      <c r="I45" s="12"/>
      <c r="J45" s="606" t="s">
        <v>201</v>
      </c>
      <c r="K45" s="607"/>
      <c r="L45" s="12"/>
      <c r="M45" s="12"/>
      <c r="N45" s="12"/>
      <c r="O45" s="12"/>
      <c r="P45" s="12"/>
      <c r="Q45" s="12"/>
      <c r="R45" s="299" t="s">
        <v>145</v>
      </c>
      <c r="S45" s="300"/>
      <c r="T45" s="254">
        <f>$M$38+$N$38+$F$38</f>
        <v>0</v>
      </c>
      <c r="U45" s="257">
        <f>(((T45*8.34)*0.005)/(8.34*1.055))/400</f>
        <v>0</v>
      </c>
    </row>
    <row r="46" spans="1:43" ht="24.75" thickTop="1" thickBot="1" x14ac:dyDescent="0.4">
      <c r="A46" s="286" t="s">
        <v>187</v>
      </c>
      <c r="B46" s="287">
        <f>K43</f>
        <v>202682.37</v>
      </c>
      <c r="C46" s="12"/>
      <c r="D46" s="286" t="s">
        <v>189</v>
      </c>
      <c r="E46" s="287">
        <f>K43*0.5</f>
        <v>101341.185</v>
      </c>
      <c r="F46" s="24"/>
      <c r="G46" s="286" t="s">
        <v>187</v>
      </c>
      <c r="H46" s="287">
        <f>K43*0.5</f>
        <v>101341.185</v>
      </c>
      <c r="I46" s="12"/>
      <c r="J46" s="282" t="s">
        <v>200</v>
      </c>
      <c r="K46" s="283">
        <v>66846.55</v>
      </c>
      <c r="L46" s="12"/>
      <c r="M46" s="12"/>
      <c r="N46" s="12"/>
      <c r="O46" s="12"/>
      <c r="P46" s="12"/>
      <c r="Q46" s="12"/>
      <c r="R46" s="299" t="s">
        <v>148</v>
      </c>
      <c r="S46" s="300"/>
      <c r="T46" s="254">
        <f>$G$38</f>
        <v>110158.4648043315</v>
      </c>
      <c r="U46" s="256">
        <f>T46/40000</f>
        <v>2.7539616201082873</v>
      </c>
    </row>
    <row r="47" spans="1:43" ht="24" thickBot="1" x14ac:dyDescent="0.3">
      <c r="A47" s="286" t="s">
        <v>188</v>
      </c>
      <c r="B47" s="287">
        <f>K46</f>
        <v>66846.55</v>
      </c>
      <c r="C47" s="12"/>
      <c r="D47" s="286" t="s">
        <v>188</v>
      </c>
      <c r="E47" s="287">
        <f>K46*0.5</f>
        <v>33423.275000000001</v>
      </c>
      <c r="F47" s="23"/>
      <c r="G47" s="286" t="s">
        <v>188</v>
      </c>
      <c r="H47" s="287">
        <f>K46*0.5</f>
        <v>33423.275000000001</v>
      </c>
      <c r="I47" s="12"/>
      <c r="J47" s="12"/>
      <c r="K47" s="86"/>
      <c r="L47" s="12"/>
      <c r="M47" s="12"/>
      <c r="N47" s="12"/>
      <c r="O47" s="12"/>
      <c r="P47" s="12"/>
      <c r="Q47" s="12"/>
      <c r="R47" s="299" t="s">
        <v>150</v>
      </c>
      <c r="S47" s="300"/>
      <c r="T47" s="254">
        <f>$L$38</f>
        <v>0</v>
      </c>
      <c r="U47" s="256">
        <f>T47*9.34*0.107</f>
        <v>0</v>
      </c>
    </row>
    <row r="48" spans="1:43" ht="46.5" customHeight="1" thickTop="1" thickBot="1" x14ac:dyDescent="0.3">
      <c r="A48" s="291" t="s">
        <v>196</v>
      </c>
      <c r="B48" s="292">
        <f>AD39</f>
        <v>666.15953412850718</v>
      </c>
      <c r="C48" s="378">
        <f>B43/B48</f>
        <v>259.13957215124537</v>
      </c>
      <c r="D48" s="291" t="s">
        <v>197</v>
      </c>
      <c r="E48" s="292">
        <f>AF39</f>
        <v>210.65956017427317</v>
      </c>
      <c r="F48" s="23"/>
      <c r="G48" s="291" t="s">
        <v>198</v>
      </c>
      <c r="H48" s="292">
        <f>AE39</f>
        <v>446.41611333698353</v>
      </c>
      <c r="I48" s="12"/>
      <c r="J48" s="12"/>
      <c r="K48" s="86"/>
      <c r="L48" s="12"/>
      <c r="M48" s="12"/>
      <c r="N48" s="12"/>
      <c r="O48" s="12"/>
      <c r="P48" s="12"/>
      <c r="Q48" s="12"/>
      <c r="R48" s="299" t="s">
        <v>152</v>
      </c>
      <c r="S48" s="300"/>
      <c r="T48" s="254">
        <f>$E$38+$K$38</f>
        <v>1580.3132601266111</v>
      </c>
      <c r="U48" s="256">
        <f>(T48*8.34*1.04)/45000</f>
        <v>0.30460011317853725</v>
      </c>
    </row>
    <row r="49" spans="1:21" ht="48" customHeight="1" thickTop="1" thickBot="1" x14ac:dyDescent="0.3">
      <c r="A49" s="291" t="s">
        <v>192</v>
      </c>
      <c r="B49" s="293">
        <f>(SUM(B43:B47)/AD39)</f>
        <v>714.8376697840647</v>
      </c>
      <c r="C49" s="12"/>
      <c r="D49" s="291" t="s">
        <v>190</v>
      </c>
      <c r="E49" s="293">
        <f>SUM(E43:E47)/AF39</f>
        <v>1236.581237691277</v>
      </c>
      <c r="F49" s="379">
        <f>E43/E48</f>
        <v>501.17496611919898</v>
      </c>
      <c r="G49" s="291" t="s">
        <v>191</v>
      </c>
      <c r="H49" s="293">
        <f>SUM(H43:H47)/AE39</f>
        <v>482.13059569902572</v>
      </c>
      <c r="I49" s="378">
        <f>H43/H48</f>
        <v>149.15141716444319</v>
      </c>
      <c r="J49" s="12"/>
      <c r="K49" s="86"/>
      <c r="L49" s="12"/>
      <c r="M49" s="12"/>
      <c r="N49" s="12"/>
      <c r="O49" s="12"/>
      <c r="P49" s="12"/>
      <c r="Q49" s="12"/>
      <c r="R49" s="299" t="s">
        <v>153</v>
      </c>
      <c r="S49" s="300"/>
      <c r="T49" s="254">
        <f>$U$38+$V$38+$AB$38</f>
        <v>18492.920531900098</v>
      </c>
      <c r="U49" s="256">
        <f>T49/2000/8</f>
        <v>1.1558075332437561</v>
      </c>
    </row>
    <row r="50" spans="1:21" ht="48" customHeight="1" thickTop="1" thickBot="1" x14ac:dyDescent="0.3">
      <c r="A50" s="281" t="s">
        <v>193</v>
      </c>
      <c r="B50" s="294">
        <f>B49/1000</f>
        <v>0.71483766978406471</v>
      </c>
      <c r="C50" s="12"/>
      <c r="D50" s="281" t="s">
        <v>194</v>
      </c>
      <c r="E50" s="294">
        <f>E49/1000</f>
        <v>1.236581237691277</v>
      </c>
      <c r="F50" s="12"/>
      <c r="G50" s="281" t="s">
        <v>195</v>
      </c>
      <c r="H50" s="294">
        <f>H49/1000</f>
        <v>0.48213059569902572</v>
      </c>
      <c r="I50" s="12"/>
      <c r="J50" s="12"/>
      <c r="K50" s="86"/>
      <c r="L50" s="12"/>
      <c r="M50" s="12"/>
      <c r="N50" s="12"/>
      <c r="O50" s="12"/>
      <c r="P50" s="12"/>
      <c r="Q50" s="12"/>
      <c r="R50" s="299" t="s">
        <v>154</v>
      </c>
      <c r="S50" s="300"/>
      <c r="T50" s="254">
        <f>$C$38+$J$38+$S$38+$T$38</f>
        <v>18202.01965544821</v>
      </c>
      <c r="U50" s="256">
        <f>(T50*8.34*1.4)/45000</f>
        <v>4.7228173666002951</v>
      </c>
    </row>
    <row r="51" spans="1:21" ht="48" customHeight="1" thickTop="1" thickBot="1" x14ac:dyDescent="0.3">
      <c r="A51" s="303"/>
      <c r="B51" s="12"/>
      <c r="C51" s="12"/>
      <c r="D51" s="12"/>
      <c r="E51" s="12"/>
      <c r="F51" s="12"/>
      <c r="G51" s="12"/>
      <c r="H51" s="12"/>
      <c r="I51" s="12"/>
      <c r="J51" s="12"/>
      <c r="K51" s="86"/>
      <c r="L51" s="12"/>
      <c r="M51" s="12"/>
      <c r="N51" s="12"/>
      <c r="O51" s="12"/>
      <c r="P51" s="12"/>
      <c r="Q51" s="12"/>
      <c r="R51" s="299" t="s">
        <v>155</v>
      </c>
      <c r="S51" s="300"/>
      <c r="T51" s="254">
        <f>$H$38</f>
        <v>1084.039127410452</v>
      </c>
      <c r="U51" s="256">
        <f>(T51*8.34*1.135)/45000</f>
        <v>0.22803124391454663</v>
      </c>
    </row>
    <row r="52" spans="1:21" ht="47.25" customHeight="1" thickTop="1" thickBot="1" x14ac:dyDescent="0.3">
      <c r="A52" s="571" t="s">
        <v>51</v>
      </c>
      <c r="B52" s="572"/>
      <c r="C52" s="572"/>
      <c r="D52" s="572"/>
      <c r="E52" s="573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299" t="s">
        <v>156</v>
      </c>
      <c r="S52" s="300"/>
      <c r="T52" s="254">
        <f>$B$38+$I$38+$AC$38</f>
        <v>12339.827729618546</v>
      </c>
      <c r="U52" s="256">
        <f>(T52*8.34*1.029*0.03)/3300</f>
        <v>0.96271521817912908</v>
      </c>
    </row>
    <row r="53" spans="1:21" ht="78.75" customHeight="1" thickBot="1" x14ac:dyDescent="0.3">
      <c r="A53" s="602" t="s">
        <v>202</v>
      </c>
      <c r="B53" s="603"/>
      <c r="C53" s="603"/>
      <c r="D53" s="603"/>
      <c r="E53" s="604"/>
      <c r="F53" s="87"/>
      <c r="G53" s="87"/>
      <c r="H53" s="87"/>
      <c r="I53" s="87"/>
      <c r="J53" s="87"/>
      <c r="K53" s="88"/>
      <c r="L53" s="12"/>
      <c r="M53" s="12"/>
      <c r="N53" s="12"/>
      <c r="O53" s="12"/>
      <c r="P53" s="12"/>
      <c r="Q53" s="12"/>
      <c r="R53" s="565" t="s">
        <v>158</v>
      </c>
      <c r="S53" s="566"/>
      <c r="T53" s="258">
        <f>$D$38+$Y$38+$Z$38</f>
        <v>51881.447063936801</v>
      </c>
      <c r="U53" s="259">
        <f>(T53*1.54*8.34)/45000</f>
        <v>14.807656744675082</v>
      </c>
    </row>
    <row r="54" spans="1:21" ht="71.25" customHeight="1" thickTop="1" x14ac:dyDescent="0.25">
      <c r="A54" s="304"/>
      <c r="B54" s="304"/>
      <c r="C54" s="304"/>
      <c r="D54" s="304"/>
      <c r="E54" s="304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21" ht="94.5" customHeight="1" x14ac:dyDescent="0.25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21" ht="46.5" customHeight="1" x14ac:dyDescent="0.25">
      <c r="A56" s="615"/>
      <c r="B56" s="616"/>
      <c r="C56" s="616"/>
      <c r="D56" s="616"/>
      <c r="E56" s="616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21" ht="18.75" x14ac:dyDescent="0.25">
      <c r="A57" s="615"/>
      <c r="B57" s="616"/>
      <c r="C57" s="616"/>
      <c r="D57" s="616"/>
      <c r="E57" s="616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21" ht="15" customHeight="1" x14ac:dyDescent="0.25">
      <c r="A58" s="279"/>
      <c r="B58" s="28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21" x14ac:dyDescent="0.25">
      <c r="A59" s="280"/>
      <c r="B59" s="28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21" ht="15" customHeight="1" x14ac:dyDescent="0.25">
      <c r="A60" s="279"/>
      <c r="B60" s="28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21" x14ac:dyDescent="0.25">
      <c r="A61" s="280"/>
      <c r="B61" s="280"/>
      <c r="C61" s="12"/>
      <c r="D61" s="12"/>
      <c r="E61" s="12"/>
      <c r="F61" s="12"/>
      <c r="G61" s="12"/>
      <c r="H61" s="12"/>
      <c r="I61" s="12"/>
      <c r="J61" s="12"/>
      <c r="K61" s="12"/>
    </row>
    <row r="62" spans="1:21" x14ac:dyDescent="0.25">
      <c r="A62" s="12"/>
      <c r="B62" s="12"/>
      <c r="C62" s="12"/>
      <c r="D62" s="12"/>
      <c r="E62" s="12"/>
      <c r="F62" s="12"/>
      <c r="G62" s="12"/>
    </row>
    <row r="63" spans="1:21" x14ac:dyDescent="0.25">
      <c r="A63" s="12"/>
      <c r="B63" s="12"/>
      <c r="C63" s="12"/>
      <c r="D63" s="12"/>
      <c r="E63" s="12"/>
      <c r="F63" s="12"/>
      <c r="G63" s="12"/>
    </row>
    <row r="64" spans="1:21" x14ac:dyDescent="0.25">
      <c r="A64" s="12"/>
      <c r="B64" s="12"/>
      <c r="C64" s="12"/>
      <c r="D64" s="12"/>
      <c r="E64" s="12"/>
      <c r="F64" s="12"/>
      <c r="G64" s="12"/>
    </row>
    <row r="66" spans="1:25" x14ac:dyDescent="0.25">
      <c r="A66" s="45"/>
      <c r="B66" s="45"/>
      <c r="C66" s="45"/>
      <c r="D66" s="45"/>
      <c r="E66" s="45"/>
      <c r="F66" s="45"/>
      <c r="G66" s="45"/>
      <c r="H66" s="45"/>
    </row>
    <row r="67" spans="1:25" x14ac:dyDescent="0.25">
      <c r="A67" s="12"/>
      <c r="B67" s="12"/>
      <c r="S67" s="12"/>
      <c r="T67" s="12"/>
      <c r="U67" s="12"/>
      <c r="V67" s="12"/>
      <c r="W67" s="12"/>
      <c r="X67" s="12"/>
      <c r="Y67" s="12"/>
    </row>
    <row r="68" spans="1:25" x14ac:dyDescent="0.25">
      <c r="A68" s="12"/>
      <c r="B68" s="12"/>
      <c r="S68" s="12"/>
      <c r="T68" s="12"/>
      <c r="U68" s="12"/>
      <c r="V68" s="12"/>
      <c r="W68" s="12"/>
      <c r="X68" s="12"/>
      <c r="Y68" s="12"/>
    </row>
    <row r="69" spans="1:25" ht="93" customHeight="1" x14ac:dyDescent="0.25">
      <c r="A69" s="12"/>
      <c r="B69" s="12"/>
      <c r="S69" s="12"/>
      <c r="T69" s="12"/>
      <c r="U69" s="12"/>
      <c r="V69" s="12"/>
      <c r="W69" s="12"/>
      <c r="X69" s="12"/>
      <c r="Y69" s="12"/>
    </row>
    <row r="70" spans="1:25" ht="75" customHeight="1" x14ac:dyDescent="0.25">
      <c r="A70" s="12"/>
      <c r="B70" s="12"/>
    </row>
    <row r="71" spans="1:25" ht="51.75" customHeight="1" x14ac:dyDescent="0.25">
      <c r="A71" s="12"/>
      <c r="B71" s="12"/>
    </row>
    <row r="72" spans="1:25" x14ac:dyDescent="0.25">
      <c r="A72" s="12"/>
      <c r="B72" s="12"/>
      <c r="C72" s="12"/>
      <c r="D72" s="12"/>
    </row>
    <row r="73" spans="1:25" x14ac:dyDescent="0.25">
      <c r="A73" s="12"/>
      <c r="B73" s="12"/>
      <c r="C73" s="12"/>
      <c r="D73" s="12"/>
      <c r="E73" s="12"/>
    </row>
    <row r="74" spans="1:25" x14ac:dyDescent="0.25">
      <c r="A74" s="12"/>
      <c r="B74" s="12"/>
      <c r="C74" s="12"/>
      <c r="D74" s="12"/>
      <c r="E74" s="12"/>
    </row>
  </sheetData>
  <sheetProtection selectLockedCells="1" selectUnlockedCells="1"/>
  <mergeCells count="32">
    <mergeCell ref="AM4:AM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E4:AE5"/>
    <mergeCell ref="AF4:AF5"/>
    <mergeCell ref="AG4:AG5"/>
    <mergeCell ref="O4:T5"/>
    <mergeCell ref="U4:AA5"/>
    <mergeCell ref="AB4:AB5"/>
    <mergeCell ref="AC4:AC5"/>
    <mergeCell ref="B4:H5"/>
    <mergeCell ref="I4:N5"/>
    <mergeCell ref="J42:K42"/>
    <mergeCell ref="A41:K41"/>
    <mergeCell ref="AD4:AD5"/>
    <mergeCell ref="R42:U42"/>
    <mergeCell ref="A42:B42"/>
    <mergeCell ref="D42:E42"/>
    <mergeCell ref="G42:H42"/>
    <mergeCell ref="R53:S53"/>
    <mergeCell ref="A53:E53"/>
    <mergeCell ref="A56:E56"/>
    <mergeCell ref="A57:E57"/>
    <mergeCell ref="J45:K45"/>
    <mergeCell ref="A52:E52"/>
  </mergeCells>
  <printOptions horizontalCentered="1"/>
  <pageMargins left="0.33" right="0.19" top="0.75" bottom="0.75" header="0.3" footer="0.3"/>
  <pageSetup paperSize="17" scale="67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66"/>
  <sheetViews>
    <sheetView zoomScale="80" zoomScaleNormal="80" workbookViewId="0">
      <selection activeCell="AH39" sqref="AH39:AQ39"/>
    </sheetView>
  </sheetViews>
  <sheetFormatPr defaultRowHeight="15" x14ac:dyDescent="0.25"/>
  <cols>
    <col min="1" max="1" width="26.28515625" customWidth="1"/>
    <col min="2" max="2" width="19.28515625" bestFit="1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22.5703125" bestFit="1" customWidth="1"/>
    <col min="9" max="9" width="23.140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4.140625" bestFit="1" customWidth="1"/>
    <col min="22" max="22" width="12.42578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53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3" ht="15" customHeight="1" x14ac:dyDescent="0.25">
      <c r="A2" s="1" t="s">
        <v>2</v>
      </c>
      <c r="B2" s="5"/>
      <c r="O2" s="4"/>
      <c r="P2" s="4"/>
      <c r="Q2" s="4"/>
      <c r="R2" s="4"/>
    </row>
    <row r="3" spans="1:53" ht="15.75" thickBot="1" x14ac:dyDescent="0.3">
      <c r="A3" s="6"/>
      <c r="AZ3" t="s">
        <v>171</v>
      </c>
      <c r="BA3" s="260" t="s">
        <v>208</v>
      </c>
    </row>
    <row r="4" spans="1:53" ht="30" customHeight="1" thickTop="1" x14ac:dyDescent="0.25">
      <c r="A4" s="13"/>
      <c r="B4" s="581" t="s">
        <v>3</v>
      </c>
      <c r="C4" s="582"/>
      <c r="D4" s="582"/>
      <c r="E4" s="582"/>
      <c r="F4" s="582"/>
      <c r="G4" s="582"/>
      <c r="H4" s="583"/>
      <c r="I4" s="581" t="s">
        <v>4</v>
      </c>
      <c r="J4" s="582"/>
      <c r="K4" s="582"/>
      <c r="L4" s="582"/>
      <c r="M4" s="582"/>
      <c r="N4" s="583"/>
      <c r="O4" s="587" t="s">
        <v>5</v>
      </c>
      <c r="P4" s="588"/>
      <c r="Q4" s="589"/>
      <c r="R4" s="589"/>
      <c r="S4" s="589"/>
      <c r="T4" s="590"/>
      <c r="U4" s="581" t="s">
        <v>6</v>
      </c>
      <c r="V4" s="594"/>
      <c r="W4" s="594"/>
      <c r="X4" s="594"/>
      <c r="Y4" s="594"/>
      <c r="Z4" s="594"/>
      <c r="AA4" s="595"/>
      <c r="AB4" s="574" t="s">
        <v>7</v>
      </c>
      <c r="AC4" s="600" t="s">
        <v>8</v>
      </c>
      <c r="AD4" s="579" t="s">
        <v>27</v>
      </c>
      <c r="AE4" s="579" t="s">
        <v>31</v>
      </c>
      <c r="AF4" s="579" t="s">
        <v>32</v>
      </c>
      <c r="AG4" s="579" t="s">
        <v>33</v>
      </c>
      <c r="AH4" s="574" t="s">
        <v>175</v>
      </c>
      <c r="AI4" s="574" t="s">
        <v>176</v>
      </c>
      <c r="AJ4" s="574" t="s">
        <v>177</v>
      </c>
      <c r="AK4" s="574" t="s">
        <v>178</v>
      </c>
      <c r="AL4" s="574" t="s">
        <v>179</v>
      </c>
      <c r="AM4" s="574" t="s">
        <v>180</v>
      </c>
      <c r="AN4" s="574" t="s">
        <v>181</v>
      </c>
      <c r="AO4" s="574" t="s">
        <v>184</v>
      </c>
      <c r="AP4" s="574" t="s">
        <v>182</v>
      </c>
      <c r="AQ4" s="574" t="s">
        <v>183</v>
      </c>
    </row>
    <row r="5" spans="1:53" ht="30" customHeight="1" thickBot="1" x14ac:dyDescent="0.3">
      <c r="A5" s="13"/>
      <c r="B5" s="584"/>
      <c r="C5" s="585"/>
      <c r="D5" s="585"/>
      <c r="E5" s="585"/>
      <c r="F5" s="585"/>
      <c r="G5" s="585"/>
      <c r="H5" s="586"/>
      <c r="I5" s="584"/>
      <c r="J5" s="585"/>
      <c r="K5" s="585"/>
      <c r="L5" s="585"/>
      <c r="M5" s="585"/>
      <c r="N5" s="586"/>
      <c r="O5" s="591"/>
      <c r="P5" s="592"/>
      <c r="Q5" s="592"/>
      <c r="R5" s="592"/>
      <c r="S5" s="592"/>
      <c r="T5" s="593"/>
      <c r="U5" s="596"/>
      <c r="V5" s="597"/>
      <c r="W5" s="597"/>
      <c r="X5" s="597"/>
      <c r="Y5" s="597"/>
      <c r="Z5" s="597"/>
      <c r="AA5" s="598"/>
      <c r="AB5" s="599"/>
      <c r="AC5" s="601"/>
      <c r="AD5" s="580"/>
      <c r="AE5" s="580"/>
      <c r="AF5" s="580"/>
      <c r="AG5" s="580"/>
      <c r="AH5" s="575"/>
      <c r="AI5" s="575"/>
      <c r="AJ5" s="575"/>
      <c r="AK5" s="575"/>
      <c r="AL5" s="575"/>
      <c r="AM5" s="575"/>
      <c r="AN5" s="575"/>
      <c r="AO5" s="575"/>
      <c r="AP5" s="575"/>
      <c r="AQ5" s="575"/>
    </row>
    <row r="6" spans="1:53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3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53" x14ac:dyDescent="0.25">
      <c r="A8" s="11">
        <v>42644</v>
      </c>
      <c r="B8" s="49"/>
      <c r="C8" s="50">
        <v>0</v>
      </c>
      <c r="D8" s="50">
        <v>0</v>
      </c>
      <c r="E8" s="50">
        <v>0.59907123694817221</v>
      </c>
      <c r="F8" s="50">
        <v>0</v>
      </c>
      <c r="G8" s="50">
        <v>0</v>
      </c>
      <c r="H8" s="51">
        <v>0</v>
      </c>
      <c r="I8" s="49">
        <v>633.04009669621826</v>
      </c>
      <c r="J8" s="50">
        <v>911.25610357920311</v>
      </c>
      <c r="K8" s="50">
        <v>41.791676078240123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540.48173374599878</v>
      </c>
      <c r="V8" s="54">
        <v>0</v>
      </c>
      <c r="W8" s="54">
        <v>64.172050642967207</v>
      </c>
      <c r="X8" s="54">
        <v>0</v>
      </c>
      <c r="Y8" s="54">
        <v>475.86688146591115</v>
      </c>
      <c r="Z8" s="54">
        <v>0</v>
      </c>
      <c r="AA8" s="55">
        <v>0</v>
      </c>
      <c r="AB8" s="56">
        <v>42.178471631473023</v>
      </c>
      <c r="AC8" s="57">
        <v>0</v>
      </c>
      <c r="AD8" s="57">
        <v>21.375116295284673</v>
      </c>
      <c r="AE8" s="58">
        <v>20.99893488572004</v>
      </c>
      <c r="AF8" s="58">
        <v>0</v>
      </c>
      <c r="AG8" s="58">
        <v>1</v>
      </c>
      <c r="AH8" s="57">
        <v>224.9337107817332</v>
      </c>
      <c r="AI8" s="57">
        <v>938.28808860778827</v>
      </c>
      <c r="AJ8" s="57">
        <v>1069.1607507069905</v>
      </c>
      <c r="AK8" s="57">
        <v>459.35303757985434</v>
      </c>
      <c r="AL8" s="57">
        <v>1155.9316108067831</v>
      </c>
      <c r="AM8" s="57">
        <v>1935.8096076965332</v>
      </c>
      <c r="AN8" s="57">
        <v>555.09168690045669</v>
      </c>
      <c r="AO8" s="57">
        <v>2928.7264205932615</v>
      </c>
      <c r="AP8" s="57">
        <v>322.30399033228554</v>
      </c>
      <c r="AQ8" s="57">
        <v>769.89603850046785</v>
      </c>
    </row>
    <row r="9" spans="1:53" x14ac:dyDescent="0.25">
      <c r="A9" s="11">
        <v>42645</v>
      </c>
      <c r="B9" s="59"/>
      <c r="C9" s="60">
        <v>0</v>
      </c>
      <c r="D9" s="60">
        <v>0</v>
      </c>
      <c r="E9" s="60">
        <v>0.60068533569574267</v>
      </c>
      <c r="F9" s="60">
        <v>0</v>
      </c>
      <c r="G9" s="60">
        <v>0</v>
      </c>
      <c r="H9" s="61">
        <v>0</v>
      </c>
      <c r="I9" s="59">
        <v>638.23725865682115</v>
      </c>
      <c r="J9" s="60">
        <v>910.52682685852005</v>
      </c>
      <c r="K9" s="60">
        <v>41.627585507432613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525.34271159702178</v>
      </c>
      <c r="V9" s="62">
        <v>0</v>
      </c>
      <c r="W9" s="62">
        <v>62.088155098756239</v>
      </c>
      <c r="X9" s="62">
        <v>0</v>
      </c>
      <c r="Y9" s="66">
        <v>439.40197045008222</v>
      </c>
      <c r="Z9" s="66">
        <v>0</v>
      </c>
      <c r="AA9" s="67">
        <v>0</v>
      </c>
      <c r="AB9" s="68">
        <v>42.177869873575837</v>
      </c>
      <c r="AC9" s="69">
        <v>0</v>
      </c>
      <c r="AD9" s="69">
        <v>20.768534002039154</v>
      </c>
      <c r="AE9" s="68">
        <v>20.41462582496818</v>
      </c>
      <c r="AF9" s="68">
        <v>0</v>
      </c>
      <c r="AG9" s="68">
        <v>1</v>
      </c>
      <c r="AH9" s="69">
        <v>212.13763065338134</v>
      </c>
      <c r="AI9" s="69">
        <v>934.63099339803057</v>
      </c>
      <c r="AJ9" s="69">
        <v>1237.1474718729655</v>
      </c>
      <c r="AK9" s="69">
        <v>462.05558528900144</v>
      </c>
      <c r="AL9" s="69">
        <v>1126.9615585327149</v>
      </c>
      <c r="AM9" s="69">
        <v>1944.4477926890056</v>
      </c>
      <c r="AN9" s="69">
        <v>547.68052802085879</v>
      </c>
      <c r="AO9" s="69">
        <v>2902.1225571950276</v>
      </c>
      <c r="AP9" s="69">
        <v>292.76259857416153</v>
      </c>
      <c r="AQ9" s="69">
        <v>802.78160305023198</v>
      </c>
    </row>
    <row r="10" spans="1:53" x14ac:dyDescent="0.25">
      <c r="A10" s="11">
        <v>42646</v>
      </c>
      <c r="B10" s="59"/>
      <c r="C10" s="60">
        <v>0</v>
      </c>
      <c r="D10" s="60">
        <v>0</v>
      </c>
      <c r="E10" s="60">
        <v>0.5988143856326742</v>
      </c>
      <c r="F10" s="60">
        <v>0</v>
      </c>
      <c r="G10" s="60">
        <v>0</v>
      </c>
      <c r="H10" s="61">
        <v>0</v>
      </c>
      <c r="I10" s="59">
        <v>625.38578659693371</v>
      </c>
      <c r="J10" s="60">
        <v>917.41013717651367</v>
      </c>
      <c r="K10" s="60">
        <v>41.709766264756539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516.2475816090971</v>
      </c>
      <c r="V10" s="62">
        <v>0</v>
      </c>
      <c r="W10" s="62">
        <v>60.090058549245306</v>
      </c>
      <c r="X10" s="62">
        <v>0</v>
      </c>
      <c r="Y10" s="66">
        <v>411.66782280604082</v>
      </c>
      <c r="Z10" s="66">
        <v>0</v>
      </c>
      <c r="AA10" s="67">
        <v>0</v>
      </c>
      <c r="AB10" s="68">
        <v>42.17880221472754</v>
      </c>
      <c r="AC10" s="69">
        <v>0</v>
      </c>
      <c r="AD10" s="69">
        <v>20.439844722217959</v>
      </c>
      <c r="AE10" s="68">
        <v>20.083929170817964</v>
      </c>
      <c r="AF10" s="68">
        <v>0</v>
      </c>
      <c r="AG10" s="68">
        <v>1</v>
      </c>
      <c r="AH10" s="69">
        <v>218.94162409305574</v>
      </c>
      <c r="AI10" s="69">
        <v>950.37763582865387</v>
      </c>
      <c r="AJ10" s="69">
        <v>1293.9392339706419</v>
      </c>
      <c r="AK10" s="69">
        <v>460.62534921964004</v>
      </c>
      <c r="AL10" s="69">
        <v>1201.5503196080524</v>
      </c>
      <c r="AM10" s="69">
        <v>2017.1030035654703</v>
      </c>
      <c r="AN10" s="69">
        <v>538.09125363032035</v>
      </c>
      <c r="AO10" s="69">
        <v>2781.5753885904942</v>
      </c>
      <c r="AP10" s="69">
        <v>134.04167877038321</v>
      </c>
      <c r="AQ10" s="69">
        <v>855.62122360865271</v>
      </c>
    </row>
    <row r="11" spans="1:53" x14ac:dyDescent="0.25">
      <c r="A11" s="11">
        <v>42647</v>
      </c>
      <c r="B11" s="59"/>
      <c r="C11" s="60">
        <v>0</v>
      </c>
      <c r="D11" s="60">
        <v>0</v>
      </c>
      <c r="E11" s="60">
        <v>0.59292865792910232</v>
      </c>
      <c r="F11" s="60">
        <v>0</v>
      </c>
      <c r="G11" s="60">
        <v>0</v>
      </c>
      <c r="H11" s="61">
        <v>0</v>
      </c>
      <c r="I11" s="59">
        <v>534.50613683064785</v>
      </c>
      <c r="J11" s="60">
        <v>890.50615981419844</v>
      </c>
      <c r="K11" s="60">
        <v>40.520510501662926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528.52223252190549</v>
      </c>
      <c r="V11" s="62">
        <v>0</v>
      </c>
      <c r="W11" s="62">
        <v>59.500538428624445</v>
      </c>
      <c r="X11" s="62">
        <v>0</v>
      </c>
      <c r="Y11" s="66">
        <v>378.42669177055387</v>
      </c>
      <c r="Z11" s="66">
        <v>0</v>
      </c>
      <c r="AA11" s="67">
        <v>0</v>
      </c>
      <c r="AB11" s="68">
        <v>42.174779608514328</v>
      </c>
      <c r="AC11" s="69">
        <v>0</v>
      </c>
      <c r="AD11" s="69">
        <v>20.902424512969077</v>
      </c>
      <c r="AE11" s="68">
        <v>20.535289687471444</v>
      </c>
      <c r="AF11" s="68">
        <v>0</v>
      </c>
      <c r="AG11" s="68">
        <v>1</v>
      </c>
      <c r="AH11" s="69">
        <v>235.78686912059786</v>
      </c>
      <c r="AI11" s="69">
        <v>955.20098158518488</v>
      </c>
      <c r="AJ11" s="69">
        <v>1138.8150042851767</v>
      </c>
      <c r="AK11" s="69">
        <v>445.04060055414823</v>
      </c>
      <c r="AL11" s="69">
        <v>1284.2382922490435</v>
      </c>
      <c r="AM11" s="69">
        <v>1994.151526133219</v>
      </c>
      <c r="AN11" s="69">
        <v>508.79791927337641</v>
      </c>
      <c r="AO11" s="69">
        <v>2910.5888415018717</v>
      </c>
      <c r="AP11" s="69">
        <v>92.948878510793037</v>
      </c>
      <c r="AQ11" s="69">
        <v>671.67655843098964</v>
      </c>
    </row>
    <row r="12" spans="1:53" x14ac:dyDescent="0.25">
      <c r="A12" s="11">
        <v>42648</v>
      </c>
      <c r="B12" s="59"/>
      <c r="C12" s="60">
        <v>31.611897796392455</v>
      </c>
      <c r="D12" s="60">
        <v>378.63256392677596</v>
      </c>
      <c r="E12" s="60">
        <v>9.4115356370806698</v>
      </c>
      <c r="F12" s="60">
        <v>0</v>
      </c>
      <c r="G12" s="60">
        <v>1339.2037395477307</v>
      </c>
      <c r="H12" s="61">
        <v>12.754923051595679</v>
      </c>
      <c r="I12" s="59">
        <v>448.19244079589765</v>
      </c>
      <c r="J12" s="60">
        <v>808.26923704147362</v>
      </c>
      <c r="K12" s="60">
        <v>35.825034379959163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448.1664577484118</v>
      </c>
      <c r="V12" s="62">
        <v>0</v>
      </c>
      <c r="W12" s="62">
        <v>49.315148595968935</v>
      </c>
      <c r="X12" s="62">
        <v>0</v>
      </c>
      <c r="Y12" s="66">
        <v>322.05777864456195</v>
      </c>
      <c r="Z12" s="66">
        <v>0</v>
      </c>
      <c r="AA12" s="67">
        <v>0</v>
      </c>
      <c r="AB12" s="68">
        <v>50.374011633130721</v>
      </c>
      <c r="AC12" s="69">
        <v>0</v>
      </c>
      <c r="AD12" s="69">
        <v>17.76654086377885</v>
      </c>
      <c r="AE12" s="68">
        <v>17.484026350022198</v>
      </c>
      <c r="AF12" s="68">
        <v>0</v>
      </c>
      <c r="AG12" s="68">
        <v>1</v>
      </c>
      <c r="AH12" s="69">
        <v>206.20335285663603</v>
      </c>
      <c r="AI12" s="69">
        <v>949.76732438405361</v>
      </c>
      <c r="AJ12" s="69">
        <v>1999.8341503143308</v>
      </c>
      <c r="AK12" s="69">
        <v>441.77278814315787</v>
      </c>
      <c r="AL12" s="69">
        <v>1360.0339154561361</v>
      </c>
      <c r="AM12" s="69">
        <v>2022.6846361796061</v>
      </c>
      <c r="AN12" s="69">
        <v>501.17873036066698</v>
      </c>
      <c r="AO12" s="69">
        <v>2628.7625902811687</v>
      </c>
      <c r="AP12" s="69">
        <v>195.81941217978795</v>
      </c>
      <c r="AQ12" s="69">
        <v>694.48273337682076</v>
      </c>
    </row>
    <row r="13" spans="1:53" x14ac:dyDescent="0.25">
      <c r="A13" s="11">
        <v>42649</v>
      </c>
      <c r="B13" s="59"/>
      <c r="C13" s="60">
        <v>61.557298652331049</v>
      </c>
      <c r="D13" s="60">
        <v>714.68766590754046</v>
      </c>
      <c r="E13" s="60">
        <v>17.911652776598931</v>
      </c>
      <c r="F13" s="60">
        <v>0</v>
      </c>
      <c r="G13" s="60">
        <v>2169.2329221089644</v>
      </c>
      <c r="H13" s="61">
        <v>25.124641920129491</v>
      </c>
      <c r="I13" s="59">
        <v>357.23569769859324</v>
      </c>
      <c r="J13" s="60">
        <v>676.01005563735771</v>
      </c>
      <c r="K13" s="60">
        <v>28.713008870184424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348.8875676232862</v>
      </c>
      <c r="V13" s="62">
        <v>54.468529025880024</v>
      </c>
      <c r="W13" s="62">
        <v>38.576486772605712</v>
      </c>
      <c r="X13" s="62">
        <v>6.0225834465931483</v>
      </c>
      <c r="Y13" s="66">
        <v>274.43387825317257</v>
      </c>
      <c r="Z13" s="66">
        <v>42.84477594070642</v>
      </c>
      <c r="AA13" s="67">
        <v>0</v>
      </c>
      <c r="AB13" s="68">
        <v>54.752415468956407</v>
      </c>
      <c r="AC13" s="69">
        <v>0</v>
      </c>
      <c r="AD13" s="69">
        <v>16.399726199441474</v>
      </c>
      <c r="AE13" s="68">
        <v>13.975657162882911</v>
      </c>
      <c r="AF13" s="68">
        <v>2.1818876866778574</v>
      </c>
      <c r="AG13" s="68">
        <v>0.86496168155540232</v>
      </c>
      <c r="AH13" s="69">
        <v>231.24834134578697</v>
      </c>
      <c r="AI13" s="69">
        <v>1001.6785298665362</v>
      </c>
      <c r="AJ13" s="69">
        <v>2918.5449595133464</v>
      </c>
      <c r="AK13" s="69">
        <v>434.80086636543268</v>
      </c>
      <c r="AL13" s="69">
        <v>2780.6696489969895</v>
      </c>
      <c r="AM13" s="69">
        <v>2423.9609572092686</v>
      </c>
      <c r="AN13" s="69">
        <v>507.62473791440323</v>
      </c>
      <c r="AO13" s="69">
        <v>2456.0468048095699</v>
      </c>
      <c r="AP13" s="69">
        <v>340.84933042526245</v>
      </c>
      <c r="AQ13" s="69">
        <v>644.1798369089762</v>
      </c>
    </row>
    <row r="14" spans="1:53" x14ac:dyDescent="0.25">
      <c r="A14" s="11">
        <v>42650</v>
      </c>
      <c r="B14" s="59"/>
      <c r="C14" s="60">
        <v>61.74785344203346</v>
      </c>
      <c r="D14" s="60">
        <v>713.56986605326017</v>
      </c>
      <c r="E14" s="60">
        <v>17.891261379420726</v>
      </c>
      <c r="F14" s="60">
        <v>0</v>
      </c>
      <c r="G14" s="60">
        <v>2078.6029673258427</v>
      </c>
      <c r="H14" s="61">
        <v>25.035125230749461</v>
      </c>
      <c r="I14" s="59">
        <v>284.72675064404825</v>
      </c>
      <c r="J14" s="60">
        <v>525.45992247263632</v>
      </c>
      <c r="K14" s="60">
        <v>22.293906594316155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280.58218993649018</v>
      </c>
      <c r="V14" s="62">
        <v>127.53464726833752</v>
      </c>
      <c r="W14" s="62">
        <v>30.674715005201158</v>
      </c>
      <c r="X14" s="62">
        <v>13.942755807596383</v>
      </c>
      <c r="Y14" s="66">
        <v>249.13428889557591</v>
      </c>
      <c r="Z14" s="66">
        <v>113.24045073544137</v>
      </c>
      <c r="AA14" s="67">
        <v>0</v>
      </c>
      <c r="AB14" s="68">
        <v>40.982926114399433</v>
      </c>
      <c r="AC14" s="69">
        <v>0</v>
      </c>
      <c r="AD14" s="69">
        <v>16.292954142226126</v>
      </c>
      <c r="AE14" s="68">
        <v>10.999802346884653</v>
      </c>
      <c r="AF14" s="68">
        <v>4.9998038458852356</v>
      </c>
      <c r="AG14" s="68">
        <v>0.68750456819714645</v>
      </c>
      <c r="AH14" s="69">
        <v>226.07522040208184</v>
      </c>
      <c r="AI14" s="69">
        <v>1002.4710796991982</v>
      </c>
      <c r="AJ14" s="69">
        <v>2892.5717531840005</v>
      </c>
      <c r="AK14" s="69">
        <v>430.28688513437908</v>
      </c>
      <c r="AL14" s="69">
        <v>3283.5689756393431</v>
      </c>
      <c r="AM14" s="69">
        <v>2583.8359536488847</v>
      </c>
      <c r="AN14" s="69">
        <v>516.47173282305391</v>
      </c>
      <c r="AO14" s="69">
        <v>2552.2764453887939</v>
      </c>
      <c r="AP14" s="69">
        <v>340.82234732309973</v>
      </c>
      <c r="AQ14" s="69">
        <v>693.84293915430715</v>
      </c>
    </row>
    <row r="15" spans="1:53" x14ac:dyDescent="0.25">
      <c r="A15" s="11">
        <v>42651</v>
      </c>
      <c r="B15" s="59"/>
      <c r="C15" s="60">
        <v>61.552480701605909</v>
      </c>
      <c r="D15" s="60">
        <v>726.60572830835906</v>
      </c>
      <c r="E15" s="60">
        <v>17.932555935780211</v>
      </c>
      <c r="F15" s="60">
        <v>0</v>
      </c>
      <c r="G15" s="60">
        <v>2038.9075852711971</v>
      </c>
      <c r="H15" s="61">
        <v>25.103043085336683</v>
      </c>
      <c r="I15" s="59">
        <v>315.76404892603591</v>
      </c>
      <c r="J15" s="60">
        <v>525.57284323374483</v>
      </c>
      <c r="K15" s="60">
        <v>23.490838740766041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281.1916016276607</v>
      </c>
      <c r="V15" s="62">
        <v>127.83043087694318</v>
      </c>
      <c r="W15" s="62">
        <v>31.184795193611436</v>
      </c>
      <c r="X15" s="62">
        <v>14.176688718061767</v>
      </c>
      <c r="Y15" s="66">
        <v>249.26152969495288</v>
      </c>
      <c r="Z15" s="66">
        <v>113.31493742172071</v>
      </c>
      <c r="AA15" s="67">
        <v>0</v>
      </c>
      <c r="AB15" s="68">
        <v>40.193484139441516</v>
      </c>
      <c r="AC15" s="69">
        <v>0</v>
      </c>
      <c r="AD15" s="69">
        <v>16.288944558964843</v>
      </c>
      <c r="AE15" s="68">
        <v>11.000305534022701</v>
      </c>
      <c r="AF15" s="68">
        <v>5.0007674057567568</v>
      </c>
      <c r="AG15" s="68">
        <v>0.68747299480620438</v>
      </c>
      <c r="AH15" s="69">
        <v>225.54508124987282</v>
      </c>
      <c r="AI15" s="69">
        <v>1001.6271040598549</v>
      </c>
      <c r="AJ15" s="69">
        <v>2874.3409510294605</v>
      </c>
      <c r="AK15" s="69">
        <v>454.0148008187611</v>
      </c>
      <c r="AL15" s="69">
        <v>3220.0504570007329</v>
      </c>
      <c r="AM15" s="69">
        <v>2497.7625038146966</v>
      </c>
      <c r="AN15" s="69">
        <v>509.26385389963787</v>
      </c>
      <c r="AO15" s="69">
        <v>2495.0241537729898</v>
      </c>
      <c r="AP15" s="69">
        <v>315.70836520195007</v>
      </c>
      <c r="AQ15" s="69">
        <v>691.29922402699776</v>
      </c>
    </row>
    <row r="16" spans="1:53" x14ac:dyDescent="0.25">
      <c r="A16" s="11">
        <v>42652</v>
      </c>
      <c r="B16" s="59"/>
      <c r="C16" s="60">
        <v>61.296397014458975</v>
      </c>
      <c r="D16" s="60">
        <v>732.71338907877316</v>
      </c>
      <c r="E16" s="60">
        <v>17.967729335526649</v>
      </c>
      <c r="F16" s="60">
        <v>0</v>
      </c>
      <c r="G16" s="60">
        <v>2033.5728726704892</v>
      </c>
      <c r="H16" s="61">
        <v>24.760672228535014</v>
      </c>
      <c r="I16" s="59">
        <v>325.52095915476514</v>
      </c>
      <c r="J16" s="60">
        <v>525.38608118693082</v>
      </c>
      <c r="K16" s="60">
        <v>27.080634688337689</v>
      </c>
      <c r="L16" s="50">
        <v>0</v>
      </c>
      <c r="M16" s="5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282.53921731569102</v>
      </c>
      <c r="V16" s="62">
        <v>128.43641030797076</v>
      </c>
      <c r="W16" s="62">
        <v>30.890941757390287</v>
      </c>
      <c r="X16" s="62">
        <v>14.04237510121915</v>
      </c>
      <c r="Y16" s="66">
        <v>249.02172236772691</v>
      </c>
      <c r="Z16" s="66">
        <v>113.20005914040142</v>
      </c>
      <c r="AA16" s="67">
        <v>0</v>
      </c>
      <c r="AB16" s="68">
        <v>45.176475617621143</v>
      </c>
      <c r="AC16" s="69">
        <v>0</v>
      </c>
      <c r="AD16" s="69">
        <v>16.290316210190461</v>
      </c>
      <c r="AE16" s="68">
        <v>10.998566124992696</v>
      </c>
      <c r="AF16" s="68">
        <v>4.9997177915678277</v>
      </c>
      <c r="AG16" s="68">
        <v>0.68748411906902074</v>
      </c>
      <c r="AH16" s="69">
        <v>234.52197042306264</v>
      </c>
      <c r="AI16" s="69">
        <v>1012.3201507568359</v>
      </c>
      <c r="AJ16" s="69">
        <v>2899.1985656738284</v>
      </c>
      <c r="AK16" s="69">
        <v>507.0720977624257</v>
      </c>
      <c r="AL16" s="69">
        <v>3238.718896484374</v>
      </c>
      <c r="AM16" s="69">
        <v>2488.7106339772545</v>
      </c>
      <c r="AN16" s="69">
        <v>528.63248874346402</v>
      </c>
      <c r="AO16" s="69">
        <v>2527.4520856221516</v>
      </c>
      <c r="AP16" s="69">
        <v>318.33500641187032</v>
      </c>
      <c r="AQ16" s="69">
        <v>680.9465651194256</v>
      </c>
    </row>
    <row r="17" spans="1:43" x14ac:dyDescent="0.25">
      <c r="A17" s="11">
        <v>42653</v>
      </c>
      <c r="B17" s="49"/>
      <c r="C17" s="50">
        <v>61.112791268031224</v>
      </c>
      <c r="D17" s="50">
        <v>747.78557573954095</v>
      </c>
      <c r="E17" s="50">
        <v>17.986162373423578</v>
      </c>
      <c r="F17" s="50">
        <v>0</v>
      </c>
      <c r="G17" s="50">
        <v>2039.0639837900774</v>
      </c>
      <c r="H17" s="51">
        <v>25.023014743129423</v>
      </c>
      <c r="I17" s="49">
        <v>293.39212395350097</v>
      </c>
      <c r="J17" s="50">
        <v>464.84626490275087</v>
      </c>
      <c r="K17" s="50">
        <v>25.79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249.04970416117888</v>
      </c>
      <c r="V17" s="66">
        <v>128.27389580253478</v>
      </c>
      <c r="W17" s="62">
        <v>27.443540696820108</v>
      </c>
      <c r="X17" s="62">
        <v>14.134888823310066</v>
      </c>
      <c r="Y17" s="66">
        <v>221.17322901071222</v>
      </c>
      <c r="Z17" s="66">
        <v>113.91602261879986</v>
      </c>
      <c r="AA17" s="67">
        <v>0</v>
      </c>
      <c r="AB17" s="68">
        <v>48.753824279043883</v>
      </c>
      <c r="AC17" s="69">
        <v>0</v>
      </c>
      <c r="AD17" s="69">
        <v>14.981288993358609</v>
      </c>
      <c r="AE17" s="68">
        <v>9.7066428217916716</v>
      </c>
      <c r="AF17" s="68">
        <v>4.9994393452847605</v>
      </c>
      <c r="AG17" s="68">
        <v>0.66004274364267013</v>
      </c>
      <c r="AH17" s="69">
        <v>225.09157808621728</v>
      </c>
      <c r="AI17" s="69">
        <v>1005.7561725616455</v>
      </c>
      <c r="AJ17" s="69">
        <v>2974.0533767700199</v>
      </c>
      <c r="AK17" s="69">
        <v>536.65839185714731</v>
      </c>
      <c r="AL17" s="69">
        <v>3256.2229802449542</v>
      </c>
      <c r="AM17" s="69">
        <v>2541.2313400268554</v>
      </c>
      <c r="AN17" s="69">
        <v>532.81660178502409</v>
      </c>
      <c r="AO17" s="69">
        <v>2472.9095101674397</v>
      </c>
      <c r="AP17" s="69">
        <v>319.35007375081381</v>
      </c>
      <c r="AQ17" s="69">
        <v>769.39192908604934</v>
      </c>
    </row>
    <row r="18" spans="1:43" x14ac:dyDescent="0.25">
      <c r="A18" s="11">
        <v>42654</v>
      </c>
      <c r="B18" s="59"/>
      <c r="C18" s="60">
        <v>61.016837664446065</v>
      </c>
      <c r="D18" s="60">
        <v>747.93284543355117</v>
      </c>
      <c r="E18" s="60">
        <v>18.023244218528298</v>
      </c>
      <c r="F18" s="60">
        <v>0</v>
      </c>
      <c r="G18" s="60">
        <v>2081.3438987731888</v>
      </c>
      <c r="H18" s="61">
        <v>24.964050394296642</v>
      </c>
      <c r="I18" s="59">
        <v>314.52590840657575</v>
      </c>
      <c r="J18" s="60">
        <v>510.61950146357151</v>
      </c>
      <c r="K18" s="60">
        <v>25.887600798408233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241.64404509495304</v>
      </c>
      <c r="V18" s="62">
        <v>127.05641758543814</v>
      </c>
      <c r="W18" s="62">
        <v>26.486112184304353</v>
      </c>
      <c r="X18" s="62">
        <v>13.926395449063854</v>
      </c>
      <c r="Y18" s="66">
        <v>214.57912897644613</v>
      </c>
      <c r="Z18" s="66">
        <v>112.82568707885098</v>
      </c>
      <c r="AA18" s="67">
        <v>0</v>
      </c>
      <c r="AB18" s="68">
        <v>47.000222680304049</v>
      </c>
      <c r="AC18" s="69">
        <v>0</v>
      </c>
      <c r="AD18" s="69">
        <v>14.631950643989791</v>
      </c>
      <c r="AE18" s="68">
        <v>9.4206213941326951</v>
      </c>
      <c r="AF18" s="68">
        <v>4.9533618976494926</v>
      </c>
      <c r="AG18" s="68">
        <v>0.65539392963665122</v>
      </c>
      <c r="AH18" s="69">
        <v>244.5403806527456</v>
      </c>
      <c r="AI18" s="69">
        <v>1028.5654541015624</v>
      </c>
      <c r="AJ18" s="69">
        <v>2988.0398409525556</v>
      </c>
      <c r="AK18" s="69">
        <v>523.88301599820454</v>
      </c>
      <c r="AL18" s="69">
        <v>3337.391009775798</v>
      </c>
      <c r="AM18" s="69">
        <v>2455.1071212768552</v>
      </c>
      <c r="AN18" s="69">
        <v>545.67481161753335</v>
      </c>
      <c r="AO18" s="69">
        <v>2369.9273924509685</v>
      </c>
      <c r="AP18" s="69">
        <v>325.89144484202069</v>
      </c>
      <c r="AQ18" s="69">
        <v>735.29613695144656</v>
      </c>
    </row>
    <row r="19" spans="1:43" x14ac:dyDescent="0.25">
      <c r="A19" s="11">
        <v>42655</v>
      </c>
      <c r="B19" s="59"/>
      <c r="C19" s="60">
        <v>60.389067594210616</v>
      </c>
      <c r="D19" s="60">
        <v>748.02724199294971</v>
      </c>
      <c r="E19" s="60">
        <v>17.944789302845813</v>
      </c>
      <c r="F19" s="60">
        <v>0</v>
      </c>
      <c r="G19" s="60">
        <v>2078.3547045389751</v>
      </c>
      <c r="H19" s="61">
        <v>24.98333073059716</v>
      </c>
      <c r="I19" s="59">
        <v>408.1679120858505</v>
      </c>
      <c r="J19" s="60">
        <v>723.71064405441189</v>
      </c>
      <c r="K19" s="60">
        <v>33.98357909321782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335.96101442713911</v>
      </c>
      <c r="V19" s="62">
        <v>128.31095235871823</v>
      </c>
      <c r="W19" s="62">
        <v>37.300484545505419</v>
      </c>
      <c r="X19" s="62">
        <v>14.245881188435982</v>
      </c>
      <c r="Y19" s="66">
        <v>297.54833407147527</v>
      </c>
      <c r="Z19" s="66">
        <v>113.64029895719035</v>
      </c>
      <c r="AA19" s="67">
        <v>0</v>
      </c>
      <c r="AB19" s="68">
        <v>49.034676271015449</v>
      </c>
      <c r="AC19" s="69">
        <v>0</v>
      </c>
      <c r="AD19" s="69">
        <v>18.341232158078117</v>
      </c>
      <c r="AE19" s="68">
        <v>13.091461480972299</v>
      </c>
      <c r="AF19" s="68">
        <v>4.999919092562835</v>
      </c>
      <c r="AG19" s="68">
        <v>0.72362976544327762</v>
      </c>
      <c r="AH19" s="69">
        <v>278.96851089795433</v>
      </c>
      <c r="AI19" s="69">
        <v>1054.6291491190593</v>
      </c>
      <c r="AJ19" s="69">
        <v>3026.5897214253741</v>
      </c>
      <c r="AK19" s="69">
        <v>516.26789611180618</v>
      </c>
      <c r="AL19" s="69">
        <v>3226.234363047281</v>
      </c>
      <c r="AM19" s="69">
        <v>2437.9459971110023</v>
      </c>
      <c r="AN19" s="69">
        <v>479.0535368919372</v>
      </c>
      <c r="AO19" s="69">
        <v>2587.1157349904374</v>
      </c>
      <c r="AP19" s="69">
        <v>319.7862212816874</v>
      </c>
      <c r="AQ19" s="69">
        <v>583.76714979807525</v>
      </c>
    </row>
    <row r="20" spans="1:43" x14ac:dyDescent="0.25">
      <c r="A20" s="11">
        <v>42656</v>
      </c>
      <c r="B20" s="59"/>
      <c r="C20" s="60">
        <v>60.950452005863838</v>
      </c>
      <c r="D20" s="60">
        <v>748.03787867228186</v>
      </c>
      <c r="E20" s="60">
        <v>17.965945780277234</v>
      </c>
      <c r="F20" s="60">
        <v>0</v>
      </c>
      <c r="G20" s="60">
        <v>2079.0690900166865</v>
      </c>
      <c r="H20" s="61">
        <v>24.858214294910415</v>
      </c>
      <c r="I20" s="59">
        <v>371.7865417480462</v>
      </c>
      <c r="J20" s="60">
        <v>697.56153834660802</v>
      </c>
      <c r="K20" s="60">
        <v>31.350675938526788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301.00216549110337</v>
      </c>
      <c r="V20" s="62">
        <v>125.41530664889154</v>
      </c>
      <c r="W20" s="62">
        <v>33.980791368671994</v>
      </c>
      <c r="X20" s="62">
        <v>14.158407673648338</v>
      </c>
      <c r="Y20" s="66">
        <v>276.095598721714</v>
      </c>
      <c r="Z20" s="66">
        <v>115.03775769053901</v>
      </c>
      <c r="AA20" s="67">
        <v>0</v>
      </c>
      <c r="AB20" s="68">
        <v>51.802960366673808</v>
      </c>
      <c r="AC20" s="69">
        <v>0</v>
      </c>
      <c r="AD20" s="69">
        <v>17.03898072905011</v>
      </c>
      <c r="AE20" s="68">
        <v>11.89320958273491</v>
      </c>
      <c r="AF20" s="68">
        <v>4.9554146044916747</v>
      </c>
      <c r="AG20" s="68">
        <v>0.70588609791364954</v>
      </c>
      <c r="AH20" s="69">
        <v>203.62907331784564</v>
      </c>
      <c r="AI20" s="69">
        <v>953.04027525583888</v>
      </c>
      <c r="AJ20" s="69">
        <v>3062.1758106231691</v>
      </c>
      <c r="AK20" s="69">
        <v>509.9193703174592</v>
      </c>
      <c r="AL20" s="69">
        <v>3223.1638637542719</v>
      </c>
      <c r="AM20" s="69">
        <v>2649.2846729278558</v>
      </c>
      <c r="AN20" s="69">
        <v>488.10628975232436</v>
      </c>
      <c r="AO20" s="69">
        <v>2651.4959554036463</v>
      </c>
      <c r="AP20" s="69">
        <v>313.5206016222636</v>
      </c>
      <c r="AQ20" s="69">
        <v>732.02515122095735</v>
      </c>
    </row>
    <row r="21" spans="1:43" x14ac:dyDescent="0.25">
      <c r="A21" s="11">
        <v>42657</v>
      </c>
      <c r="B21" s="59"/>
      <c r="C21" s="60">
        <v>60.754083406924515</v>
      </c>
      <c r="D21" s="60">
        <v>748.72299486795725</v>
      </c>
      <c r="E21" s="60">
        <v>18.005911740163988</v>
      </c>
      <c r="F21" s="60">
        <v>0</v>
      </c>
      <c r="G21" s="60">
        <v>2081.556167348223</v>
      </c>
      <c r="H21" s="61">
        <v>24.904747011264138</v>
      </c>
      <c r="I21" s="59">
        <v>371.43091526031435</v>
      </c>
      <c r="J21" s="60">
        <v>697.30821806589734</v>
      </c>
      <c r="K21" s="60">
        <v>31.31415227452915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303.4650860192437</v>
      </c>
      <c r="V21" s="62">
        <v>126.43615488057983</v>
      </c>
      <c r="W21" s="62">
        <v>33.740370280666298</v>
      </c>
      <c r="X21" s="62">
        <v>14.05763917851135</v>
      </c>
      <c r="Y21" s="66">
        <v>288.22537570813438</v>
      </c>
      <c r="Z21" s="66">
        <v>120.08665880343176</v>
      </c>
      <c r="AA21" s="67">
        <v>0</v>
      </c>
      <c r="AB21" s="68">
        <v>51.800656692186955</v>
      </c>
      <c r="AC21" s="69">
        <v>0</v>
      </c>
      <c r="AD21" s="69">
        <v>17.189081499311673</v>
      </c>
      <c r="AE21" s="68">
        <v>12.000231513979401</v>
      </c>
      <c r="AF21" s="68">
        <v>4.9997947052403253</v>
      </c>
      <c r="AG21" s="68">
        <v>0.70589488270390399</v>
      </c>
      <c r="AH21" s="69">
        <v>152.34746324221291</v>
      </c>
      <c r="AI21" s="69">
        <v>904.11753501892088</v>
      </c>
      <c r="AJ21" s="69">
        <v>3057.7922214508048</v>
      </c>
      <c r="AK21" s="69">
        <v>504.24800964991255</v>
      </c>
      <c r="AL21" s="69">
        <v>3243.7382708231607</v>
      </c>
      <c r="AM21" s="69">
        <v>2694.8937992095948</v>
      </c>
      <c r="AN21" s="69">
        <v>518.14125622113545</v>
      </c>
      <c r="AO21" s="69">
        <v>2509.4610392252607</v>
      </c>
      <c r="AP21" s="69">
        <v>306.25159751574193</v>
      </c>
      <c r="AQ21" s="69">
        <v>801.28188378016171</v>
      </c>
    </row>
    <row r="22" spans="1:43" x14ac:dyDescent="0.25">
      <c r="A22" s="11">
        <v>42658</v>
      </c>
      <c r="B22" s="59"/>
      <c r="C22" s="60">
        <v>60.909547777970566</v>
      </c>
      <c r="D22" s="60">
        <v>770.49685554504333</v>
      </c>
      <c r="E22" s="60">
        <v>18.019192023078606</v>
      </c>
      <c r="F22" s="60">
        <v>0</v>
      </c>
      <c r="G22" s="60">
        <v>2125.3070065816223</v>
      </c>
      <c r="H22" s="61">
        <v>24.892743794123337</v>
      </c>
      <c r="I22" s="59">
        <v>371.44705346425286</v>
      </c>
      <c r="J22" s="60">
        <v>697.33252855936678</v>
      </c>
      <c r="K22" s="60">
        <v>31.02678424914679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303.04828320556385</v>
      </c>
      <c r="V22" s="62">
        <v>126.2653509251237</v>
      </c>
      <c r="W22" s="62">
        <v>33.659153394585083</v>
      </c>
      <c r="X22" s="62">
        <v>14.024117775077453</v>
      </c>
      <c r="Y22" s="66">
        <v>290.74382141535443</v>
      </c>
      <c r="Z22" s="66">
        <v>121.13868540023864</v>
      </c>
      <c r="AA22" s="67">
        <v>0</v>
      </c>
      <c r="AB22" s="68">
        <v>51.803848791123301</v>
      </c>
      <c r="AC22" s="69">
        <v>0</v>
      </c>
      <c r="AD22" s="69">
        <v>17.192834468682634</v>
      </c>
      <c r="AE22" s="68">
        <v>11.998739812320455</v>
      </c>
      <c r="AF22" s="68">
        <v>4.9992861765668621</v>
      </c>
      <c r="AG22" s="68">
        <v>0.70589019102363937</v>
      </c>
      <c r="AH22" s="69">
        <v>192.78948806126911</v>
      </c>
      <c r="AI22" s="69">
        <v>922.53583126068088</v>
      </c>
      <c r="AJ22" s="69">
        <v>3053.1349207560224</v>
      </c>
      <c r="AK22" s="69">
        <v>511.6942209720612</v>
      </c>
      <c r="AL22" s="69">
        <v>3397.7936150868727</v>
      </c>
      <c r="AM22" s="69">
        <v>2742.2573688507082</v>
      </c>
      <c r="AN22" s="69">
        <v>558.24160731633503</v>
      </c>
      <c r="AO22" s="69">
        <v>2638.7928943634033</v>
      </c>
      <c r="AP22" s="69">
        <v>305.96317262649541</v>
      </c>
      <c r="AQ22" s="69">
        <v>816.03847328821837</v>
      </c>
    </row>
    <row r="23" spans="1:43" x14ac:dyDescent="0.25">
      <c r="A23" s="11">
        <v>42659</v>
      </c>
      <c r="B23" s="59"/>
      <c r="C23" s="60">
        <v>61.079558285077304</v>
      </c>
      <c r="D23" s="60">
        <v>804.57067785263132</v>
      </c>
      <c r="E23" s="60">
        <v>17.996423115829614</v>
      </c>
      <c r="F23" s="60">
        <v>0</v>
      </c>
      <c r="G23" s="60">
        <v>2303.1284138997357</v>
      </c>
      <c r="H23" s="61">
        <v>24.994727833072318</v>
      </c>
      <c r="I23" s="59">
        <v>381.97822537422104</v>
      </c>
      <c r="J23" s="60">
        <v>717.57112560272185</v>
      </c>
      <c r="K23" s="60">
        <v>31.930239824453967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301.01644576671612</v>
      </c>
      <c r="V23" s="62">
        <v>125.13260517898891</v>
      </c>
      <c r="W23" s="62">
        <v>33.08034254104367</v>
      </c>
      <c r="X23" s="62">
        <v>13.751505941247254</v>
      </c>
      <c r="Y23" s="66">
        <v>293.05503313636308</v>
      </c>
      <c r="Z23" s="66">
        <v>121.82304413223784</v>
      </c>
      <c r="AA23" s="67">
        <v>0</v>
      </c>
      <c r="AB23" s="68">
        <v>51.804807753034176</v>
      </c>
      <c r="AC23" s="69">
        <v>0</v>
      </c>
      <c r="AD23" s="69">
        <v>17.062338046232856</v>
      </c>
      <c r="AE23" s="68">
        <v>11.913412418701942</v>
      </c>
      <c r="AF23" s="68">
        <v>4.952408260375285</v>
      </c>
      <c r="AG23" s="68">
        <v>0.7063642288976214</v>
      </c>
      <c r="AH23" s="69">
        <v>216.87739901542665</v>
      </c>
      <c r="AI23" s="69">
        <v>961.87606105804434</v>
      </c>
      <c r="AJ23" s="69">
        <v>3073.5266868591302</v>
      </c>
      <c r="AK23" s="69">
        <v>513.45710430145255</v>
      </c>
      <c r="AL23" s="69">
        <v>3442.9117908477783</v>
      </c>
      <c r="AM23" s="69">
        <v>2658.2126190185545</v>
      </c>
      <c r="AN23" s="69">
        <v>561.30844836235053</v>
      </c>
      <c r="AO23" s="69">
        <v>2620.2908686319988</v>
      </c>
      <c r="AP23" s="69">
        <v>307.35899696350094</v>
      </c>
      <c r="AQ23" s="69">
        <v>796.79914496739696</v>
      </c>
    </row>
    <row r="24" spans="1:43" x14ac:dyDescent="0.25">
      <c r="A24" s="11">
        <v>42660</v>
      </c>
      <c r="B24" s="59"/>
      <c r="C24" s="60">
        <v>61.944194769859756</v>
      </c>
      <c r="D24" s="60">
        <v>779.20251681009927</v>
      </c>
      <c r="E24" s="60">
        <v>17.820211778581125</v>
      </c>
      <c r="F24" s="60">
        <v>0</v>
      </c>
      <c r="G24" s="60">
        <v>2312.1120742797902</v>
      </c>
      <c r="H24" s="61">
        <v>24.985257144769033</v>
      </c>
      <c r="I24" s="59">
        <v>371.58343040148355</v>
      </c>
      <c r="J24" s="60">
        <v>694.56097141901739</v>
      </c>
      <c r="K24" s="60">
        <v>30.831563444932293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303.58422466977555</v>
      </c>
      <c r="V24" s="62">
        <v>126.50129094590071</v>
      </c>
      <c r="W24" s="62">
        <v>33.45862673866295</v>
      </c>
      <c r="X24" s="62">
        <v>13.941961181684821</v>
      </c>
      <c r="Y24" s="66">
        <v>282.75563042428212</v>
      </c>
      <c r="Z24" s="66">
        <v>117.82217046950132</v>
      </c>
      <c r="AA24" s="67">
        <v>0</v>
      </c>
      <c r="AB24" s="68">
        <v>51.48140943580318</v>
      </c>
      <c r="AC24" s="69">
        <v>0</v>
      </c>
      <c r="AD24" s="69">
        <v>17.181185672018263</v>
      </c>
      <c r="AE24" s="68">
        <v>11.999634498803431</v>
      </c>
      <c r="AF24" s="68">
        <v>5.0001585445646084</v>
      </c>
      <c r="AG24" s="68">
        <v>0.70586944606862312</v>
      </c>
      <c r="AH24" s="69">
        <v>244.43138667742414</v>
      </c>
      <c r="AI24" s="69">
        <v>989.8566944758096</v>
      </c>
      <c r="AJ24" s="69">
        <v>3063.2265363057454</v>
      </c>
      <c r="AK24" s="69">
        <v>496.26368910471604</v>
      </c>
      <c r="AL24" s="69">
        <v>3466.4160947163905</v>
      </c>
      <c r="AM24" s="69">
        <v>2596.6810070037836</v>
      </c>
      <c r="AN24" s="69">
        <v>483.54849818547569</v>
      </c>
      <c r="AO24" s="69">
        <v>2567.0162324269613</v>
      </c>
      <c r="AP24" s="69">
        <v>309.6078762690226</v>
      </c>
      <c r="AQ24" s="69">
        <v>666.61571362813311</v>
      </c>
    </row>
    <row r="25" spans="1:43" x14ac:dyDescent="0.25">
      <c r="A25" s="11">
        <v>42661</v>
      </c>
      <c r="B25" s="59"/>
      <c r="C25" s="60">
        <v>61.224839230379054</v>
      </c>
      <c r="D25" s="60">
        <v>764.72030595143701</v>
      </c>
      <c r="E25" s="60">
        <v>17.340849534173802</v>
      </c>
      <c r="F25" s="60">
        <v>0</v>
      </c>
      <c r="G25" s="60">
        <v>2311.0898174285926</v>
      </c>
      <c r="H25" s="61">
        <v>25.027491353948903</v>
      </c>
      <c r="I25" s="59">
        <v>346.64524145126438</v>
      </c>
      <c r="J25" s="60">
        <v>643.65277191797941</v>
      </c>
      <c r="K25" s="60">
        <v>28.683421252171115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279.67084480007804</v>
      </c>
      <c r="V25" s="62">
        <v>126.12992882052275</v>
      </c>
      <c r="W25" s="62">
        <v>31.426342988630168</v>
      </c>
      <c r="X25" s="62">
        <v>14.173098404586186</v>
      </c>
      <c r="Y25" s="66">
        <v>260.36827770741866</v>
      </c>
      <c r="Z25" s="66">
        <v>117.42458302306973</v>
      </c>
      <c r="AA25" s="67">
        <v>0</v>
      </c>
      <c r="AB25" s="68">
        <v>49.117220608394057</v>
      </c>
      <c r="AC25" s="69">
        <v>0</v>
      </c>
      <c r="AD25" s="69">
        <v>16.257254734304219</v>
      </c>
      <c r="AE25" s="68">
        <v>11.086255812198264</v>
      </c>
      <c r="AF25" s="68">
        <v>4.9998370673147976</v>
      </c>
      <c r="AG25" s="68">
        <v>0.68918263093690746</v>
      </c>
      <c r="AH25" s="69">
        <v>220.60138496557869</v>
      </c>
      <c r="AI25" s="69">
        <v>986.15355472564681</v>
      </c>
      <c r="AJ25" s="69">
        <v>3085.46633605957</v>
      </c>
      <c r="AK25" s="69">
        <v>487.81850385665888</v>
      </c>
      <c r="AL25" s="69">
        <v>3454.1105985005702</v>
      </c>
      <c r="AM25" s="69">
        <v>2575.1260890960693</v>
      </c>
      <c r="AN25" s="69">
        <v>483.64528576532996</v>
      </c>
      <c r="AO25" s="69">
        <v>2551.4985198974605</v>
      </c>
      <c r="AP25" s="69">
        <v>310.38708073298136</v>
      </c>
      <c r="AQ25" s="69">
        <v>633.17726335525504</v>
      </c>
    </row>
    <row r="26" spans="1:43" x14ac:dyDescent="0.25">
      <c r="A26" s="11">
        <v>42662</v>
      </c>
      <c r="B26" s="59"/>
      <c r="C26" s="60">
        <v>61.033576595783096</v>
      </c>
      <c r="D26" s="60">
        <v>758.57864065170395</v>
      </c>
      <c r="E26" s="60">
        <v>17.221206948161104</v>
      </c>
      <c r="F26" s="60">
        <v>0</v>
      </c>
      <c r="G26" s="60">
        <v>2419.0378843943272</v>
      </c>
      <c r="H26" s="61">
        <v>25.038246450821582</v>
      </c>
      <c r="I26" s="59">
        <v>344.35875372886704</v>
      </c>
      <c r="J26" s="60">
        <v>639.66271702448739</v>
      </c>
      <c r="K26" s="60">
        <v>28.352693307399658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277.37971171515471</v>
      </c>
      <c r="V26" s="62">
        <v>126.08954070166449</v>
      </c>
      <c r="W26" s="62">
        <v>31.409093838143132</v>
      </c>
      <c r="X26" s="62">
        <v>14.27775013326821</v>
      </c>
      <c r="Y26" s="66">
        <v>261.49167034365081</v>
      </c>
      <c r="Z26" s="66">
        <v>118.86725387039399</v>
      </c>
      <c r="AA26" s="67">
        <v>0</v>
      </c>
      <c r="AB26" s="68">
        <v>48.748344355160015</v>
      </c>
      <c r="AC26" s="69">
        <v>0</v>
      </c>
      <c r="AD26" s="69">
        <v>16.172908985614782</v>
      </c>
      <c r="AE26" s="68">
        <v>10.998788228359047</v>
      </c>
      <c r="AF26" s="68">
        <v>4.9997606076280903</v>
      </c>
      <c r="AG26" s="68">
        <v>0.68748661776237929</v>
      </c>
      <c r="AH26" s="69">
        <v>235.1675130605698</v>
      </c>
      <c r="AI26" s="69">
        <v>1016.1103728612264</v>
      </c>
      <c r="AJ26" s="69">
        <v>3044.1469722747806</v>
      </c>
      <c r="AK26" s="69">
        <v>491.62420713106786</v>
      </c>
      <c r="AL26" s="69">
        <v>3394.3836348215746</v>
      </c>
      <c r="AM26" s="69">
        <v>2532.8433850606284</v>
      </c>
      <c r="AN26" s="69">
        <v>488.47939429283144</v>
      </c>
      <c r="AO26" s="69">
        <v>2510.9035738627117</v>
      </c>
      <c r="AP26" s="69">
        <v>308.41695337295533</v>
      </c>
      <c r="AQ26" s="69">
        <v>582.39261255264285</v>
      </c>
    </row>
    <row r="27" spans="1:43" x14ac:dyDescent="0.25">
      <c r="A27" s="11">
        <v>42663</v>
      </c>
      <c r="B27" s="59"/>
      <c r="C27" s="60">
        <v>61.901171131928955</v>
      </c>
      <c r="D27" s="60">
        <v>740.01778910954704</v>
      </c>
      <c r="E27" s="60">
        <v>17.190280120571444</v>
      </c>
      <c r="F27" s="60">
        <v>0</v>
      </c>
      <c r="G27" s="60">
        <v>2424.9498266855885</v>
      </c>
      <c r="H27" s="61">
        <v>24.971345293521917</v>
      </c>
      <c r="I27" s="59">
        <v>344.06823426882437</v>
      </c>
      <c r="J27" s="60">
        <v>639.33345985412757</v>
      </c>
      <c r="K27" s="60">
        <v>28.001650549967994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277.2653296042285</v>
      </c>
      <c r="V27" s="62">
        <v>126.04334813268433</v>
      </c>
      <c r="W27" s="62">
        <v>31.612848213484881</v>
      </c>
      <c r="X27" s="62">
        <v>14.371033113031579</v>
      </c>
      <c r="Y27" s="62">
        <v>267.6385009797969</v>
      </c>
      <c r="Z27" s="62">
        <v>121.66704290384473</v>
      </c>
      <c r="AA27" s="72">
        <v>0</v>
      </c>
      <c r="AB27" s="69">
        <v>48.748522689608251</v>
      </c>
      <c r="AC27" s="69">
        <v>0</v>
      </c>
      <c r="AD27" s="69">
        <v>16.170891517400754</v>
      </c>
      <c r="AE27" s="69">
        <v>10.997659017643494</v>
      </c>
      <c r="AF27" s="69">
        <v>4.9994774542639151</v>
      </c>
      <c r="AG27" s="69">
        <v>0.68747672666020543</v>
      </c>
      <c r="AH27" s="69">
        <v>239.75319668451942</v>
      </c>
      <c r="AI27" s="69">
        <v>1025.0147794087729</v>
      </c>
      <c r="AJ27" s="69">
        <v>3096.6418235778806</v>
      </c>
      <c r="AK27" s="69">
        <v>493.45267071723941</v>
      </c>
      <c r="AL27" s="69">
        <v>3474.0366247812908</v>
      </c>
      <c r="AM27" s="69">
        <v>2342.1773991902669</v>
      </c>
      <c r="AN27" s="69">
        <v>491.49958456357325</v>
      </c>
      <c r="AO27" s="69">
        <v>2551.6773512522382</v>
      </c>
      <c r="AP27" s="69">
        <v>318.70617346763612</v>
      </c>
      <c r="AQ27" s="69">
        <v>607.62445383071906</v>
      </c>
    </row>
    <row r="28" spans="1:43" x14ac:dyDescent="0.25">
      <c r="A28" s="11">
        <v>42664</v>
      </c>
      <c r="B28" s="59"/>
      <c r="C28" s="60">
        <v>59.124102677901988</v>
      </c>
      <c r="D28" s="60">
        <v>710.8687952677401</v>
      </c>
      <c r="E28" s="60">
        <v>16.207413795590409</v>
      </c>
      <c r="F28" s="60">
        <v>0</v>
      </c>
      <c r="G28" s="60">
        <v>2463.0648092905699</v>
      </c>
      <c r="H28" s="61">
        <v>23.106368243694295</v>
      </c>
      <c r="I28" s="59">
        <v>331.14647277196292</v>
      </c>
      <c r="J28" s="60">
        <v>640.36429869334052</v>
      </c>
      <c r="K28" s="60">
        <v>28.998938784996579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271.01080676374829</v>
      </c>
      <c r="V28" s="62">
        <v>90.460028794823998</v>
      </c>
      <c r="W28" s="62">
        <v>30.607439189542468</v>
      </c>
      <c r="X28" s="62">
        <v>10.216381639849047</v>
      </c>
      <c r="Y28" s="66">
        <v>257.06332275611464</v>
      </c>
      <c r="Z28" s="66">
        <v>85.80453250664182</v>
      </c>
      <c r="AA28" s="67">
        <v>0</v>
      </c>
      <c r="AB28" s="68">
        <v>48.75020224783227</v>
      </c>
      <c r="AC28" s="69">
        <v>0</v>
      </c>
      <c r="AD28" s="69">
        <v>14.494293157921884</v>
      </c>
      <c r="AE28" s="68">
        <v>10.737958801187135</v>
      </c>
      <c r="AF28" s="68">
        <v>3.5841967851850067</v>
      </c>
      <c r="AG28" s="68">
        <v>0.74974459929792603</v>
      </c>
      <c r="AH28" s="69">
        <v>231.16621793111162</v>
      </c>
      <c r="AI28" s="69">
        <v>1010.559818013509</v>
      </c>
      <c r="AJ28" s="69">
        <v>2978.7159361521408</v>
      </c>
      <c r="AK28" s="69">
        <v>500.08029899597165</v>
      </c>
      <c r="AL28" s="69">
        <v>3639.2507444381722</v>
      </c>
      <c r="AM28" s="69">
        <v>2201.4230958302815</v>
      </c>
      <c r="AN28" s="69">
        <v>498.99998067220059</v>
      </c>
      <c r="AO28" s="69">
        <v>2349.5992963155113</v>
      </c>
      <c r="AP28" s="69">
        <v>294.36846628189085</v>
      </c>
      <c r="AQ28" s="69">
        <v>705.09382451375325</v>
      </c>
    </row>
    <row r="29" spans="1:43" x14ac:dyDescent="0.25">
      <c r="A29" s="11">
        <v>42665</v>
      </c>
      <c r="B29" s="59"/>
      <c r="C29" s="60">
        <v>61.615971553325338</v>
      </c>
      <c r="D29" s="60">
        <v>693.4326094945269</v>
      </c>
      <c r="E29" s="60">
        <v>16.175685474276499</v>
      </c>
      <c r="F29" s="60">
        <v>0</v>
      </c>
      <c r="G29" s="60">
        <v>3064.3068673451885</v>
      </c>
      <c r="H29" s="61">
        <v>24.886590664585444</v>
      </c>
      <c r="I29" s="59">
        <v>329.62680026690208</v>
      </c>
      <c r="J29" s="60">
        <v>639.64897670745961</v>
      </c>
      <c r="K29" s="60">
        <v>28.55073745350035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277.1909580534836</v>
      </c>
      <c r="V29" s="62">
        <v>126.00136090522273</v>
      </c>
      <c r="W29" s="62">
        <v>31.326522904311087</v>
      </c>
      <c r="X29" s="62">
        <v>14.239946880266647</v>
      </c>
      <c r="Y29" s="66">
        <v>282.26003014229099</v>
      </c>
      <c r="Z29" s="66">
        <v>128.30558462955204</v>
      </c>
      <c r="AA29" s="67">
        <v>0</v>
      </c>
      <c r="AB29" s="68">
        <v>48.719508806864695</v>
      </c>
      <c r="AC29" s="69">
        <v>0</v>
      </c>
      <c r="AD29" s="69">
        <v>16.196407006846556</v>
      </c>
      <c r="AE29" s="68">
        <v>11.000188527211357</v>
      </c>
      <c r="AF29" s="68">
        <v>5.0003028034385402</v>
      </c>
      <c r="AG29" s="68">
        <v>0.6874906713733121</v>
      </c>
      <c r="AH29" s="69">
        <v>227.80646273295085</v>
      </c>
      <c r="AI29" s="69">
        <v>972.21405652364115</v>
      </c>
      <c r="AJ29" s="69">
        <v>2932.8818470637007</v>
      </c>
      <c r="AK29" s="69">
        <v>511.64359292984005</v>
      </c>
      <c r="AL29" s="69">
        <v>3965.743619537353</v>
      </c>
      <c r="AM29" s="69">
        <v>2235.4905236562095</v>
      </c>
      <c r="AN29" s="69">
        <v>513.07577215830486</v>
      </c>
      <c r="AO29" s="69">
        <v>2120.5483544667563</v>
      </c>
      <c r="AP29" s="69">
        <v>305.15904353459672</v>
      </c>
      <c r="AQ29" s="69">
        <v>735.98220911025987</v>
      </c>
    </row>
    <row r="30" spans="1:43" x14ac:dyDescent="0.25">
      <c r="A30" s="11">
        <v>42666</v>
      </c>
      <c r="B30" s="59"/>
      <c r="C30" s="60">
        <v>60.793119084835205</v>
      </c>
      <c r="D30" s="60">
        <v>702.18950080871707</v>
      </c>
      <c r="E30" s="60">
        <v>16.191535896062849</v>
      </c>
      <c r="F30" s="60">
        <v>0</v>
      </c>
      <c r="G30" s="60">
        <v>2247.724903742464</v>
      </c>
      <c r="H30" s="61">
        <v>24.901197855671256</v>
      </c>
      <c r="I30" s="59">
        <v>329.87930944760689</v>
      </c>
      <c r="J30" s="60">
        <v>640.02604939143009</v>
      </c>
      <c r="K30" s="60">
        <v>28.575865928331929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277.44704611476249</v>
      </c>
      <c r="V30" s="62">
        <v>126.10506099684595</v>
      </c>
      <c r="W30" s="62">
        <v>31.182476651482624</v>
      </c>
      <c r="X30" s="62">
        <v>14.173040135887435</v>
      </c>
      <c r="Y30" s="66">
        <v>285.18177949098799</v>
      </c>
      <c r="Z30" s="66">
        <v>129.62064726046685</v>
      </c>
      <c r="AA30" s="67">
        <v>0</v>
      </c>
      <c r="AB30" s="68">
        <v>48.755265426635724</v>
      </c>
      <c r="AC30" s="69">
        <v>0</v>
      </c>
      <c r="AD30" s="69">
        <v>16.180172185765361</v>
      </c>
      <c r="AE30" s="68">
        <v>10.999455273577365</v>
      </c>
      <c r="AF30" s="68">
        <v>4.9994656552688657</v>
      </c>
      <c r="AG30" s="68">
        <v>0.68751232176822785</v>
      </c>
      <c r="AH30" s="69">
        <v>317.5704132000605</v>
      </c>
      <c r="AI30" s="69">
        <v>1078.5717115402219</v>
      </c>
      <c r="AJ30" s="69">
        <v>2951.3297831217451</v>
      </c>
      <c r="AK30" s="69">
        <v>503.55348566373192</v>
      </c>
      <c r="AL30" s="69">
        <v>3718.5525850931804</v>
      </c>
      <c r="AM30" s="69">
        <v>2207.6033182779952</v>
      </c>
      <c r="AN30" s="69">
        <v>521.20460155804949</v>
      </c>
      <c r="AO30" s="69">
        <v>2117.2062035878498</v>
      </c>
      <c r="AP30" s="69">
        <v>311.48286587397251</v>
      </c>
      <c r="AQ30" s="69">
        <v>678.24530086517336</v>
      </c>
    </row>
    <row r="31" spans="1:43" x14ac:dyDescent="0.25">
      <c r="A31" s="11">
        <v>42667</v>
      </c>
      <c r="B31" s="59"/>
      <c r="C31" s="60">
        <v>61.864790737629328</v>
      </c>
      <c r="D31" s="60">
        <v>728.98185151417999</v>
      </c>
      <c r="E31" s="60">
        <v>16.836003506183612</v>
      </c>
      <c r="F31" s="60">
        <v>0</v>
      </c>
      <c r="G31" s="60">
        <v>2267.1502353668238</v>
      </c>
      <c r="H31" s="61">
        <v>24.958557119965587</v>
      </c>
      <c r="I31" s="59">
        <v>331.25378600756369</v>
      </c>
      <c r="J31" s="60">
        <v>642.67017485300767</v>
      </c>
      <c r="K31" s="60">
        <v>28.735829162597593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275.08427158825435</v>
      </c>
      <c r="V31" s="62">
        <v>125.02829836905219</v>
      </c>
      <c r="W31" s="62">
        <v>31.154494568481908</v>
      </c>
      <c r="X31" s="62">
        <v>14.160000569845339</v>
      </c>
      <c r="Y31" s="66">
        <v>274.49403219134643</v>
      </c>
      <c r="Z31" s="66">
        <v>124.76002920557114</v>
      </c>
      <c r="AA31" s="67">
        <v>0</v>
      </c>
      <c r="AB31" s="68">
        <v>48.755878268347843</v>
      </c>
      <c r="AC31" s="69">
        <v>0</v>
      </c>
      <c r="AD31" s="69">
        <v>16.052482980489735</v>
      </c>
      <c r="AE31" s="68">
        <v>10.914638180370568</v>
      </c>
      <c r="AF31" s="68">
        <v>4.9608021248419796</v>
      </c>
      <c r="AG31" s="68">
        <v>0.68751719451755</v>
      </c>
      <c r="AH31" s="69">
        <v>267.8772228002548</v>
      </c>
      <c r="AI31" s="69">
        <v>1023.7462583541869</v>
      </c>
      <c r="AJ31" s="69">
        <v>3021.0494440714519</v>
      </c>
      <c r="AK31" s="69">
        <v>501.1881331602732</v>
      </c>
      <c r="AL31" s="69">
        <v>3838.9450897216802</v>
      </c>
      <c r="AM31" s="69">
        <v>2435.7841995239255</v>
      </c>
      <c r="AN31" s="69">
        <v>520.41173752148939</v>
      </c>
      <c r="AO31" s="69">
        <v>2102.5826752980552</v>
      </c>
      <c r="AP31" s="69">
        <v>309.19663112958273</v>
      </c>
      <c r="AQ31" s="69">
        <v>783.76561285654691</v>
      </c>
    </row>
    <row r="32" spans="1:43" x14ac:dyDescent="0.25">
      <c r="A32" s="11">
        <v>42668</v>
      </c>
      <c r="B32" s="59"/>
      <c r="C32" s="60">
        <v>60.914431524276388</v>
      </c>
      <c r="D32" s="60">
        <v>747.68730061849112</v>
      </c>
      <c r="E32" s="60">
        <v>17.096976719299935</v>
      </c>
      <c r="F32" s="60">
        <v>0</v>
      </c>
      <c r="G32" s="60">
        <v>2637.6371059417784</v>
      </c>
      <c r="H32" s="61">
        <v>24.879082362850564</v>
      </c>
      <c r="I32" s="59">
        <v>330.94806928634699</v>
      </c>
      <c r="J32" s="60">
        <v>642.71829020182349</v>
      </c>
      <c r="K32" s="60">
        <v>28.625357737143709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267.27071018268424</v>
      </c>
      <c r="V32" s="62">
        <v>124.78586234996584</v>
      </c>
      <c r="W32" s="62">
        <v>29.901043447325627</v>
      </c>
      <c r="X32" s="62">
        <v>13.960480327934041</v>
      </c>
      <c r="Y32" s="66">
        <v>263.99964397923117</v>
      </c>
      <c r="Z32" s="66">
        <v>123.25863620265355</v>
      </c>
      <c r="AA32" s="67">
        <v>0</v>
      </c>
      <c r="AB32" s="68">
        <v>48.757991629176303</v>
      </c>
      <c r="AC32" s="69">
        <v>0</v>
      </c>
      <c r="AD32" s="69">
        <v>15.767743760678497</v>
      </c>
      <c r="AE32" s="68">
        <v>10.605778306258157</v>
      </c>
      <c r="AF32" s="68">
        <v>4.9517255030840541</v>
      </c>
      <c r="AG32" s="68">
        <v>0.68171465269958254</v>
      </c>
      <c r="AH32" s="69">
        <v>312.09317191441846</v>
      </c>
      <c r="AI32" s="69">
        <v>1104.3958475112915</v>
      </c>
      <c r="AJ32" s="69">
        <v>2989.002661514282</v>
      </c>
      <c r="AK32" s="69">
        <v>497.48481416702271</v>
      </c>
      <c r="AL32" s="69">
        <v>3949.851940663656</v>
      </c>
      <c r="AM32" s="69">
        <v>2570.0291845957436</v>
      </c>
      <c r="AN32" s="69">
        <v>517.32195118268328</v>
      </c>
      <c r="AO32" s="69">
        <v>1981.5599662780762</v>
      </c>
      <c r="AP32" s="69">
        <v>308.87663617134092</v>
      </c>
      <c r="AQ32" s="69">
        <v>797.72276643117266</v>
      </c>
    </row>
    <row r="33" spans="1:43" x14ac:dyDescent="0.25">
      <c r="A33" s="11">
        <v>42669</v>
      </c>
      <c r="B33" s="59"/>
      <c r="C33" s="60">
        <v>60.565786159038723</v>
      </c>
      <c r="D33" s="60">
        <v>747.42377049128004</v>
      </c>
      <c r="E33" s="60">
        <v>17.063606407245008</v>
      </c>
      <c r="F33" s="60">
        <v>0</v>
      </c>
      <c r="G33" s="60">
        <v>2637.5247586568262</v>
      </c>
      <c r="H33" s="61">
        <v>24.855413891871748</v>
      </c>
      <c r="I33" s="59">
        <v>332.6587823073076</v>
      </c>
      <c r="J33" s="60">
        <v>646.18269224167057</v>
      </c>
      <c r="K33" s="60">
        <v>28.655512334902966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277.37190147008175</v>
      </c>
      <c r="V33" s="62">
        <v>126.07912553118959</v>
      </c>
      <c r="W33" s="62">
        <v>31.107136009509112</v>
      </c>
      <c r="X33" s="62">
        <v>14.13971813681251</v>
      </c>
      <c r="Y33" s="66">
        <v>276.72908942242873</v>
      </c>
      <c r="Z33" s="66">
        <v>125.78693594594515</v>
      </c>
      <c r="AA33" s="67">
        <v>0</v>
      </c>
      <c r="AB33" s="68">
        <v>48.756888535287658</v>
      </c>
      <c r="AC33" s="69">
        <v>0</v>
      </c>
      <c r="AD33" s="69">
        <v>16.286634450488602</v>
      </c>
      <c r="AE33" s="68">
        <v>11.000816764424966</v>
      </c>
      <c r="AF33" s="68">
        <v>5.0004104613212004</v>
      </c>
      <c r="AG33" s="68">
        <v>0.68749831554947982</v>
      </c>
      <c r="AH33" s="69">
        <v>306.76259640852612</v>
      </c>
      <c r="AI33" s="69">
        <v>1084.1224350611367</v>
      </c>
      <c r="AJ33" s="69">
        <v>3001.9622873942058</v>
      </c>
      <c r="AK33" s="69">
        <v>511.3321089903514</v>
      </c>
      <c r="AL33" s="69">
        <v>3894.8691998799641</v>
      </c>
      <c r="AM33" s="69">
        <v>2525.9951661427813</v>
      </c>
      <c r="AN33" s="69">
        <v>504.98767630259192</v>
      </c>
      <c r="AO33" s="69">
        <v>2166.8053385416665</v>
      </c>
      <c r="AP33" s="69">
        <v>310.09316895802817</v>
      </c>
      <c r="AQ33" s="69">
        <v>761.98635943730676</v>
      </c>
    </row>
    <row r="34" spans="1:43" x14ac:dyDescent="0.25">
      <c r="A34" s="11">
        <v>42670</v>
      </c>
      <c r="B34" s="59"/>
      <c r="C34" s="60">
        <v>61.252026279767598</v>
      </c>
      <c r="D34" s="60">
        <v>734.31210053761777</v>
      </c>
      <c r="E34" s="60">
        <v>17.072982515891368</v>
      </c>
      <c r="F34" s="60">
        <v>0</v>
      </c>
      <c r="G34" s="60">
        <v>2550.147159830723</v>
      </c>
      <c r="H34" s="61">
        <v>24.86410017907621</v>
      </c>
      <c r="I34" s="59">
        <v>329.51820354461739</v>
      </c>
      <c r="J34" s="60">
        <v>646.0762369791679</v>
      </c>
      <c r="K34" s="60">
        <v>28.717367527882129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277.30850429738018</v>
      </c>
      <c r="V34" s="62">
        <v>126.06948403049336</v>
      </c>
      <c r="W34" s="62">
        <v>30.906709959670383</v>
      </c>
      <c r="X34" s="62">
        <v>14.050751842494309</v>
      </c>
      <c r="Y34" s="66">
        <v>278.96032434207723</v>
      </c>
      <c r="Z34" s="66">
        <v>126.82043143210231</v>
      </c>
      <c r="AA34" s="67">
        <v>0</v>
      </c>
      <c r="AB34" s="68">
        <v>48.756041683091006</v>
      </c>
      <c r="AC34" s="69">
        <v>0</v>
      </c>
      <c r="AD34" s="69">
        <v>16.283906513452532</v>
      </c>
      <c r="AE34" s="68">
        <v>10.999087618586804</v>
      </c>
      <c r="AF34" s="68">
        <v>5.0003850563284962</v>
      </c>
      <c r="AG34" s="68">
        <v>0.68746563352876455</v>
      </c>
      <c r="AH34" s="69">
        <v>267.0599986950557</v>
      </c>
      <c r="AI34" s="69">
        <v>1053.1166105906168</v>
      </c>
      <c r="AJ34" s="69">
        <v>3019.4212760925298</v>
      </c>
      <c r="AK34" s="69">
        <v>526.78191905021663</v>
      </c>
      <c r="AL34" s="69">
        <v>3863.4179824829107</v>
      </c>
      <c r="AM34" s="69">
        <v>2537.6780672709147</v>
      </c>
      <c r="AN34" s="69">
        <v>496.59627140363045</v>
      </c>
      <c r="AO34" s="69">
        <v>2039.8535016377768</v>
      </c>
      <c r="AP34" s="69">
        <v>309.29588932991027</v>
      </c>
      <c r="AQ34" s="69">
        <v>833.96757383346539</v>
      </c>
    </row>
    <row r="35" spans="1:43" x14ac:dyDescent="0.25">
      <c r="A35" s="11">
        <v>42671</v>
      </c>
      <c r="B35" s="59"/>
      <c r="C35" s="60">
        <v>60.433982221285838</v>
      </c>
      <c r="D35" s="60">
        <v>714.66699218749909</v>
      </c>
      <c r="E35" s="60">
        <v>16.726229322950047</v>
      </c>
      <c r="F35" s="60">
        <v>0</v>
      </c>
      <c r="G35" s="60">
        <v>2337.8925022125222</v>
      </c>
      <c r="H35" s="61">
        <v>24.886858797073408</v>
      </c>
      <c r="I35" s="59">
        <v>328.83819979031898</v>
      </c>
      <c r="J35" s="60">
        <v>646.00560909907199</v>
      </c>
      <c r="K35" s="60">
        <v>28.875295760234099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277.25079973994787</v>
      </c>
      <c r="V35" s="62">
        <v>126.00124483182188</v>
      </c>
      <c r="W35" s="62">
        <v>30.79911479948138</v>
      </c>
      <c r="X35" s="62">
        <v>13.997170821843746</v>
      </c>
      <c r="Y35" s="66">
        <v>283.84352740136444</v>
      </c>
      <c r="Z35" s="66">
        <v>128.9974197498197</v>
      </c>
      <c r="AA35" s="67">
        <v>0</v>
      </c>
      <c r="AB35" s="68">
        <v>48.7546042972143</v>
      </c>
      <c r="AC35" s="69">
        <v>0</v>
      </c>
      <c r="AD35" s="69">
        <v>16.284866192605751</v>
      </c>
      <c r="AE35" s="68">
        <v>11.000530757672248</v>
      </c>
      <c r="AF35" s="68">
        <v>4.9993744673686988</v>
      </c>
      <c r="AG35" s="68">
        <v>0.68753724493665525</v>
      </c>
      <c r="AH35" s="69">
        <v>214.30493508974712</v>
      </c>
      <c r="AI35" s="69">
        <v>997.11991227467854</v>
      </c>
      <c r="AJ35" s="69">
        <v>3014.2016123453777</v>
      </c>
      <c r="AK35" s="69">
        <v>530.93740159670517</v>
      </c>
      <c r="AL35" s="69">
        <v>3825.0197026570631</v>
      </c>
      <c r="AM35" s="69">
        <v>2577.6271200815827</v>
      </c>
      <c r="AN35" s="69">
        <v>585.05757673581434</v>
      </c>
      <c r="AO35" s="69">
        <v>1950.5300903320312</v>
      </c>
      <c r="AP35" s="69">
        <v>309.84516727129619</v>
      </c>
      <c r="AQ35" s="69">
        <v>873.88346621195467</v>
      </c>
    </row>
    <row r="36" spans="1:43" x14ac:dyDescent="0.25">
      <c r="A36" s="11">
        <v>42672</v>
      </c>
      <c r="B36" s="59"/>
      <c r="C36" s="60">
        <v>61.312312293052763</v>
      </c>
      <c r="D36" s="60">
        <v>714.817714500428</v>
      </c>
      <c r="E36" s="60">
        <v>16.430401997764868</v>
      </c>
      <c r="F36" s="60">
        <v>0</v>
      </c>
      <c r="G36" s="60">
        <v>2289.0526827494296</v>
      </c>
      <c r="H36" s="61">
        <v>24.919854473074302</v>
      </c>
      <c r="I36" s="59">
        <v>328.8329352060959</v>
      </c>
      <c r="J36" s="60">
        <v>646.10269231796474</v>
      </c>
      <c r="K36" s="60">
        <v>28.883706907431254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277.29359145891436</v>
      </c>
      <c r="V36" s="62">
        <v>126.03552248015399</v>
      </c>
      <c r="W36" s="62">
        <v>30.859934567783089</v>
      </c>
      <c r="X36" s="62">
        <v>14.026461832350687</v>
      </c>
      <c r="Y36" s="66">
        <v>285.51571226144239</v>
      </c>
      <c r="Z36" s="66">
        <v>129.77264199232673</v>
      </c>
      <c r="AA36" s="67">
        <v>0</v>
      </c>
      <c r="AB36" s="68">
        <v>48.754960831006443</v>
      </c>
      <c r="AC36" s="69">
        <v>0</v>
      </c>
      <c r="AD36" s="69">
        <v>16.285576367709368</v>
      </c>
      <c r="AE36" s="68">
        <v>11.001596634884429</v>
      </c>
      <c r="AF36" s="68">
        <v>5.0004472613245001</v>
      </c>
      <c r="AG36" s="68">
        <v>0.68751196448666385</v>
      </c>
      <c r="AH36" s="69">
        <v>265.12614166736603</v>
      </c>
      <c r="AI36" s="69">
        <v>1045.0417006810505</v>
      </c>
      <c r="AJ36" s="69">
        <v>2976.6224934895827</v>
      </c>
      <c r="AK36" s="69">
        <v>519.75410323143012</v>
      </c>
      <c r="AL36" s="69">
        <v>3871.6449775695801</v>
      </c>
      <c r="AM36" s="69">
        <v>2505.2808804829915</v>
      </c>
      <c r="AN36" s="69">
        <v>585.66132389704387</v>
      </c>
      <c r="AO36" s="69">
        <v>1950.5300903320312</v>
      </c>
      <c r="AP36" s="69">
        <v>310.51515526771544</v>
      </c>
      <c r="AQ36" s="69">
        <v>784.86307557423913</v>
      </c>
    </row>
    <row r="37" spans="1:43" x14ac:dyDescent="0.25">
      <c r="A37" s="11">
        <v>42673</v>
      </c>
      <c r="B37" s="59"/>
      <c r="C37" s="60">
        <v>61.148791164159853</v>
      </c>
      <c r="D37" s="60">
        <v>720.49403692881367</v>
      </c>
      <c r="E37" s="60">
        <v>16.269065274794873</v>
      </c>
      <c r="F37" s="60">
        <v>0</v>
      </c>
      <c r="G37" s="60">
        <v>2288.2780799865732</v>
      </c>
      <c r="H37" s="61">
        <v>25.018164175748854</v>
      </c>
      <c r="I37" s="59">
        <v>317.97524371147182</v>
      </c>
      <c r="J37" s="60">
        <v>624.20859845479345</v>
      </c>
      <c r="K37" s="60">
        <v>27.927237115303718</v>
      </c>
      <c r="L37" s="5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254.98978124751918</v>
      </c>
      <c r="V37" s="62">
        <v>123.67618960776944</v>
      </c>
      <c r="W37" s="62">
        <v>27.992167780877342</v>
      </c>
      <c r="X37" s="62">
        <v>13.57687603425858</v>
      </c>
      <c r="Y37" s="66">
        <v>262.97430543086813</v>
      </c>
      <c r="Z37" s="66">
        <v>127.54887627778591</v>
      </c>
      <c r="AA37" s="67">
        <v>0</v>
      </c>
      <c r="AB37" s="68">
        <v>48.893123237292258</v>
      </c>
      <c r="AC37" s="69">
        <v>0</v>
      </c>
      <c r="AD37" s="69">
        <v>15.308174780011177</v>
      </c>
      <c r="AE37" s="68">
        <v>10.109482062635177</v>
      </c>
      <c r="AF37" s="68">
        <v>4.903342456696886</v>
      </c>
      <c r="AG37" s="68">
        <v>0.67338974418952036</v>
      </c>
      <c r="AH37" s="69">
        <v>278.75751434961944</v>
      </c>
      <c r="AI37" s="69">
        <v>1059.7855294545491</v>
      </c>
      <c r="AJ37" s="69">
        <v>2945.7477130889893</v>
      </c>
      <c r="AK37" s="69">
        <v>499.14704521497083</v>
      </c>
      <c r="AL37" s="69">
        <v>3883.4273254394529</v>
      </c>
      <c r="AM37" s="69">
        <v>2524.7607388814286</v>
      </c>
      <c r="AN37" s="69">
        <v>528.92946723302214</v>
      </c>
      <c r="AO37" s="69">
        <v>1950.5300903320312</v>
      </c>
      <c r="AP37" s="69">
        <v>310.19729827245078</v>
      </c>
      <c r="AQ37" s="69">
        <v>759.03549445470185</v>
      </c>
    </row>
    <row r="38" spans="1:43" ht="15.75" thickBot="1" x14ac:dyDescent="0.3">
      <c r="A38" s="11">
        <v>42674</v>
      </c>
      <c r="B38" s="73"/>
      <c r="C38" s="74">
        <v>60.527047049999801</v>
      </c>
      <c r="D38" s="74">
        <v>721.219309266408</v>
      </c>
      <c r="E38" s="74">
        <v>16.587959330280608</v>
      </c>
      <c r="F38" s="74">
        <v>0</v>
      </c>
      <c r="G38" s="74">
        <v>2288.4556026458736</v>
      </c>
      <c r="H38" s="75">
        <v>25.000042763352369</v>
      </c>
      <c r="I38" s="76">
        <v>300.76678895950346</v>
      </c>
      <c r="J38" s="74">
        <v>590.69989124933807</v>
      </c>
      <c r="K38" s="74">
        <v>26.624178030093525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252.58305913943909</v>
      </c>
      <c r="V38" s="80">
        <v>126.28221997348336</v>
      </c>
      <c r="W38" s="81">
        <v>27.350812900673404</v>
      </c>
      <c r="X38" s="81">
        <v>13.67439836600316</v>
      </c>
      <c r="Y38" s="80">
        <v>259.33152316423809</v>
      </c>
      <c r="Z38" s="80">
        <v>129.656203253939</v>
      </c>
      <c r="AA38" s="82">
        <v>0</v>
      </c>
      <c r="AB38" s="83">
        <v>47.664346861839164</v>
      </c>
      <c r="AC38" s="84">
        <v>0</v>
      </c>
      <c r="AD38" s="85">
        <v>15.281242816315737</v>
      </c>
      <c r="AE38" s="83">
        <v>9.9990855700136372</v>
      </c>
      <c r="AF38" s="83">
        <v>4.9991742430717228</v>
      </c>
      <c r="AG38" s="83">
        <v>0.66668304820868951</v>
      </c>
      <c r="AH38" s="84">
        <v>209.70093541145323</v>
      </c>
      <c r="AI38" s="84">
        <v>986.59620316823327</v>
      </c>
      <c r="AJ38" s="84">
        <v>3012.2304831186921</v>
      </c>
      <c r="AK38" s="84">
        <v>523.52760148048401</v>
      </c>
      <c r="AL38" s="84">
        <v>3913.0596324920648</v>
      </c>
      <c r="AM38" s="84">
        <v>2576.7081216176357</v>
      </c>
      <c r="AN38" s="84">
        <v>514.62691335678096</v>
      </c>
      <c r="AO38" s="84">
        <v>1950.5300903320312</v>
      </c>
      <c r="AP38" s="84">
        <v>314.70814797083534</v>
      </c>
      <c r="AQ38" s="84">
        <v>831.7829052607218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1619.6344080825695</v>
      </c>
      <c r="D39" s="30">
        <f t="shared" si="0"/>
        <v>19560.396517517151</v>
      </c>
      <c r="E39" s="30">
        <f t="shared" si="0"/>
        <v>461.6783118565877</v>
      </c>
      <c r="F39" s="30">
        <f t="shared" si="0"/>
        <v>0</v>
      </c>
      <c r="G39" s="30">
        <f t="shared" si="0"/>
        <v>60985.767662429804</v>
      </c>
      <c r="H39" s="31">
        <f t="shared" si="0"/>
        <v>659.69780508776523</v>
      </c>
      <c r="I39" s="29">
        <f t="shared" si="0"/>
        <v>11673.438107442862</v>
      </c>
      <c r="J39" s="30">
        <f t="shared" si="0"/>
        <v>20821.260618400582</v>
      </c>
      <c r="K39" s="30">
        <f t="shared" si="0"/>
        <v>943.37534910082729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9909.849578736912</v>
      </c>
      <c r="V39" s="262">
        <f t="shared" si="0"/>
        <v>3176.4492073310016</v>
      </c>
      <c r="W39" s="262">
        <f t="shared" si="0"/>
        <v>1113.2784496140271</v>
      </c>
      <c r="X39" s="262">
        <f t="shared" si="0"/>
        <v>353.46230852288107</v>
      </c>
      <c r="Y39" s="262">
        <f t="shared" si="0"/>
        <v>9013.3004554263134</v>
      </c>
      <c r="Z39" s="262">
        <f t="shared" si="0"/>
        <v>3037.1813666431722</v>
      </c>
      <c r="AA39" s="270">
        <f t="shared" si="0"/>
        <v>0</v>
      </c>
      <c r="AB39" s="273">
        <f t="shared" si="0"/>
        <v>1485.6045420487751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159</v>
      </c>
      <c r="AH39" s="273">
        <f t="shared" ref="AH39:AQ39" si="1">SUM(AH8:AH38)</f>
        <v>7367.8167857885346</v>
      </c>
      <c r="AI39" s="273">
        <f t="shared" si="1"/>
        <v>31009.287851206453</v>
      </c>
      <c r="AJ39" s="273">
        <f t="shared" si="1"/>
        <v>84691.512625058487</v>
      </c>
      <c r="AK39" s="273">
        <f t="shared" si="1"/>
        <v>15305.739595365523</v>
      </c>
      <c r="AL39" s="273">
        <f t="shared" si="1"/>
        <v>97931.909321149185</v>
      </c>
      <c r="AM39" s="273">
        <f t="shared" si="1"/>
        <v>75032.607830047622</v>
      </c>
      <c r="AN39" s="273">
        <f t="shared" si="1"/>
        <v>16130.221518341697</v>
      </c>
      <c r="AO39" s="273">
        <f t="shared" si="1"/>
        <v>74893.940057881686</v>
      </c>
      <c r="AP39" s="273">
        <f t="shared" si="1"/>
        <v>9192.5702702363342</v>
      </c>
      <c r="AQ39" s="273">
        <f t="shared" si="1"/>
        <v>22775.465223185223</v>
      </c>
    </row>
    <row r="40" spans="1:43" ht="15.75" thickBot="1" x14ac:dyDescent="0.3">
      <c r="A40" s="47" t="s">
        <v>174</v>
      </c>
      <c r="B40" s="32">
        <f>Projection!$AD$30</f>
        <v>0.80583665399999982</v>
      </c>
      <c r="C40" s="33">
        <f>Projection!$AD$28</f>
        <v>1.3221902399999999</v>
      </c>
      <c r="D40" s="33">
        <f>Projection!$AD$31</f>
        <v>2.1962556000000002</v>
      </c>
      <c r="E40" s="33">
        <f>Projection!$AD$26</f>
        <v>4.3368000000000002</v>
      </c>
      <c r="F40" s="33">
        <f>Projection!$AD$23</f>
        <v>0</v>
      </c>
      <c r="G40" s="33">
        <f>Projection!$AD$24</f>
        <v>5.2499999999999998E-2</v>
      </c>
      <c r="H40" s="34">
        <f>Projection!$AD$29</f>
        <v>3.6159737999999999</v>
      </c>
      <c r="I40" s="32">
        <f>Projection!$AD$30</f>
        <v>0.80583665399999982</v>
      </c>
      <c r="J40" s="33">
        <f>Projection!$AD$28</f>
        <v>1.3221902399999999</v>
      </c>
      <c r="K40" s="33">
        <f>Projection!$AD$26</f>
        <v>4.3368000000000002</v>
      </c>
      <c r="L40" s="33">
        <f>Projection!$AD$25</f>
        <v>0</v>
      </c>
      <c r="M40" s="33">
        <f>Projection!$AD$23</f>
        <v>0</v>
      </c>
      <c r="N40" s="34">
        <f>Projection!$AD$23</f>
        <v>0</v>
      </c>
      <c r="O40" s="264">
        <v>15.77</v>
      </c>
      <c r="P40" s="265">
        <v>15.77</v>
      </c>
      <c r="Q40" s="265">
        <v>15.77</v>
      </c>
      <c r="R40" s="265">
        <v>15.77</v>
      </c>
      <c r="S40" s="265">
        <f>Projection!$AD$28</f>
        <v>1.3221902399999999</v>
      </c>
      <c r="T40" s="266">
        <f>Projection!$AD$28</f>
        <v>1.3221902399999999</v>
      </c>
      <c r="U40" s="264">
        <f>Projection!$AD$27</f>
        <v>0.25650000000000001</v>
      </c>
      <c r="V40" s="265">
        <f>Projection!$AD$27</f>
        <v>0.25650000000000001</v>
      </c>
      <c r="W40" s="265">
        <f>Projection!$AD$22</f>
        <v>1.625</v>
      </c>
      <c r="X40" s="265">
        <f>Projection!$AD$22</f>
        <v>1.625</v>
      </c>
      <c r="Y40" s="265">
        <f>Projection!$AD$31</f>
        <v>2.1962556000000002</v>
      </c>
      <c r="Z40" s="265">
        <f>Projection!$AD$31</f>
        <v>2.1962556000000002</v>
      </c>
      <c r="AA40" s="271">
        <v>0</v>
      </c>
      <c r="AB40" s="274">
        <f>Projection!$AD$27</f>
        <v>0.25650000000000001</v>
      </c>
      <c r="AC40" s="274">
        <f>Projection!$AD$30</f>
        <v>0.80583665399999982</v>
      </c>
      <c r="AD40" s="277">
        <f>SUM(AD8:AD38)</f>
        <v>523.16584916743966</v>
      </c>
      <c r="AE40" s="277">
        <f>SUM(AE8:AE38)</f>
        <v>389.96641216624226</v>
      </c>
      <c r="AF40" s="277">
        <f>SUM(AF8:AF38)</f>
        <v>125.44066130376025</v>
      </c>
      <c r="AG40" s="277">
        <f>IF(SUM(AE40:AF40)&gt;0, AE40/(AE40+AF40), "")</f>
        <v>0.75661827755054845</v>
      </c>
      <c r="AH40" s="313">
        <v>6.2E-2</v>
      </c>
      <c r="AI40" s="313">
        <f t="shared" ref="AI40:AQ40" si="2">$AH$40</f>
        <v>6.2E-2</v>
      </c>
      <c r="AJ40" s="313">
        <f t="shared" si="2"/>
        <v>6.2E-2</v>
      </c>
      <c r="AK40" s="313">
        <f t="shared" si="2"/>
        <v>6.2E-2</v>
      </c>
      <c r="AL40" s="313">
        <f t="shared" si="2"/>
        <v>6.2E-2</v>
      </c>
      <c r="AM40" s="313">
        <f t="shared" si="2"/>
        <v>6.2E-2</v>
      </c>
      <c r="AN40" s="313">
        <f t="shared" si="2"/>
        <v>6.2E-2</v>
      </c>
      <c r="AO40" s="313">
        <f t="shared" si="2"/>
        <v>6.2E-2</v>
      </c>
      <c r="AP40" s="313">
        <f t="shared" si="2"/>
        <v>6.2E-2</v>
      </c>
      <c r="AQ40" s="313">
        <f t="shared" si="2"/>
        <v>6.2E-2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2141.4648067349503</v>
      </c>
      <c r="D41" s="36">
        <f t="shared" si="3"/>
        <v>42959.630389817547</v>
      </c>
      <c r="E41" s="36">
        <f t="shared" si="3"/>
        <v>2002.2065028596496</v>
      </c>
      <c r="F41" s="36">
        <f t="shared" si="3"/>
        <v>0</v>
      </c>
      <c r="G41" s="36">
        <f t="shared" si="3"/>
        <v>3201.7528022775646</v>
      </c>
      <c r="H41" s="37">
        <f t="shared" si="3"/>
        <v>2385.4499791148655</v>
      </c>
      <c r="I41" s="35">
        <f t="shared" si="3"/>
        <v>9406.8843051778458</v>
      </c>
      <c r="J41" s="36">
        <f t="shared" si="3"/>
        <v>27529.667574145609</v>
      </c>
      <c r="K41" s="36">
        <f t="shared" si="3"/>
        <v>4091.2302139804679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2541.8764169460178</v>
      </c>
      <c r="V41" s="268">
        <f t="shared" si="3"/>
        <v>814.75922168040188</v>
      </c>
      <c r="W41" s="268">
        <f t="shared" si="3"/>
        <v>1809.0774806227939</v>
      </c>
      <c r="X41" s="268">
        <f t="shared" si="3"/>
        <v>574.37625134968175</v>
      </c>
      <c r="Y41" s="268">
        <f t="shared" si="3"/>
        <v>19795.511599712594</v>
      </c>
      <c r="Z41" s="268">
        <f t="shared" si="3"/>
        <v>6670.4265847057204</v>
      </c>
      <c r="AA41" s="272">
        <f t="shared" si="3"/>
        <v>0</v>
      </c>
      <c r="AB41" s="275">
        <f t="shared" si="3"/>
        <v>381.05756503551083</v>
      </c>
      <c r="AC41" s="275">
        <f t="shared" si="3"/>
        <v>0</v>
      </c>
      <c r="AH41" s="278">
        <f t="shared" ref="AH41:AQ41" si="4">AH40*AH39</f>
        <v>456.80464071888912</v>
      </c>
      <c r="AI41" s="278">
        <f t="shared" si="4"/>
        <v>1922.5758467748001</v>
      </c>
      <c r="AJ41" s="278">
        <f t="shared" si="4"/>
        <v>5250.8737827536261</v>
      </c>
      <c r="AK41" s="278">
        <f t="shared" si="4"/>
        <v>948.9558549126624</v>
      </c>
      <c r="AL41" s="278">
        <f t="shared" si="4"/>
        <v>6071.7783779112497</v>
      </c>
      <c r="AM41" s="278">
        <f t="shared" si="4"/>
        <v>4652.0216854629525</v>
      </c>
      <c r="AN41" s="278">
        <f t="shared" si="4"/>
        <v>1000.0737341371853</v>
      </c>
      <c r="AO41" s="278">
        <f t="shared" si="4"/>
        <v>4643.4242835886644</v>
      </c>
      <c r="AP41" s="278">
        <f t="shared" si="4"/>
        <v>569.93935675465275</v>
      </c>
      <c r="AQ41" s="278">
        <f t="shared" si="4"/>
        <v>1412.0788438374839</v>
      </c>
    </row>
    <row r="42" spans="1:43" ht="49.5" customHeight="1" thickTop="1" thickBot="1" x14ac:dyDescent="0.3">
      <c r="A42" s="576" t="s">
        <v>232</v>
      </c>
      <c r="B42" s="577"/>
      <c r="C42" s="577"/>
      <c r="D42" s="577"/>
      <c r="E42" s="577"/>
      <c r="F42" s="577"/>
      <c r="G42" s="577"/>
      <c r="H42" s="577"/>
      <c r="I42" s="577"/>
      <c r="J42" s="577"/>
      <c r="K42" s="57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6" t="s">
        <v>186</v>
      </c>
      <c r="AH42" s="295">
        <v>402.8</v>
      </c>
      <c r="AI42" s="278" t="s">
        <v>199</v>
      </c>
      <c r="AJ42" s="278">
        <v>869.83</v>
      </c>
      <c r="AK42" s="278">
        <v>39.299999999999997</v>
      </c>
      <c r="AL42" s="278">
        <v>302.48</v>
      </c>
      <c r="AM42" s="278">
        <v>1098.98</v>
      </c>
      <c r="AN42" s="278">
        <v>351.16</v>
      </c>
      <c r="AO42" s="278" t="s">
        <v>199</v>
      </c>
      <c r="AP42" s="278">
        <v>56.93</v>
      </c>
      <c r="AQ42" s="278">
        <v>174.95</v>
      </c>
    </row>
    <row r="43" spans="1:43" ht="38.25" customHeight="1" thickTop="1" thickBot="1" x14ac:dyDescent="0.3">
      <c r="A43" s="608" t="s">
        <v>49</v>
      </c>
      <c r="B43" s="605"/>
      <c r="C43" s="289"/>
      <c r="D43" s="605" t="s">
        <v>47</v>
      </c>
      <c r="E43" s="605"/>
      <c r="F43" s="289"/>
      <c r="G43" s="605" t="s">
        <v>48</v>
      </c>
      <c r="H43" s="605"/>
      <c r="I43" s="290"/>
      <c r="J43" s="605" t="s">
        <v>50</v>
      </c>
      <c r="K43" s="578"/>
      <c r="L43" s="44"/>
      <c r="M43" s="44"/>
      <c r="N43" s="44"/>
      <c r="O43" s="45"/>
      <c r="P43" s="45"/>
      <c r="Q43" s="45"/>
      <c r="R43" s="568" t="s">
        <v>168</v>
      </c>
      <c r="S43" s="569"/>
      <c r="T43" s="569"/>
      <c r="U43" s="570"/>
      <c r="AC43" s="45"/>
    </row>
    <row r="44" spans="1:43" ht="24.75" thickTop="1" thickBot="1" x14ac:dyDescent="0.3">
      <c r="A44" s="282" t="s">
        <v>135</v>
      </c>
      <c r="B44" s="283">
        <f>SUM(B41:AC41)</f>
        <v>126305.37169416124</v>
      </c>
      <c r="C44" s="12"/>
      <c r="D44" s="282" t="s">
        <v>135</v>
      </c>
      <c r="E44" s="283">
        <f>SUM(B41:H41)+P41+R41+T41+V41+X41+Z41</f>
        <v>60750.066538540377</v>
      </c>
      <c r="F44" s="12"/>
      <c r="G44" s="282" t="s">
        <v>135</v>
      </c>
      <c r="H44" s="283">
        <f>SUM(I41:N41)+O41+Q41+S41+U41+W41+Y41</f>
        <v>65174.247590585321</v>
      </c>
      <c r="I44" s="12"/>
      <c r="J44" s="282" t="s">
        <v>200</v>
      </c>
      <c r="K44" s="283">
        <v>128129.1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3" ht="24" thickBot="1" x14ac:dyDescent="0.4">
      <c r="A45" s="284" t="s">
        <v>185</v>
      </c>
      <c r="B45" s="285">
        <f>SUM(AH41:AQ41)</f>
        <v>26928.526406852168</v>
      </c>
      <c r="C45" s="12"/>
      <c r="D45" s="284" t="s">
        <v>185</v>
      </c>
      <c r="E45" s="285">
        <f>AH41*(1-$AG$40)+AI41+AJ41*0.5+AL41+AM41*(1-$AG$40)+AN41*(1-$AG$40)+AO41*(1-$AG$40)+AP41*0.5+AQ41*0.5</f>
        <v>14227.719435514357</v>
      </c>
      <c r="F45" s="24"/>
      <c r="G45" s="284" t="s">
        <v>185</v>
      </c>
      <c r="H45" s="285">
        <f>AH41*AG40+AJ41*0.5+AK41+AM41*AG40+AN41*AG40+AO41*AG40+AP41*0.5+AQ41*0.5</f>
        <v>12700.806971337814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1466.7407581369082</v>
      </c>
      <c r="U45" s="256">
        <f>(T45*8.34*0.895)/27000</f>
        <v>0.40548863114671574</v>
      </c>
    </row>
    <row r="46" spans="1:43" ht="32.25" thickBot="1" x14ac:dyDescent="0.3">
      <c r="A46" s="286" t="s">
        <v>186</v>
      </c>
      <c r="B46" s="287">
        <f>SUM(AH42:AQ42)</f>
        <v>3296.43</v>
      </c>
      <c r="C46" s="12"/>
      <c r="D46" s="286" t="s">
        <v>186</v>
      </c>
      <c r="E46" s="287">
        <f>AH42*(1-$AG$40)+AJ42*0.5+AL42+AM42*(1-$AG$40)+AN42*(1-$AG$40)+AP42*0.5+AQ42*0.5</f>
        <v>1304.3067287954866</v>
      </c>
      <c r="F46" s="23"/>
      <c r="G46" s="286" t="s">
        <v>186</v>
      </c>
      <c r="H46" s="287">
        <f>AH42*AG40+AJ42*0.5+AK42+AM42*AG40+AN42*AG40+AP42*0.5+AQ42*0.5</f>
        <v>1992.1232712045132</v>
      </c>
      <c r="I46" s="12"/>
      <c r="J46" s="606" t="s">
        <v>201</v>
      </c>
      <c r="K46" s="607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3" ht="24.75" thickTop="1" thickBot="1" x14ac:dyDescent="0.4">
      <c r="A47" s="286" t="s">
        <v>187</v>
      </c>
      <c r="B47" s="287">
        <f>K44</f>
        <v>128129.1</v>
      </c>
      <c r="C47" s="12"/>
      <c r="D47" s="286" t="s">
        <v>189</v>
      </c>
      <c r="E47" s="287">
        <f>K44*0.5</f>
        <v>64064.55</v>
      </c>
      <c r="F47" s="24"/>
      <c r="G47" s="286" t="s">
        <v>187</v>
      </c>
      <c r="H47" s="287">
        <f>K44*0.5</f>
        <v>64064.55</v>
      </c>
      <c r="I47" s="12"/>
      <c r="J47" s="282" t="s">
        <v>200</v>
      </c>
      <c r="K47" s="283">
        <v>26606.28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60985.767662429804</v>
      </c>
      <c r="U47" s="256">
        <f>T47/40000</f>
        <v>1.5246441915607452</v>
      </c>
    </row>
    <row r="48" spans="1:43" ht="24" thickBot="1" x14ac:dyDescent="0.3">
      <c r="A48" s="286" t="s">
        <v>188</v>
      </c>
      <c r="B48" s="287">
        <f>K47</f>
        <v>26606.28</v>
      </c>
      <c r="C48" s="12"/>
      <c r="D48" s="286" t="s">
        <v>188</v>
      </c>
      <c r="E48" s="287">
        <f>K47*0.5</f>
        <v>13303.14</v>
      </c>
      <c r="F48" s="23"/>
      <c r="G48" s="286" t="s">
        <v>188</v>
      </c>
      <c r="H48" s="287">
        <f>K47*0.5</f>
        <v>13303.14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196</v>
      </c>
      <c r="B49" s="292">
        <f>AD40</f>
        <v>523.16584916743966</v>
      </c>
      <c r="C49" s="12"/>
      <c r="D49" s="291" t="s">
        <v>197</v>
      </c>
      <c r="E49" s="292">
        <f>AF40</f>
        <v>125.44066130376025</v>
      </c>
      <c r="F49" s="23"/>
      <c r="G49" s="291" t="s">
        <v>198</v>
      </c>
      <c r="H49" s="292">
        <f>AE40</f>
        <v>389.96641216624226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1405.0536609574151</v>
      </c>
      <c r="U49" s="256">
        <f>(T49*8.34*1.04)/45000</f>
        <v>0.27081940963733858</v>
      </c>
    </row>
    <row r="50" spans="1:25" ht="48" thickTop="1" thickBot="1" x14ac:dyDescent="0.3">
      <c r="A50" s="291" t="s">
        <v>192</v>
      </c>
      <c r="B50" s="293">
        <f>(SUM(B44:B48)/AD40)</f>
        <v>594.96564731118872</v>
      </c>
      <c r="C50" s="12"/>
      <c r="D50" s="291" t="s">
        <v>190</v>
      </c>
      <c r="E50" s="293">
        <f>SUM(E44:E48)/AF40</f>
        <v>1224.8802031645889</v>
      </c>
      <c r="F50" s="23"/>
      <c r="G50" s="291" t="s">
        <v>191</v>
      </c>
      <c r="H50" s="293">
        <f>SUM(H44:H48)/AE40</f>
        <v>403.20105252064275</v>
      </c>
      <c r="I50" s="12"/>
      <c r="J50" s="12"/>
      <c r="K50" s="86"/>
      <c r="L50" s="12"/>
      <c r="M50" s="12"/>
      <c r="N50" s="12"/>
      <c r="O50" s="12"/>
      <c r="P50" s="12"/>
      <c r="Q50" s="12"/>
      <c r="R50" s="318" t="s">
        <v>153</v>
      </c>
      <c r="S50" s="319"/>
      <c r="T50" s="254">
        <f>$U$39+$V$39+$AB$39</f>
        <v>14571.903328116688</v>
      </c>
      <c r="U50" s="256">
        <f>T50/2000/8</f>
        <v>0.91074395800729302</v>
      </c>
    </row>
    <row r="51" spans="1:25" ht="48" thickTop="1" thickBot="1" x14ac:dyDescent="0.3">
      <c r="A51" s="281" t="s">
        <v>193</v>
      </c>
      <c r="B51" s="294">
        <f>B50/1000</f>
        <v>0.59496564731118873</v>
      </c>
      <c r="C51" s="12"/>
      <c r="D51" s="281" t="s">
        <v>194</v>
      </c>
      <c r="E51" s="294">
        <f>E50/1000</f>
        <v>1.2248802031645889</v>
      </c>
      <c r="F51" s="378">
        <f>E44/E49</f>
        <v>484.29325792082153</v>
      </c>
      <c r="G51" s="281" t="s">
        <v>195</v>
      </c>
      <c r="H51" s="294">
        <f>H50/1000</f>
        <v>0.40320105252064276</v>
      </c>
      <c r="I51" s="378">
        <f>H44/H49</f>
        <v>167.12784885381771</v>
      </c>
      <c r="J51" s="12"/>
      <c r="K51" s="86"/>
      <c r="L51" s="12"/>
      <c r="M51" s="12"/>
      <c r="N51" s="12"/>
      <c r="O51" s="12"/>
      <c r="P51" s="12"/>
      <c r="Q51" s="12"/>
      <c r="R51" s="318" t="s">
        <v>154</v>
      </c>
      <c r="S51" s="319"/>
      <c r="T51" s="254">
        <f>$C$39+$J$39+$S$39+$T$39</f>
        <v>22440.895026483151</v>
      </c>
      <c r="U51" s="256">
        <f>(T51*8.34*1.4)/45000</f>
        <v>5.8226642295381605</v>
      </c>
    </row>
    <row r="52" spans="1:25" ht="16.5" thickTop="1" thickBot="1" x14ac:dyDescent="0.3">
      <c r="A52" s="303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155</v>
      </c>
      <c r="S52" s="319"/>
      <c r="T52" s="254">
        <f>$H$39</f>
        <v>659.69780508776523</v>
      </c>
      <c r="U52" s="256">
        <f>(T52*8.34*1.135)/45000</f>
        <v>0.13876963229289505</v>
      </c>
    </row>
    <row r="53" spans="1:25" ht="33" thickTop="1" thickBot="1" x14ac:dyDescent="0.3">
      <c r="A53" s="571" t="s">
        <v>51</v>
      </c>
      <c r="B53" s="572"/>
      <c r="C53" s="572"/>
      <c r="D53" s="572"/>
      <c r="E53" s="573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156</v>
      </c>
      <c r="S53" s="319"/>
      <c r="T53" s="254">
        <f>$B$39+$I$39+$AC$39</f>
        <v>11673.438107442862</v>
      </c>
      <c r="U53" s="256">
        <f>(T53*8.34*1.029*0.03)/3300</f>
        <v>0.91072555960672352</v>
      </c>
    </row>
    <row r="54" spans="1:25" ht="59.25" customHeight="1" thickBot="1" x14ac:dyDescent="0.3">
      <c r="A54" s="602" t="s">
        <v>202</v>
      </c>
      <c r="B54" s="603"/>
      <c r="C54" s="603"/>
      <c r="D54" s="603"/>
      <c r="E54" s="60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65" t="s">
        <v>158</v>
      </c>
      <c r="S54" s="566"/>
      <c r="T54" s="258">
        <f>$D$39+$Y$39+$Z$39</f>
        <v>31610.878339586638</v>
      </c>
      <c r="U54" s="259">
        <f>(T54*1.54*8.34)/45000</f>
        <v>9.0221661564958868</v>
      </c>
      <c r="V54" s="326"/>
      <c r="W54" s="12"/>
    </row>
    <row r="55" spans="1:25" ht="15.75" thickTop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323"/>
      <c r="T55" s="618"/>
      <c r="U55" s="618"/>
      <c r="V55" s="324"/>
      <c r="W55" s="325"/>
      <c r="X55" s="323"/>
      <c r="Y55" s="323"/>
    </row>
    <row r="56" spans="1:25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3"/>
      <c r="T56" s="617"/>
      <c r="U56" s="617"/>
      <c r="V56" s="324"/>
      <c r="W56" s="325"/>
      <c r="X56" s="323"/>
      <c r="Y56" s="323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3"/>
      <c r="T57" s="617"/>
      <c r="U57" s="617"/>
      <c r="V57" s="324"/>
      <c r="W57" s="325"/>
      <c r="X57" s="323"/>
      <c r="Y57" s="323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3"/>
      <c r="T58" s="617"/>
      <c r="U58" s="617"/>
      <c r="V58" s="324"/>
      <c r="W58" s="325"/>
      <c r="X58" s="323"/>
      <c r="Y58" s="323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3"/>
      <c r="T59" s="617"/>
      <c r="U59" s="617"/>
      <c r="V59" s="324"/>
      <c r="W59" s="325"/>
      <c r="X59" s="323"/>
      <c r="Y59" s="323"/>
    </row>
    <row r="60" spans="1:25" x14ac:dyDescent="0.25">
      <c r="S60" s="323"/>
      <c r="T60" s="617"/>
      <c r="U60" s="617"/>
      <c r="V60" s="324"/>
      <c r="W60" s="325"/>
      <c r="X60" s="323"/>
      <c r="Y60" s="323"/>
    </row>
    <row r="61" spans="1:25" x14ac:dyDescent="0.25">
      <c r="S61" s="323"/>
      <c r="T61" s="617"/>
      <c r="U61" s="617"/>
      <c r="V61" s="324"/>
      <c r="W61" s="325"/>
      <c r="X61" s="323"/>
      <c r="Y61" s="323"/>
    </row>
    <row r="62" spans="1:25" x14ac:dyDescent="0.25">
      <c r="S62" s="323"/>
      <c r="T62" s="617"/>
      <c r="U62" s="617"/>
      <c r="V62" s="324"/>
      <c r="W62" s="325"/>
      <c r="X62" s="323"/>
      <c r="Y62" s="323"/>
    </row>
    <row r="63" spans="1:25" x14ac:dyDescent="0.25">
      <c r="S63" s="323"/>
      <c r="T63" s="323"/>
      <c r="U63" s="323"/>
      <c r="V63" s="323"/>
      <c r="W63" s="323"/>
      <c r="X63" s="323"/>
      <c r="Y63" s="323"/>
    </row>
    <row r="64" spans="1:25" x14ac:dyDescent="0.25">
      <c r="S64" s="323"/>
      <c r="T64" s="323"/>
      <c r="U64" s="323"/>
      <c r="V64" s="323"/>
      <c r="W64" s="323"/>
      <c r="X64" s="323"/>
      <c r="Y64" s="323"/>
    </row>
    <row r="65" spans="19:25" x14ac:dyDescent="0.25">
      <c r="S65" s="323"/>
      <c r="T65" s="323"/>
      <c r="U65" s="323"/>
      <c r="V65" s="323"/>
      <c r="W65" s="323"/>
      <c r="X65" s="323"/>
      <c r="Y65" s="323"/>
    </row>
    <row r="66" spans="19:25" x14ac:dyDescent="0.25">
      <c r="S66" s="323"/>
      <c r="T66" s="323"/>
      <c r="U66" s="323"/>
      <c r="V66" s="323"/>
      <c r="W66" s="323"/>
      <c r="X66" s="323"/>
      <c r="Y66" s="323"/>
    </row>
  </sheetData>
  <sheetProtection selectLockedCells="1" selectUnlockedCells="1"/>
  <mergeCells count="38">
    <mergeCell ref="T55:U55"/>
    <mergeCell ref="O4:T5"/>
    <mergeCell ref="U4:AA5"/>
    <mergeCell ref="B4:H5"/>
    <mergeCell ref="I4:N5"/>
    <mergeCell ref="G43:H43"/>
    <mergeCell ref="D43:E43"/>
    <mergeCell ref="A43:B43"/>
    <mergeCell ref="A42:K42"/>
    <mergeCell ref="J43:K43"/>
    <mergeCell ref="R43:U43"/>
    <mergeCell ref="J46:K46"/>
    <mergeCell ref="A53:E53"/>
    <mergeCell ref="A54:E54"/>
    <mergeCell ref="R54:S54"/>
    <mergeCell ref="T61:U61"/>
    <mergeCell ref="T62:U62"/>
    <mergeCell ref="T56:U56"/>
    <mergeCell ref="T57:U57"/>
    <mergeCell ref="T58:U58"/>
    <mergeCell ref="T59:U59"/>
    <mergeCell ref="T60:U60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M4:AM5"/>
    <mergeCell ref="AG4:AG5"/>
    <mergeCell ref="AB4:AB5"/>
    <mergeCell ref="AC4:AC5"/>
    <mergeCell ref="AD4:AD5"/>
    <mergeCell ref="AE4:AE5"/>
    <mergeCell ref="AF4:AF5"/>
  </mergeCells>
  <pageMargins left="0.33" right="0.19" top="0.75" bottom="0.75" header="0.3" footer="0.3"/>
  <pageSetup scale="5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69"/>
  <sheetViews>
    <sheetView zoomScale="80" zoomScaleNormal="80" workbookViewId="0">
      <selection activeCell="AH39" sqref="AH39:AQ39"/>
    </sheetView>
  </sheetViews>
  <sheetFormatPr defaultRowHeight="15" x14ac:dyDescent="0.25"/>
  <cols>
    <col min="1" max="1" width="26.2851562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8554687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53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3" ht="15" customHeight="1" x14ac:dyDescent="0.25">
      <c r="A2" s="1" t="s">
        <v>2</v>
      </c>
      <c r="B2" s="5"/>
      <c r="O2" s="4"/>
      <c r="P2" s="4"/>
      <c r="Q2" s="4"/>
      <c r="R2" s="4"/>
    </row>
    <row r="3" spans="1:53" ht="15.75" thickBot="1" x14ac:dyDescent="0.3">
      <c r="A3" s="6"/>
      <c r="AZ3" t="s">
        <v>171</v>
      </c>
      <c r="BA3" s="260" t="s">
        <v>208</v>
      </c>
    </row>
    <row r="4" spans="1:53" ht="30" customHeight="1" thickTop="1" x14ac:dyDescent="0.25">
      <c r="A4" s="13"/>
      <c r="B4" s="581" t="s">
        <v>3</v>
      </c>
      <c r="C4" s="582"/>
      <c r="D4" s="582"/>
      <c r="E4" s="582"/>
      <c r="F4" s="582"/>
      <c r="G4" s="582"/>
      <c r="H4" s="583"/>
      <c r="I4" s="581" t="s">
        <v>4</v>
      </c>
      <c r="J4" s="582"/>
      <c r="K4" s="582"/>
      <c r="L4" s="582"/>
      <c r="M4" s="582"/>
      <c r="N4" s="583"/>
      <c r="O4" s="587" t="s">
        <v>5</v>
      </c>
      <c r="P4" s="588"/>
      <c r="Q4" s="589"/>
      <c r="R4" s="589"/>
      <c r="S4" s="589"/>
      <c r="T4" s="590"/>
      <c r="U4" s="581" t="s">
        <v>6</v>
      </c>
      <c r="V4" s="594"/>
      <c r="W4" s="594"/>
      <c r="X4" s="594"/>
      <c r="Y4" s="594"/>
      <c r="Z4" s="594"/>
      <c r="AA4" s="595"/>
      <c r="AB4" s="574" t="s">
        <v>7</v>
      </c>
      <c r="AC4" s="600" t="s">
        <v>8</v>
      </c>
      <c r="AD4" s="579" t="s">
        <v>27</v>
      </c>
      <c r="AE4" s="579" t="s">
        <v>31</v>
      </c>
      <c r="AF4" s="579" t="s">
        <v>32</v>
      </c>
      <c r="AG4" s="579" t="s">
        <v>33</v>
      </c>
      <c r="AH4" s="574" t="s">
        <v>175</v>
      </c>
      <c r="AI4" s="574" t="s">
        <v>176</v>
      </c>
      <c r="AJ4" s="574" t="s">
        <v>177</v>
      </c>
      <c r="AK4" s="574" t="s">
        <v>178</v>
      </c>
      <c r="AL4" s="574" t="s">
        <v>179</v>
      </c>
      <c r="AM4" s="574" t="s">
        <v>180</v>
      </c>
      <c r="AN4" s="574" t="s">
        <v>181</v>
      </c>
      <c r="AO4" s="574" t="s">
        <v>184</v>
      </c>
      <c r="AP4" s="574" t="s">
        <v>182</v>
      </c>
      <c r="AQ4" s="574" t="s">
        <v>183</v>
      </c>
    </row>
    <row r="5" spans="1:53" ht="30" customHeight="1" thickBot="1" x14ac:dyDescent="0.3">
      <c r="A5" s="13"/>
      <c r="B5" s="584"/>
      <c r="C5" s="585"/>
      <c r="D5" s="585"/>
      <c r="E5" s="585"/>
      <c r="F5" s="585"/>
      <c r="G5" s="585"/>
      <c r="H5" s="586"/>
      <c r="I5" s="584"/>
      <c r="J5" s="585"/>
      <c r="K5" s="585"/>
      <c r="L5" s="585"/>
      <c r="M5" s="585"/>
      <c r="N5" s="586"/>
      <c r="O5" s="591"/>
      <c r="P5" s="592"/>
      <c r="Q5" s="592"/>
      <c r="R5" s="592"/>
      <c r="S5" s="592"/>
      <c r="T5" s="593"/>
      <c r="U5" s="596"/>
      <c r="V5" s="597"/>
      <c r="W5" s="597"/>
      <c r="X5" s="597"/>
      <c r="Y5" s="597"/>
      <c r="Z5" s="597"/>
      <c r="AA5" s="598"/>
      <c r="AB5" s="599"/>
      <c r="AC5" s="601"/>
      <c r="AD5" s="580"/>
      <c r="AE5" s="580"/>
      <c r="AF5" s="580"/>
      <c r="AG5" s="580"/>
      <c r="AH5" s="575"/>
      <c r="AI5" s="575"/>
      <c r="AJ5" s="575"/>
      <c r="AK5" s="575"/>
      <c r="AL5" s="575"/>
      <c r="AM5" s="575"/>
      <c r="AN5" s="575"/>
      <c r="AO5" s="575"/>
      <c r="AP5" s="575"/>
      <c r="AQ5" s="575"/>
    </row>
    <row r="6" spans="1:53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3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53" x14ac:dyDescent="0.25">
      <c r="A8" s="11">
        <v>42675</v>
      </c>
      <c r="B8" s="49"/>
      <c r="C8" s="50">
        <v>61.458217366536914</v>
      </c>
      <c r="D8" s="50">
        <v>721.51834786732752</v>
      </c>
      <c r="E8" s="50">
        <v>16.814324403802548</v>
      </c>
      <c r="F8" s="50">
        <v>0</v>
      </c>
      <c r="G8" s="50">
        <v>2403.3763479868585</v>
      </c>
      <c r="H8" s="51">
        <v>25.054280884067207</v>
      </c>
      <c r="I8" s="49">
        <v>299.41020323435453</v>
      </c>
      <c r="J8" s="50">
        <v>584.81039689381737</v>
      </c>
      <c r="K8" s="50">
        <v>25.795580052336021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257.31882745973655</v>
      </c>
      <c r="V8" s="54">
        <v>129.84111951173128</v>
      </c>
      <c r="W8" s="54">
        <v>27.771259637855962</v>
      </c>
      <c r="X8" s="54">
        <v>14.013165990329227</v>
      </c>
      <c r="Y8" s="54">
        <v>253.59236176069729</v>
      </c>
      <c r="Z8" s="54">
        <v>127.960773316461</v>
      </c>
      <c r="AA8" s="55">
        <v>0</v>
      </c>
      <c r="AB8" s="56">
        <v>45.922115408050175</v>
      </c>
      <c r="AC8" s="57">
        <v>0</v>
      </c>
      <c r="AD8" s="57">
        <v>15.194214149978439</v>
      </c>
      <c r="AE8" s="58">
        <v>9.9094289043696211</v>
      </c>
      <c r="AF8" s="58">
        <v>5.000222313179111</v>
      </c>
      <c r="AG8" s="58">
        <v>0.66463183878548249</v>
      </c>
      <c r="AH8" s="57">
        <v>265.79976494312285</v>
      </c>
      <c r="AI8" s="57">
        <v>1068.1128463109333</v>
      </c>
      <c r="AJ8" s="57">
        <v>3003.1025965372728</v>
      </c>
      <c r="AK8" s="57">
        <v>501.54038844108584</v>
      </c>
      <c r="AL8" s="57">
        <v>3773.208022054037</v>
      </c>
      <c r="AM8" s="57">
        <v>2570.9276473999025</v>
      </c>
      <c r="AN8" s="57">
        <v>417.16486558914187</v>
      </c>
      <c r="AO8" s="57">
        <v>1950.5300903320312</v>
      </c>
      <c r="AP8" s="57">
        <v>315.70557082494105</v>
      </c>
      <c r="AQ8" s="57">
        <v>695.89195121129364</v>
      </c>
    </row>
    <row r="9" spans="1:53" x14ac:dyDescent="0.25">
      <c r="A9" s="11">
        <v>42676</v>
      </c>
      <c r="B9" s="59"/>
      <c r="C9" s="60">
        <v>61.511148500443298</v>
      </c>
      <c r="D9" s="60">
        <v>721.3005094210298</v>
      </c>
      <c r="E9" s="50">
        <v>16.807689575354285</v>
      </c>
      <c r="F9" s="60">
        <v>0</v>
      </c>
      <c r="G9" s="60">
        <v>2402.5930451711047</v>
      </c>
      <c r="H9" s="61">
        <v>24.906316575407971</v>
      </c>
      <c r="I9" s="59">
        <v>235.34092817306595</v>
      </c>
      <c r="J9" s="60">
        <v>411.17249946594291</v>
      </c>
      <c r="K9" s="60">
        <v>20.53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228.18238953282216</v>
      </c>
      <c r="V9" s="62">
        <v>119.8005748663039</v>
      </c>
      <c r="W9" s="62">
        <v>23.570541129536171</v>
      </c>
      <c r="X9" s="62">
        <v>12.375032021575523</v>
      </c>
      <c r="Y9" s="66">
        <v>224.59494085313841</v>
      </c>
      <c r="Z9" s="66">
        <v>117.91708852448149</v>
      </c>
      <c r="AA9" s="67">
        <v>0</v>
      </c>
      <c r="AB9" s="68">
        <v>43.483609024684291</v>
      </c>
      <c r="AC9" s="69">
        <v>0</v>
      </c>
      <c r="AD9" s="69">
        <v>13.641013262338104</v>
      </c>
      <c r="AE9" s="68">
        <v>8.7757224124345967</v>
      </c>
      <c r="AF9" s="68">
        <v>4.6074396539946223</v>
      </c>
      <c r="AG9" s="68">
        <v>0.65572862144798494</v>
      </c>
      <c r="AH9" s="69">
        <v>235.53694376945492</v>
      </c>
      <c r="AI9" s="69">
        <v>1041.8772893269856</v>
      </c>
      <c r="AJ9" s="69">
        <v>3037.6901907602937</v>
      </c>
      <c r="AK9" s="69">
        <v>452.73110694885253</v>
      </c>
      <c r="AL9" s="69">
        <v>3635.2551970163977</v>
      </c>
      <c r="AM9" s="69">
        <v>2663.1653438568114</v>
      </c>
      <c r="AN9" s="69">
        <v>364.58308410644531</v>
      </c>
      <c r="AO9" s="69">
        <v>1950.5300903320312</v>
      </c>
      <c r="AP9" s="69">
        <v>319.64461599985759</v>
      </c>
      <c r="AQ9" s="69">
        <v>592.42519569396973</v>
      </c>
    </row>
    <row r="10" spans="1:53" x14ac:dyDescent="0.25">
      <c r="A10" s="11">
        <v>42677</v>
      </c>
      <c r="B10" s="59"/>
      <c r="C10" s="60">
        <v>61.239002613226639</v>
      </c>
      <c r="D10" s="60">
        <v>717.99086316426303</v>
      </c>
      <c r="E10" s="50">
        <v>16.799189159274132</v>
      </c>
      <c r="F10" s="60">
        <v>0</v>
      </c>
      <c r="G10" s="60">
        <v>2404.1689357757637</v>
      </c>
      <c r="H10" s="61">
        <v>24.86780969599884</v>
      </c>
      <c r="I10" s="59">
        <v>230.1164897600805</v>
      </c>
      <c r="J10" s="60">
        <v>360.45739296277361</v>
      </c>
      <c r="K10" s="60">
        <v>19.783192686239854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222.85977339909047</v>
      </c>
      <c r="V10" s="62">
        <v>123.79821029604106</v>
      </c>
      <c r="W10" s="62">
        <v>22.515292163998691</v>
      </c>
      <c r="X10" s="62">
        <v>12.507205009151692</v>
      </c>
      <c r="Y10" s="66">
        <v>218.63970507997601</v>
      </c>
      <c r="Z10" s="66">
        <v>121.45396980227628</v>
      </c>
      <c r="AA10" s="67">
        <v>0</v>
      </c>
      <c r="AB10" s="68">
        <v>51.428455262712809</v>
      </c>
      <c r="AC10" s="69">
        <v>0</v>
      </c>
      <c r="AD10" s="69">
        <v>13.668742432859206</v>
      </c>
      <c r="AE10" s="68">
        <v>8.6119068463612365</v>
      </c>
      <c r="AF10" s="68">
        <v>4.7838990346029631</v>
      </c>
      <c r="AG10" s="68">
        <v>0.64288083321653589</v>
      </c>
      <c r="AH10" s="69">
        <v>262.30624291102083</v>
      </c>
      <c r="AI10" s="69">
        <v>1056.2587970097861</v>
      </c>
      <c r="AJ10" s="69">
        <v>3037.6906220753986</v>
      </c>
      <c r="AK10" s="69">
        <v>406.46946039199827</v>
      </c>
      <c r="AL10" s="69">
        <v>3553.9671552022301</v>
      </c>
      <c r="AM10" s="69">
        <v>2642.1953793843586</v>
      </c>
      <c r="AN10" s="69">
        <v>364.58308410644531</v>
      </c>
      <c r="AO10" s="69">
        <v>1950.5300903320312</v>
      </c>
      <c r="AP10" s="69">
        <v>311.65373894373573</v>
      </c>
      <c r="AQ10" s="69">
        <v>675.22269210815432</v>
      </c>
    </row>
    <row r="11" spans="1:53" x14ac:dyDescent="0.25">
      <c r="A11" s="11">
        <v>42678</v>
      </c>
      <c r="B11" s="59"/>
      <c r="C11" s="60">
        <v>60.943221767743445</v>
      </c>
      <c r="D11" s="60">
        <v>714.80497337977067</v>
      </c>
      <c r="E11" s="50">
        <v>16.962307645877228</v>
      </c>
      <c r="F11" s="60">
        <v>0</v>
      </c>
      <c r="G11" s="60">
        <v>2403.8635831197139</v>
      </c>
      <c r="H11" s="61">
        <v>24.924152064323454</v>
      </c>
      <c r="I11" s="59">
        <v>230.95543335278833</v>
      </c>
      <c r="J11" s="60">
        <v>378.78075470924375</v>
      </c>
      <c r="K11" s="60">
        <v>20.91567085931699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231.95932269859495</v>
      </c>
      <c r="V11" s="62">
        <v>128.87389824951649</v>
      </c>
      <c r="W11" s="62">
        <v>23.453816120976942</v>
      </c>
      <c r="X11" s="62">
        <v>13.030667089268755</v>
      </c>
      <c r="Y11" s="66">
        <v>222.288371450265</v>
      </c>
      <c r="Z11" s="66">
        <v>123.50083036565836</v>
      </c>
      <c r="AA11" s="67">
        <v>0</v>
      </c>
      <c r="AB11" s="68">
        <v>54.753660074868698</v>
      </c>
      <c r="AC11" s="69">
        <v>0</v>
      </c>
      <c r="AD11" s="69">
        <v>14.134574851062567</v>
      </c>
      <c r="AE11" s="68">
        <v>8.923260027240099</v>
      </c>
      <c r="AF11" s="68">
        <v>4.9576593491729684</v>
      </c>
      <c r="AG11" s="68">
        <v>0.64284358876133296</v>
      </c>
      <c r="AH11" s="69">
        <v>303.18249874114986</v>
      </c>
      <c r="AI11" s="69">
        <v>1077.2773288726803</v>
      </c>
      <c r="AJ11" s="69">
        <v>3036.0175313313798</v>
      </c>
      <c r="AK11" s="69">
        <v>400.59679322242744</v>
      </c>
      <c r="AL11" s="69">
        <v>3581.4237426757804</v>
      </c>
      <c r="AM11" s="69">
        <v>2590.1525828043618</v>
      </c>
      <c r="AN11" s="69">
        <v>364.58308410644531</v>
      </c>
      <c r="AO11" s="69">
        <v>1950.5300903320312</v>
      </c>
      <c r="AP11" s="69">
        <v>308.58390685717262</v>
      </c>
      <c r="AQ11" s="69">
        <v>698.43042233785013</v>
      </c>
    </row>
    <row r="12" spans="1:53" x14ac:dyDescent="0.25">
      <c r="A12" s="11">
        <v>42679</v>
      </c>
      <c r="B12" s="59"/>
      <c r="C12" s="60">
        <v>60.701722641785551</v>
      </c>
      <c r="D12" s="60">
        <v>714.66729173660167</v>
      </c>
      <c r="E12" s="50">
        <v>17.540187895298025</v>
      </c>
      <c r="F12" s="60">
        <v>0</v>
      </c>
      <c r="G12" s="60">
        <v>2447.8509338378963</v>
      </c>
      <c r="H12" s="61">
        <v>25.026474471886932</v>
      </c>
      <c r="I12" s="59">
        <v>231.14946689605679</v>
      </c>
      <c r="J12" s="60">
        <v>396.25310249328669</v>
      </c>
      <c r="K12" s="60">
        <v>21.852969256540167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223.59358906579729</v>
      </c>
      <c r="V12" s="62">
        <v>128.77512877418565</v>
      </c>
      <c r="W12" s="62">
        <v>22.592338738333371</v>
      </c>
      <c r="X12" s="62">
        <v>13.011693861592645</v>
      </c>
      <c r="Y12" s="66">
        <v>215.21643772126356</v>
      </c>
      <c r="Z12" s="66">
        <v>123.95044329165279</v>
      </c>
      <c r="AA12" s="67">
        <v>0</v>
      </c>
      <c r="AB12" s="68">
        <v>54.752812949815123</v>
      </c>
      <c r="AC12" s="69">
        <v>0</v>
      </c>
      <c r="AD12" s="69">
        <v>13.694286447432308</v>
      </c>
      <c r="AE12" s="68">
        <v>8.5808964630579272</v>
      </c>
      <c r="AF12" s="68">
        <v>4.9420292041694758</v>
      </c>
      <c r="AG12" s="68">
        <v>0.63454437850335854</v>
      </c>
      <c r="AH12" s="69">
        <v>224.39305671850843</v>
      </c>
      <c r="AI12" s="69">
        <v>1033.7598446528116</v>
      </c>
      <c r="AJ12" s="69">
        <v>3014.5614847819006</v>
      </c>
      <c r="AK12" s="69">
        <v>406.5969916820527</v>
      </c>
      <c r="AL12" s="69">
        <v>3670.1243428548182</v>
      </c>
      <c r="AM12" s="69">
        <v>2476.604816563924</v>
      </c>
      <c r="AN12" s="69">
        <v>364.58308410644531</v>
      </c>
      <c r="AO12" s="69">
        <v>1950.5300903320312</v>
      </c>
      <c r="AP12" s="69">
        <v>308.65936574935915</v>
      </c>
      <c r="AQ12" s="69">
        <v>648.90139188766489</v>
      </c>
    </row>
    <row r="13" spans="1:53" x14ac:dyDescent="0.25">
      <c r="A13" s="11">
        <v>42680</v>
      </c>
      <c r="B13" s="59"/>
      <c r="C13" s="60">
        <v>60.406364814440337</v>
      </c>
      <c r="D13" s="60">
        <v>725.2450785001115</v>
      </c>
      <c r="E13" s="50">
        <v>17.523632880051945</v>
      </c>
      <c r="F13" s="60">
        <v>0</v>
      </c>
      <c r="G13" s="60">
        <v>2489.4008888244625</v>
      </c>
      <c r="H13" s="61">
        <v>25.007926240563403</v>
      </c>
      <c r="I13" s="59">
        <v>233.36605364481571</v>
      </c>
      <c r="J13" s="60">
        <v>395.86914078394705</v>
      </c>
      <c r="K13" s="60">
        <v>21.794582818945276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234.74376801338656</v>
      </c>
      <c r="V13" s="62">
        <v>130.42442126850125</v>
      </c>
      <c r="W13" s="62">
        <v>23.464629966292815</v>
      </c>
      <c r="X13" s="62">
        <v>13.037026752756017</v>
      </c>
      <c r="Y13" s="66">
        <v>226.84815589213505</v>
      </c>
      <c r="Z13" s="66">
        <v>126.03759281213914</v>
      </c>
      <c r="AA13" s="67">
        <v>0</v>
      </c>
      <c r="AB13" s="68">
        <v>54.754597163199719</v>
      </c>
      <c r="AC13" s="69">
        <v>0</v>
      </c>
      <c r="AD13" s="69">
        <v>14.16150528921024</v>
      </c>
      <c r="AE13" s="68">
        <v>8.9990603310772741</v>
      </c>
      <c r="AF13" s="68">
        <v>4.9999079659237173</v>
      </c>
      <c r="AG13" s="68">
        <v>0.64283739631049441</v>
      </c>
      <c r="AH13" s="69">
        <v>222.73619538942972</v>
      </c>
      <c r="AI13" s="69">
        <v>1036.8289249420163</v>
      </c>
      <c r="AJ13" s="69">
        <v>3031.634830474854</v>
      </c>
      <c r="AK13" s="69">
        <v>403.89957456588735</v>
      </c>
      <c r="AL13" s="69">
        <v>3753.1603197733552</v>
      </c>
      <c r="AM13" s="69">
        <v>2501.4781948089599</v>
      </c>
      <c r="AN13" s="69">
        <v>364.58308410644531</v>
      </c>
      <c r="AO13" s="69">
        <v>1950.5300903320312</v>
      </c>
      <c r="AP13" s="69">
        <v>306.36164107322691</v>
      </c>
      <c r="AQ13" s="69">
        <v>626.52866408030184</v>
      </c>
    </row>
    <row r="14" spans="1:53" x14ac:dyDescent="0.25">
      <c r="A14" s="11">
        <v>42681</v>
      </c>
      <c r="B14" s="59"/>
      <c r="C14" s="60">
        <v>61.175535837808873</v>
      </c>
      <c r="D14" s="60">
        <v>723.55692189534363</v>
      </c>
      <c r="E14" s="50">
        <v>17.489333391189565</v>
      </c>
      <c r="F14" s="60">
        <v>0</v>
      </c>
      <c r="G14" s="60">
        <v>2496.2283383687372</v>
      </c>
      <c r="H14" s="61">
        <v>24.919640370209979</v>
      </c>
      <c r="I14" s="59">
        <v>235.38766280809975</v>
      </c>
      <c r="J14" s="60">
        <v>395.64916350046815</v>
      </c>
      <c r="K14" s="60">
        <v>21.721842356026169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230.41076653273282</v>
      </c>
      <c r="V14" s="62">
        <v>128.02918142208304</v>
      </c>
      <c r="W14" s="62">
        <v>27.508941281042361</v>
      </c>
      <c r="X14" s="62">
        <v>15.285515026050939</v>
      </c>
      <c r="Y14" s="66">
        <v>226.71704042450369</v>
      </c>
      <c r="Z14" s="66">
        <v>125.97673944139649</v>
      </c>
      <c r="AA14" s="67">
        <v>0</v>
      </c>
      <c r="AB14" s="68">
        <v>54.752638589010203</v>
      </c>
      <c r="AC14" s="69">
        <v>0</v>
      </c>
      <c r="AD14" s="69">
        <v>14.161581298377765</v>
      </c>
      <c r="AE14" s="68">
        <v>8.9986031011441607</v>
      </c>
      <c r="AF14" s="68">
        <v>5.0001300126660384</v>
      </c>
      <c r="AG14" s="68">
        <v>0.64281553394762203</v>
      </c>
      <c r="AH14" s="69">
        <v>229.87747514247894</v>
      </c>
      <c r="AI14" s="69">
        <v>1040.5890888849892</v>
      </c>
      <c r="AJ14" s="69">
        <v>3045.0444690704344</v>
      </c>
      <c r="AK14" s="69">
        <v>408.65759898821511</v>
      </c>
      <c r="AL14" s="69">
        <v>3688.1592168172201</v>
      </c>
      <c r="AM14" s="69">
        <v>2535.2953123728435</v>
      </c>
      <c r="AN14" s="69">
        <v>364.58308410644531</v>
      </c>
      <c r="AO14" s="69">
        <v>1950.5300903320312</v>
      </c>
      <c r="AP14" s="69">
        <v>308.51923955281575</v>
      </c>
      <c r="AQ14" s="69">
        <v>604.93314123153687</v>
      </c>
    </row>
    <row r="15" spans="1:53" x14ac:dyDescent="0.25">
      <c r="A15" s="11">
        <v>42682</v>
      </c>
      <c r="B15" s="59"/>
      <c r="C15" s="60">
        <v>60.977857649326573</v>
      </c>
      <c r="D15" s="60">
        <v>724.26751082738133</v>
      </c>
      <c r="E15" s="50">
        <v>17.480809773008023</v>
      </c>
      <c r="F15" s="60">
        <v>0</v>
      </c>
      <c r="G15" s="60">
        <v>2496.3667611440055</v>
      </c>
      <c r="H15" s="61">
        <v>24.90164370735485</v>
      </c>
      <c r="I15" s="59">
        <v>204.09130306243918</v>
      </c>
      <c r="J15" s="60">
        <v>393.52923062642469</v>
      </c>
      <c r="K15" s="60">
        <v>21.220387504498174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202.59494878469897</v>
      </c>
      <c r="V15" s="62">
        <v>125.41867893517926</v>
      </c>
      <c r="W15" s="62">
        <v>25.46754211289316</v>
      </c>
      <c r="X15" s="62">
        <v>15.765968039605635</v>
      </c>
      <c r="Y15" s="66">
        <v>203.03352217017712</v>
      </c>
      <c r="Z15" s="66">
        <v>125.69018271625949</v>
      </c>
      <c r="AA15" s="67">
        <v>0</v>
      </c>
      <c r="AB15" s="68">
        <v>54.752408319048243</v>
      </c>
      <c r="AC15" s="69">
        <v>0</v>
      </c>
      <c r="AD15" s="69">
        <v>13.182479970653866</v>
      </c>
      <c r="AE15" s="68">
        <v>8.0318226251790072</v>
      </c>
      <c r="AF15" s="68">
        <v>4.9721900231686043</v>
      </c>
      <c r="AG15" s="68">
        <v>0.61764186504383256</v>
      </c>
      <c r="AH15" s="69">
        <v>227.74555491606395</v>
      </c>
      <c r="AI15" s="69">
        <v>1042.9864434560141</v>
      </c>
      <c r="AJ15" s="69">
        <v>3050.4187192281088</v>
      </c>
      <c r="AK15" s="69">
        <v>413.78628228505448</v>
      </c>
      <c r="AL15" s="69">
        <v>3588.6058092753092</v>
      </c>
      <c r="AM15" s="69">
        <v>2442.0100397745769</v>
      </c>
      <c r="AN15" s="69">
        <v>364.58308410644531</v>
      </c>
      <c r="AO15" s="69">
        <v>1950.5300903320312</v>
      </c>
      <c r="AP15" s="69">
        <v>315.23515944480897</v>
      </c>
      <c r="AQ15" s="69">
        <v>664.35541992187507</v>
      </c>
    </row>
    <row r="16" spans="1:53" x14ac:dyDescent="0.25">
      <c r="A16" s="11">
        <v>42683</v>
      </c>
      <c r="B16" s="59"/>
      <c r="C16" s="60">
        <v>60.658455348014492</v>
      </c>
      <c r="D16" s="60">
        <v>724.20338919957362</v>
      </c>
      <c r="E16" s="50">
        <v>17.105327174067487</v>
      </c>
      <c r="F16" s="60">
        <v>0</v>
      </c>
      <c r="G16" s="60">
        <v>2496.2302154541003</v>
      </c>
      <c r="H16" s="61">
        <v>24.949050671855616</v>
      </c>
      <c r="I16" s="59">
        <v>170.87495532035814</v>
      </c>
      <c r="J16" s="60">
        <v>401.16458156903587</v>
      </c>
      <c r="K16" s="60">
        <v>21.93736985723179</v>
      </c>
      <c r="L16" s="50">
        <v>0</v>
      </c>
      <c r="M16" s="5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184.9516723536677</v>
      </c>
      <c r="V16" s="62">
        <v>95.724528878606094</v>
      </c>
      <c r="W16" s="62">
        <v>24.249752202270408</v>
      </c>
      <c r="X16" s="62">
        <v>12.550825172029015</v>
      </c>
      <c r="Y16" s="66">
        <v>182.18730844739892</v>
      </c>
      <c r="Z16" s="66">
        <v>94.293790625693205</v>
      </c>
      <c r="AA16" s="67">
        <v>0</v>
      </c>
      <c r="AB16" s="68">
        <v>54.902659765880017</v>
      </c>
      <c r="AC16" s="69">
        <v>0</v>
      </c>
      <c r="AD16" s="69">
        <v>10.776305744383071</v>
      </c>
      <c r="AE16" s="68">
        <v>6.9179715885532413</v>
      </c>
      <c r="AF16" s="68">
        <v>3.5805005852746969</v>
      </c>
      <c r="AG16" s="68">
        <v>0.65895031905683665</v>
      </c>
      <c r="AH16" s="69">
        <v>244.68603165944415</v>
      </c>
      <c r="AI16" s="69">
        <v>1037.5489295959474</v>
      </c>
      <c r="AJ16" s="69">
        <v>3039.8277360280358</v>
      </c>
      <c r="AK16" s="69">
        <v>424.97502276102693</v>
      </c>
      <c r="AL16" s="69">
        <v>3547.3203917185465</v>
      </c>
      <c r="AM16" s="69">
        <v>2200.5391483306885</v>
      </c>
      <c r="AN16" s="69">
        <v>364.58308410644531</v>
      </c>
      <c r="AO16" s="69">
        <v>1950.5300903320312</v>
      </c>
      <c r="AP16" s="69">
        <v>334.12024318377178</v>
      </c>
      <c r="AQ16" s="69">
        <v>723.08491541544606</v>
      </c>
    </row>
    <row r="17" spans="1:43" x14ac:dyDescent="0.25">
      <c r="A17" s="11">
        <v>42684</v>
      </c>
      <c r="B17" s="49"/>
      <c r="C17" s="50">
        <v>61.413934226831472</v>
      </c>
      <c r="D17" s="50">
        <v>730.69577817916809</v>
      </c>
      <c r="E17" s="50">
        <v>16.899578243494034</v>
      </c>
      <c r="F17" s="50">
        <v>0</v>
      </c>
      <c r="G17" s="50">
        <v>2458.5954662322983</v>
      </c>
      <c r="H17" s="51">
        <v>25.175990012288072</v>
      </c>
      <c r="I17" s="49">
        <v>201.74381736119616</v>
      </c>
      <c r="J17" s="50">
        <v>398.57965577443412</v>
      </c>
      <c r="K17" s="50">
        <v>21.94818603495758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236.37962444808042</v>
      </c>
      <c r="V17" s="66">
        <v>131.32682243268206</v>
      </c>
      <c r="W17" s="62">
        <v>30.552187886570959</v>
      </c>
      <c r="X17" s="62">
        <v>16.974059261148074</v>
      </c>
      <c r="Y17" s="66">
        <v>235.68804391580548</v>
      </c>
      <c r="Z17" s="66">
        <v>130.94259695651405</v>
      </c>
      <c r="AA17" s="67">
        <v>0</v>
      </c>
      <c r="AB17" s="68">
        <v>55.075904146831178</v>
      </c>
      <c r="AC17" s="69">
        <v>0</v>
      </c>
      <c r="AD17" s="69">
        <v>14.240110046333742</v>
      </c>
      <c r="AE17" s="68">
        <v>8.9992768349542214</v>
      </c>
      <c r="AF17" s="68">
        <v>4.9997813207718691</v>
      </c>
      <c r="AG17" s="68">
        <v>0.6428487355967738</v>
      </c>
      <c r="AH17" s="69">
        <v>240.12166439692177</v>
      </c>
      <c r="AI17" s="69">
        <v>1034.0823868433636</v>
      </c>
      <c r="AJ17" s="69">
        <v>3038.5876979827876</v>
      </c>
      <c r="AK17" s="69">
        <v>410.60839249293008</v>
      </c>
      <c r="AL17" s="69">
        <v>3595.5850769042972</v>
      </c>
      <c r="AM17" s="69">
        <v>2435.8632637023925</v>
      </c>
      <c r="AN17" s="69">
        <v>364.58308410644531</v>
      </c>
      <c r="AO17" s="69">
        <v>1950.5300903320312</v>
      </c>
      <c r="AP17" s="69">
        <v>328.34828920364379</v>
      </c>
      <c r="AQ17" s="69">
        <v>667.05794296264639</v>
      </c>
    </row>
    <row r="18" spans="1:43" x14ac:dyDescent="0.25">
      <c r="A18" s="11">
        <v>42685</v>
      </c>
      <c r="B18" s="59"/>
      <c r="C18" s="60">
        <v>61.421011626720201</v>
      </c>
      <c r="D18" s="60">
        <v>724.52310091654522</v>
      </c>
      <c r="E18" s="50">
        <v>16.810484428207058</v>
      </c>
      <c r="F18" s="60">
        <v>0</v>
      </c>
      <c r="G18" s="60">
        <v>2449.8085311889686</v>
      </c>
      <c r="H18" s="61">
        <v>24.99875851571565</v>
      </c>
      <c r="I18" s="59">
        <v>221.18675063451113</v>
      </c>
      <c r="J18" s="60">
        <v>399.23504784902008</v>
      </c>
      <c r="K18" s="60">
        <v>21.976910206178836</v>
      </c>
      <c r="L18" s="50">
        <v>0</v>
      </c>
      <c r="M18" s="5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238.48907346504834</v>
      </c>
      <c r="V18" s="62">
        <v>132.51171668591249</v>
      </c>
      <c r="W18" s="62">
        <v>31.273581484326531</v>
      </c>
      <c r="X18" s="62">
        <v>17.376544380815059</v>
      </c>
      <c r="Y18" s="66">
        <v>232.36859886476731</v>
      </c>
      <c r="Z18" s="66">
        <v>129.11099654208323</v>
      </c>
      <c r="AA18" s="67">
        <v>0</v>
      </c>
      <c r="AB18" s="68">
        <v>55.078356499143588</v>
      </c>
      <c r="AC18" s="69">
        <v>0</v>
      </c>
      <c r="AD18" s="69">
        <v>14.238997450802092</v>
      </c>
      <c r="AE18" s="68">
        <v>8.9986001951052046</v>
      </c>
      <c r="AF18" s="68">
        <v>4.9998934638753285</v>
      </c>
      <c r="AG18" s="68">
        <v>0.64282632219733749</v>
      </c>
      <c r="AH18" s="69">
        <v>236.1709859132767</v>
      </c>
      <c r="AI18" s="69">
        <v>1059.8789450327556</v>
      </c>
      <c r="AJ18" s="69">
        <v>3023.1766963958739</v>
      </c>
      <c r="AK18" s="69">
        <v>407.10607318878175</v>
      </c>
      <c r="AL18" s="69">
        <v>3528.500123469034</v>
      </c>
      <c r="AM18" s="69">
        <v>2460.5570482889812</v>
      </c>
      <c r="AN18" s="69">
        <v>364.58308410644531</v>
      </c>
      <c r="AO18" s="69">
        <v>1950.5300903320312</v>
      </c>
      <c r="AP18" s="69">
        <v>315.79495919545491</v>
      </c>
      <c r="AQ18" s="69">
        <v>574.9104884783427</v>
      </c>
    </row>
    <row r="19" spans="1:43" x14ac:dyDescent="0.25">
      <c r="A19" s="11">
        <v>42686</v>
      </c>
      <c r="B19" s="59"/>
      <c r="C19" s="60">
        <v>60.514028505484717</v>
      </c>
      <c r="D19" s="60">
        <v>724.08517986933271</v>
      </c>
      <c r="E19" s="50">
        <v>16.779757384459153</v>
      </c>
      <c r="F19" s="60">
        <v>0</v>
      </c>
      <c r="G19" s="60">
        <v>2447.4977392832325</v>
      </c>
      <c r="H19" s="61">
        <v>24.924437741438535</v>
      </c>
      <c r="I19" s="59">
        <v>207.6559127489727</v>
      </c>
      <c r="J19" s="60">
        <v>364.69392023086544</v>
      </c>
      <c r="K19" s="60">
        <v>20.098831822474796</v>
      </c>
      <c r="L19" s="50">
        <v>0</v>
      </c>
      <c r="M19" s="5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214.13771187199319</v>
      </c>
      <c r="V19" s="62">
        <v>130.78073532581567</v>
      </c>
      <c r="W19" s="62">
        <v>28.401166814519851</v>
      </c>
      <c r="X19" s="62">
        <v>17.345499060597053</v>
      </c>
      <c r="Y19" s="66">
        <v>208.9947537610343</v>
      </c>
      <c r="Z19" s="66">
        <v>127.63976665840443</v>
      </c>
      <c r="AA19" s="67">
        <v>0</v>
      </c>
      <c r="AB19" s="68">
        <v>55.076732757357512</v>
      </c>
      <c r="AC19" s="69">
        <v>0</v>
      </c>
      <c r="AD19" s="69">
        <v>13.268237413300382</v>
      </c>
      <c r="AE19" s="68">
        <v>8.1009403887829112</v>
      </c>
      <c r="AF19" s="68">
        <v>4.947502855120363</v>
      </c>
      <c r="AG19" s="68">
        <v>0.62083577614271923</v>
      </c>
      <c r="AH19" s="69">
        <v>223.74276677767438</v>
      </c>
      <c r="AI19" s="69">
        <v>1036.1987824757894</v>
      </c>
      <c r="AJ19" s="69">
        <v>3005.3357875823981</v>
      </c>
      <c r="AK19" s="69">
        <v>413.01633513768513</v>
      </c>
      <c r="AL19" s="69">
        <v>3582.754069264729</v>
      </c>
      <c r="AM19" s="69">
        <v>2419.8838554382323</v>
      </c>
      <c r="AN19" s="69">
        <v>364.58308410644531</v>
      </c>
      <c r="AO19" s="69">
        <v>1950.5300903320312</v>
      </c>
      <c r="AP19" s="69">
        <v>317.11559662818911</v>
      </c>
      <c r="AQ19" s="69">
        <v>694.21775283813486</v>
      </c>
    </row>
    <row r="20" spans="1:43" x14ac:dyDescent="0.25">
      <c r="A20" s="11">
        <v>42687</v>
      </c>
      <c r="B20" s="59"/>
      <c r="C20" s="60">
        <v>60.528653502464877</v>
      </c>
      <c r="D20" s="60">
        <v>707.98298870722419</v>
      </c>
      <c r="E20" s="50">
        <v>16.476687367260425</v>
      </c>
      <c r="F20" s="60">
        <v>0</v>
      </c>
      <c r="G20" s="60">
        <v>2450.0599163055372</v>
      </c>
      <c r="H20" s="61">
        <v>24.553707758585585</v>
      </c>
      <c r="I20" s="59">
        <v>216.56249489784199</v>
      </c>
      <c r="J20" s="60">
        <v>374.58836172421786</v>
      </c>
      <c r="K20" s="60">
        <v>20.651109208663343</v>
      </c>
      <c r="L20" s="50">
        <v>0</v>
      </c>
      <c r="M20" s="5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219.17166653057822</v>
      </c>
      <c r="V20" s="62">
        <v>119.97823218921442</v>
      </c>
      <c r="W20" s="62">
        <v>28.728908349074722</v>
      </c>
      <c r="X20" s="62">
        <v>15.726684434217475</v>
      </c>
      <c r="Y20" s="66">
        <v>214.5113440929014</v>
      </c>
      <c r="Z20" s="66">
        <v>117.42709382194656</v>
      </c>
      <c r="AA20" s="67">
        <v>0</v>
      </c>
      <c r="AB20" s="68">
        <v>52.543504590459207</v>
      </c>
      <c r="AC20" s="69">
        <v>0</v>
      </c>
      <c r="AD20" s="69">
        <v>13.075469248162364</v>
      </c>
      <c r="AE20" s="68">
        <v>8.2981710391588273</v>
      </c>
      <c r="AF20" s="68">
        <v>4.5425574730623737</v>
      </c>
      <c r="AG20" s="68">
        <v>0.64623833696515109</v>
      </c>
      <c r="AH20" s="69">
        <v>225.48450097242991</v>
      </c>
      <c r="AI20" s="69">
        <v>1038.675264930725</v>
      </c>
      <c r="AJ20" s="69">
        <v>3006.0907426198323</v>
      </c>
      <c r="AK20" s="69">
        <v>411.05278855959568</v>
      </c>
      <c r="AL20" s="69">
        <v>3524.796095530191</v>
      </c>
      <c r="AM20" s="69">
        <v>2436.6485632578533</v>
      </c>
      <c r="AN20" s="69">
        <v>364.58308410644531</v>
      </c>
      <c r="AO20" s="69">
        <v>1950.5300903320312</v>
      </c>
      <c r="AP20" s="69">
        <v>310.42651494344079</v>
      </c>
      <c r="AQ20" s="69">
        <v>636.12403980890917</v>
      </c>
    </row>
    <row r="21" spans="1:43" x14ac:dyDescent="0.25">
      <c r="A21" s="11">
        <v>42688</v>
      </c>
      <c r="B21" s="59"/>
      <c r="C21" s="60">
        <v>57.902587056160762</v>
      </c>
      <c r="D21" s="60">
        <v>682.24492966334037</v>
      </c>
      <c r="E21" s="50">
        <v>15.964956852793687</v>
      </c>
      <c r="F21" s="60">
        <v>0</v>
      </c>
      <c r="G21" s="60">
        <v>2240.7677448272689</v>
      </c>
      <c r="H21" s="61">
        <v>21.654512415329581</v>
      </c>
      <c r="I21" s="59">
        <v>240.887329737345</v>
      </c>
      <c r="J21" s="60">
        <v>410.0225365956623</v>
      </c>
      <c r="K21" s="60">
        <v>22.656260442733746</v>
      </c>
      <c r="L21" s="50">
        <v>0</v>
      </c>
      <c r="M21" s="5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245.01389355428381</v>
      </c>
      <c r="V21" s="62">
        <v>125.79100992116129</v>
      </c>
      <c r="W21" s="62">
        <v>32.361155723462915</v>
      </c>
      <c r="X21" s="62">
        <v>16.614333177675412</v>
      </c>
      <c r="Y21" s="66">
        <v>237.81989981779591</v>
      </c>
      <c r="Z21" s="66">
        <v>122.09758778761673</v>
      </c>
      <c r="AA21" s="67">
        <v>0</v>
      </c>
      <c r="AB21" s="68">
        <v>54.61064635117728</v>
      </c>
      <c r="AC21" s="69">
        <v>0</v>
      </c>
      <c r="AD21" s="69">
        <v>14.246897346443593</v>
      </c>
      <c r="AE21" s="68">
        <v>9.2502945334214459</v>
      </c>
      <c r="AF21" s="68">
        <v>4.7491343227419049</v>
      </c>
      <c r="AG21" s="68">
        <v>0.66076228026609352</v>
      </c>
      <c r="AH21" s="69">
        <v>221.13025767008466</v>
      </c>
      <c r="AI21" s="69">
        <v>1037.4557342529297</v>
      </c>
      <c r="AJ21" s="69">
        <v>3028.2094195048007</v>
      </c>
      <c r="AK21" s="69">
        <v>413.08360980351762</v>
      </c>
      <c r="AL21" s="69">
        <v>3421.3758323669435</v>
      </c>
      <c r="AM21" s="69">
        <v>2440.210008239746</v>
      </c>
      <c r="AN21" s="69">
        <v>364.58308410644531</v>
      </c>
      <c r="AO21" s="69">
        <v>1950.5300903320312</v>
      </c>
      <c r="AP21" s="69">
        <v>323.75023911794023</v>
      </c>
      <c r="AQ21" s="69">
        <v>726.87489023208605</v>
      </c>
    </row>
    <row r="22" spans="1:43" x14ac:dyDescent="0.25">
      <c r="A22" s="11">
        <v>42689</v>
      </c>
      <c r="B22" s="59"/>
      <c r="C22" s="60">
        <v>57.256467191378725</v>
      </c>
      <c r="D22" s="60">
        <v>682.240588442486</v>
      </c>
      <c r="E22" s="50">
        <v>15.946768170595142</v>
      </c>
      <c r="F22" s="60">
        <v>0</v>
      </c>
      <c r="G22" s="60">
        <v>2310.7025171915725</v>
      </c>
      <c r="H22" s="61">
        <v>23.70632414619125</v>
      </c>
      <c r="I22" s="59">
        <v>242.04328646659778</v>
      </c>
      <c r="J22" s="60">
        <v>409.93101917902567</v>
      </c>
      <c r="K22" s="60">
        <v>22.575509984791253</v>
      </c>
      <c r="L22" s="50">
        <v>0</v>
      </c>
      <c r="M22" s="5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244.58467867040267</v>
      </c>
      <c r="V22" s="62">
        <v>125.59015558100076</v>
      </c>
      <c r="W22" s="62">
        <v>31.972151746033859</v>
      </c>
      <c r="X22" s="62">
        <v>16.417166986386796</v>
      </c>
      <c r="Y22" s="66">
        <v>230.07333165768398</v>
      </c>
      <c r="Z22" s="66">
        <v>118.13882077571162</v>
      </c>
      <c r="AA22" s="67">
        <v>0</v>
      </c>
      <c r="AB22" s="68">
        <v>54.750866344238339</v>
      </c>
      <c r="AC22" s="69">
        <v>0</v>
      </c>
      <c r="AD22" s="69">
        <v>14.241835665702837</v>
      </c>
      <c r="AE22" s="68">
        <v>9.2507990394693849</v>
      </c>
      <c r="AF22" s="68">
        <v>4.7501311076854629</v>
      </c>
      <c r="AG22" s="68">
        <v>0.66072746183575926</v>
      </c>
      <c r="AH22" s="69">
        <v>223.85230034987126</v>
      </c>
      <c r="AI22" s="69">
        <v>1020.61534576416</v>
      </c>
      <c r="AJ22" s="69">
        <v>3057.4745034535722</v>
      </c>
      <c r="AK22" s="69">
        <v>417.73085540135708</v>
      </c>
      <c r="AL22" s="69">
        <v>3459.2667414347334</v>
      </c>
      <c r="AM22" s="69">
        <v>2459.449759928385</v>
      </c>
      <c r="AN22" s="69">
        <v>364.58308410644531</v>
      </c>
      <c r="AO22" s="69">
        <v>1950.5300903320312</v>
      </c>
      <c r="AP22" s="69">
        <v>318.81434847513839</v>
      </c>
      <c r="AQ22" s="69">
        <v>841.37952340443928</v>
      </c>
    </row>
    <row r="23" spans="1:43" x14ac:dyDescent="0.25">
      <c r="A23" s="11">
        <v>42690</v>
      </c>
      <c r="B23" s="59"/>
      <c r="C23" s="60">
        <v>57.821615250906419</v>
      </c>
      <c r="D23" s="60">
        <v>679.42488962809148</v>
      </c>
      <c r="E23" s="50">
        <v>15.97157746553418</v>
      </c>
      <c r="F23" s="60">
        <v>0</v>
      </c>
      <c r="G23" s="60">
        <v>2335.6177155812607</v>
      </c>
      <c r="H23" s="61">
        <v>23.657258426149696</v>
      </c>
      <c r="I23" s="59">
        <v>244.09502953688283</v>
      </c>
      <c r="J23" s="60">
        <v>409.86107513109869</v>
      </c>
      <c r="K23" s="60">
        <v>22.556813127299144</v>
      </c>
      <c r="L23" s="50">
        <v>0</v>
      </c>
      <c r="M23" s="5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233.61431373641724</v>
      </c>
      <c r="V23" s="62">
        <v>124.51589085639232</v>
      </c>
      <c r="W23" s="62">
        <v>29.938643051865</v>
      </c>
      <c r="X23" s="62">
        <v>15.957227752921684</v>
      </c>
      <c r="Y23" s="66">
        <v>216.72852202416377</v>
      </c>
      <c r="Z23" s="66">
        <v>115.51580278713558</v>
      </c>
      <c r="AA23" s="67">
        <v>0</v>
      </c>
      <c r="AB23" s="68">
        <v>55.030473348829467</v>
      </c>
      <c r="AC23" s="69">
        <v>0</v>
      </c>
      <c r="AD23" s="69">
        <v>13.561567411157817</v>
      </c>
      <c r="AE23" s="68">
        <v>8.7293160016480442</v>
      </c>
      <c r="AF23" s="68">
        <v>4.6527053121348541</v>
      </c>
      <c r="AG23" s="68">
        <v>0.65231670141320353</v>
      </c>
      <c r="AH23" s="69">
        <v>256.55971444447835</v>
      </c>
      <c r="AI23" s="69">
        <v>1057.6559555689494</v>
      </c>
      <c r="AJ23" s="69">
        <v>3054.04746462504</v>
      </c>
      <c r="AK23" s="69">
        <v>428.44304647445688</v>
      </c>
      <c r="AL23" s="69">
        <v>3523.6420272827149</v>
      </c>
      <c r="AM23" s="69">
        <v>2513.3743340810142</v>
      </c>
      <c r="AN23" s="69">
        <v>364.58308410644531</v>
      </c>
      <c r="AO23" s="69">
        <v>1950.5300903320312</v>
      </c>
      <c r="AP23" s="69">
        <v>316.83223309516904</v>
      </c>
      <c r="AQ23" s="69">
        <v>825.17898689905803</v>
      </c>
    </row>
    <row r="24" spans="1:43" x14ac:dyDescent="0.25">
      <c r="A24" s="11">
        <v>42691</v>
      </c>
      <c r="B24" s="59"/>
      <c r="C24" s="60">
        <v>57.361874783039212</v>
      </c>
      <c r="D24" s="60">
        <v>671.94579817453939</v>
      </c>
      <c r="E24" s="50">
        <v>15.959196054935431</v>
      </c>
      <c r="F24" s="60">
        <v>0</v>
      </c>
      <c r="G24" s="60">
        <v>2333.9574317932097</v>
      </c>
      <c r="H24" s="61">
        <v>23.595279207825644</v>
      </c>
      <c r="I24" s="59">
        <v>234.40519641240439</v>
      </c>
      <c r="J24" s="60">
        <v>399.08159055709808</v>
      </c>
      <c r="K24" s="60">
        <v>21.863506580392524</v>
      </c>
      <c r="L24" s="50">
        <v>0</v>
      </c>
      <c r="M24" s="5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249.11139164966644</v>
      </c>
      <c r="V24" s="62">
        <v>129.49802770679193</v>
      </c>
      <c r="W24" s="62">
        <v>33.058619201669707</v>
      </c>
      <c r="X24" s="62">
        <v>17.18518754592586</v>
      </c>
      <c r="Y24" s="66">
        <v>227.44176357375878</v>
      </c>
      <c r="Z24" s="66">
        <v>118.23329156451152</v>
      </c>
      <c r="AA24" s="67">
        <v>0</v>
      </c>
      <c r="AB24" s="68">
        <v>54.452893156476009</v>
      </c>
      <c r="AC24" s="69">
        <v>0</v>
      </c>
      <c r="AD24" s="69">
        <v>14.046801429986941</v>
      </c>
      <c r="AE24" s="68">
        <v>9.1369141096893287</v>
      </c>
      <c r="AF24" s="68">
        <v>4.7497320323075272</v>
      </c>
      <c r="AG24" s="68">
        <v>0.65796406247127637</v>
      </c>
      <c r="AH24" s="69">
        <v>290.46398910681404</v>
      </c>
      <c r="AI24" s="69">
        <v>1133.8764554341631</v>
      </c>
      <c r="AJ24" s="69">
        <v>3154.1129627227783</v>
      </c>
      <c r="AK24" s="69">
        <v>424.98727882703133</v>
      </c>
      <c r="AL24" s="69">
        <v>3694.6600327809651</v>
      </c>
      <c r="AM24" s="69">
        <v>2544.3429667154951</v>
      </c>
      <c r="AN24" s="69">
        <v>364.58308410644531</v>
      </c>
      <c r="AO24" s="69">
        <v>1950.5300903320312</v>
      </c>
      <c r="AP24" s="69">
        <v>321.01850686073305</v>
      </c>
      <c r="AQ24" s="69">
        <v>644.39062236150107</v>
      </c>
    </row>
    <row r="25" spans="1:43" x14ac:dyDescent="0.25">
      <c r="A25" s="11">
        <v>42692</v>
      </c>
      <c r="B25" s="59"/>
      <c r="C25" s="60">
        <v>57.782306396961609</v>
      </c>
      <c r="D25" s="60">
        <v>661.16350943247505</v>
      </c>
      <c r="E25" s="50">
        <v>15.929560441772123</v>
      </c>
      <c r="F25" s="60">
        <v>0</v>
      </c>
      <c r="G25" s="60">
        <v>2331.6615414937328</v>
      </c>
      <c r="H25" s="61">
        <v>23.648322300116217</v>
      </c>
      <c r="I25" s="59">
        <v>225.17860239346834</v>
      </c>
      <c r="J25" s="60">
        <v>390.35427602132182</v>
      </c>
      <c r="K25" s="60">
        <v>21.504718020558322</v>
      </c>
      <c r="L25" s="50">
        <v>0</v>
      </c>
      <c r="M25" s="5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240.00853905706543</v>
      </c>
      <c r="V25" s="62">
        <v>128.50228179796301</v>
      </c>
      <c r="W25" s="62">
        <v>32.425879251498735</v>
      </c>
      <c r="X25" s="62">
        <v>17.361046775640329</v>
      </c>
      <c r="Y25" s="66">
        <v>220.67210876695739</v>
      </c>
      <c r="Z25" s="66">
        <v>118.14941925453766</v>
      </c>
      <c r="AA25" s="67">
        <v>0</v>
      </c>
      <c r="AB25" s="68">
        <v>53.623798184923636</v>
      </c>
      <c r="AC25" s="69">
        <v>0</v>
      </c>
      <c r="AD25" s="69">
        <v>13.772680183913998</v>
      </c>
      <c r="AE25" s="68">
        <v>8.8720574427041861</v>
      </c>
      <c r="AF25" s="68">
        <v>4.7501627654965137</v>
      </c>
      <c r="AG25" s="68">
        <v>0.65129305701306506</v>
      </c>
      <c r="AH25" s="69">
        <v>347.85182334582004</v>
      </c>
      <c r="AI25" s="69">
        <v>1228.2890351613362</v>
      </c>
      <c r="AJ25" s="69">
        <v>3305.4377695719404</v>
      </c>
      <c r="AK25" s="69">
        <v>431.64807330767309</v>
      </c>
      <c r="AL25" s="69">
        <v>3710.0461373647054</v>
      </c>
      <c r="AM25" s="69">
        <v>2751.3094205220536</v>
      </c>
      <c r="AN25" s="69">
        <v>364.58308410644531</v>
      </c>
      <c r="AO25" s="69">
        <v>1950.5300903320312</v>
      </c>
      <c r="AP25" s="69">
        <v>326.82989972432449</v>
      </c>
      <c r="AQ25" s="69">
        <v>571.43409687678013</v>
      </c>
    </row>
    <row r="26" spans="1:43" x14ac:dyDescent="0.25">
      <c r="A26" s="11">
        <v>42693</v>
      </c>
      <c r="B26" s="59"/>
      <c r="C26" s="60">
        <v>57.385774827002777</v>
      </c>
      <c r="D26" s="60">
        <v>654.31590385437096</v>
      </c>
      <c r="E26" s="50">
        <v>15.95203144947682</v>
      </c>
      <c r="F26" s="60">
        <v>0</v>
      </c>
      <c r="G26" s="60">
        <v>2284.6862344105998</v>
      </c>
      <c r="H26" s="61">
        <v>23.659929705659533</v>
      </c>
      <c r="I26" s="59">
        <v>218.88981846173638</v>
      </c>
      <c r="J26" s="60">
        <v>382.62094596226927</v>
      </c>
      <c r="K26" s="60">
        <v>21.149881631135933</v>
      </c>
      <c r="L26" s="50">
        <v>0</v>
      </c>
      <c r="M26" s="5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216.29278370471121</v>
      </c>
      <c r="V26" s="62">
        <v>122.83134010170795</v>
      </c>
      <c r="W26" s="62">
        <v>29.0371464990695</v>
      </c>
      <c r="X26" s="62">
        <v>16.49001670846144</v>
      </c>
      <c r="Y26" s="66">
        <v>203.70621890332779</v>
      </c>
      <c r="Z26" s="66">
        <v>115.68350744936396</v>
      </c>
      <c r="AA26" s="67">
        <v>0</v>
      </c>
      <c r="AB26" s="68">
        <v>52.875266946686196</v>
      </c>
      <c r="AC26" s="69">
        <v>0</v>
      </c>
      <c r="AD26" s="69">
        <v>12.975561442640062</v>
      </c>
      <c r="AE26" s="68">
        <v>8.176984973808926</v>
      </c>
      <c r="AF26" s="68">
        <v>4.6436594190571796</v>
      </c>
      <c r="AG26" s="68">
        <v>0.6377982824606625</v>
      </c>
      <c r="AH26" s="69">
        <v>322.32451098759964</v>
      </c>
      <c r="AI26" s="69">
        <v>1182.8640621821087</v>
      </c>
      <c r="AJ26" s="69">
        <v>3194.9838720957437</v>
      </c>
      <c r="AK26" s="69">
        <v>433.69387447039287</v>
      </c>
      <c r="AL26" s="69">
        <v>3720.6629433949788</v>
      </c>
      <c r="AM26" s="69">
        <v>2693.9382870992026</v>
      </c>
      <c r="AN26" s="69">
        <v>364.58308410644531</v>
      </c>
      <c r="AO26" s="69">
        <v>1950.5300903320312</v>
      </c>
      <c r="AP26" s="69">
        <v>322.89895733197534</v>
      </c>
      <c r="AQ26" s="69">
        <v>510.72557821273807</v>
      </c>
    </row>
    <row r="27" spans="1:43" x14ac:dyDescent="0.25">
      <c r="A27" s="11">
        <v>42694</v>
      </c>
      <c r="B27" s="59"/>
      <c r="C27" s="60">
        <v>57.146359133720502</v>
      </c>
      <c r="D27" s="60">
        <v>654.37582842508834</v>
      </c>
      <c r="E27" s="50">
        <v>15.94599238932131</v>
      </c>
      <c r="F27" s="60">
        <v>0</v>
      </c>
      <c r="G27" s="60">
        <v>2216.9784432729125</v>
      </c>
      <c r="H27" s="61">
        <v>23.608780728777187</v>
      </c>
      <c r="I27" s="59">
        <v>207.01096590360035</v>
      </c>
      <c r="J27" s="60">
        <v>363.59271154403666</v>
      </c>
      <c r="K27" s="60">
        <v>20.085044895609208</v>
      </c>
      <c r="L27" s="50">
        <v>0</v>
      </c>
      <c r="M27" s="5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218.08068202939725</v>
      </c>
      <c r="V27" s="62">
        <v>125.58468414339526</v>
      </c>
      <c r="W27" s="62">
        <v>28.843405446031561</v>
      </c>
      <c r="X27" s="62">
        <v>16.609861675283447</v>
      </c>
      <c r="Y27" s="62">
        <v>205.12372248963061</v>
      </c>
      <c r="Z27" s="62">
        <v>118.12324530287935</v>
      </c>
      <c r="AA27" s="72">
        <v>0</v>
      </c>
      <c r="AB27" s="69">
        <v>50.971872851584173</v>
      </c>
      <c r="AC27" s="69">
        <v>0</v>
      </c>
      <c r="AD27" s="69">
        <v>13.153786188364021</v>
      </c>
      <c r="AE27" s="69">
        <v>8.2495748453788647</v>
      </c>
      <c r="AF27" s="69">
        <v>4.7506282612164066</v>
      </c>
      <c r="AG27" s="69">
        <v>0.63457276611268365</v>
      </c>
      <c r="AH27" s="69">
        <v>229.29179037412013</v>
      </c>
      <c r="AI27" s="69">
        <v>1024.0169500986738</v>
      </c>
      <c r="AJ27" s="69">
        <v>3074.3569866180424</v>
      </c>
      <c r="AK27" s="69">
        <v>439.50125323931377</v>
      </c>
      <c r="AL27" s="69">
        <v>3740.1217353820798</v>
      </c>
      <c r="AM27" s="69">
        <v>2491.8426439921059</v>
      </c>
      <c r="AN27" s="69">
        <v>364.58308410644531</v>
      </c>
      <c r="AO27" s="69">
        <v>1950.5300903320312</v>
      </c>
      <c r="AP27" s="69">
        <v>315.94587917327885</v>
      </c>
      <c r="AQ27" s="69">
        <v>518.79253508249928</v>
      </c>
    </row>
    <row r="28" spans="1:43" x14ac:dyDescent="0.25">
      <c r="A28" s="11">
        <v>42695</v>
      </c>
      <c r="B28" s="59"/>
      <c r="C28" s="60">
        <v>57.805846701066336</v>
      </c>
      <c r="D28" s="60">
        <v>654.34751710891953</v>
      </c>
      <c r="E28" s="50">
        <v>15.949313375353791</v>
      </c>
      <c r="F28" s="60">
        <v>0</v>
      </c>
      <c r="G28" s="60">
        <v>2304.8781139373723</v>
      </c>
      <c r="H28" s="61">
        <v>23.668352086345365</v>
      </c>
      <c r="I28" s="59">
        <v>204.56091915766396</v>
      </c>
      <c r="J28" s="60">
        <v>364.48896967569993</v>
      </c>
      <c r="K28" s="60">
        <v>19.965600294371441</v>
      </c>
      <c r="L28" s="50">
        <v>0</v>
      </c>
      <c r="M28" s="5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218.62881323264014</v>
      </c>
      <c r="V28" s="62">
        <v>125.87892627948652</v>
      </c>
      <c r="W28" s="62">
        <v>28.715431468581027</v>
      </c>
      <c r="X28" s="62">
        <v>16.53335453580328</v>
      </c>
      <c r="Y28" s="66">
        <v>202.05783196550058</v>
      </c>
      <c r="Z28" s="66">
        <v>116.33792709249742</v>
      </c>
      <c r="AA28" s="67">
        <v>0</v>
      </c>
      <c r="AB28" s="68">
        <v>51.178238373332377</v>
      </c>
      <c r="AC28" s="69">
        <v>0</v>
      </c>
      <c r="AD28" s="69">
        <v>13.158603496021707</v>
      </c>
      <c r="AE28" s="68">
        <v>8.249236440352707</v>
      </c>
      <c r="AF28" s="68">
        <v>4.7496256800893786</v>
      </c>
      <c r="AG28" s="68">
        <v>0.63461219635370314</v>
      </c>
      <c r="AH28" s="69">
        <v>233.52566154797873</v>
      </c>
      <c r="AI28" s="69">
        <v>1041.111084493001</v>
      </c>
      <c r="AJ28" s="69">
        <v>3048.9695027669272</v>
      </c>
      <c r="AK28" s="69">
        <v>427.89670637448637</v>
      </c>
      <c r="AL28" s="69">
        <v>3850.473298390707</v>
      </c>
      <c r="AM28" s="69">
        <v>2548.9358872731527</v>
      </c>
      <c r="AN28" s="69">
        <v>364.58308410644531</v>
      </c>
      <c r="AO28" s="69">
        <v>1950.5300903320312</v>
      </c>
      <c r="AP28" s="69">
        <v>320.86781922976172</v>
      </c>
      <c r="AQ28" s="69">
        <v>532.47882455190017</v>
      </c>
    </row>
    <row r="29" spans="1:43" x14ac:dyDescent="0.25">
      <c r="A29" s="11">
        <v>42696</v>
      </c>
      <c r="B29" s="59"/>
      <c r="C29" s="60">
        <v>58.076409157117425</v>
      </c>
      <c r="D29" s="60">
        <v>654.0336467742901</v>
      </c>
      <c r="E29" s="50">
        <v>15.939006506403292</v>
      </c>
      <c r="F29" s="60">
        <v>0</v>
      </c>
      <c r="G29" s="60">
        <v>2309.9471628824845</v>
      </c>
      <c r="H29" s="61">
        <v>23.697512676318485</v>
      </c>
      <c r="I29" s="59">
        <v>207.51146245400071</v>
      </c>
      <c r="J29" s="60">
        <v>458.02674249013296</v>
      </c>
      <c r="K29" s="60">
        <v>25.08490944306056</v>
      </c>
      <c r="L29" s="50">
        <v>0</v>
      </c>
      <c r="M29" s="5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207.7583073698365</v>
      </c>
      <c r="V29" s="62">
        <v>112.38247531491125</v>
      </c>
      <c r="W29" s="62">
        <v>27.366436402736841</v>
      </c>
      <c r="X29" s="62">
        <v>14.803296688458586</v>
      </c>
      <c r="Y29" s="66">
        <v>189.69277529139745</v>
      </c>
      <c r="Z29" s="66">
        <v>102.61030668994354</v>
      </c>
      <c r="AA29" s="67">
        <v>0</v>
      </c>
      <c r="AB29" s="68">
        <v>60.276180762714986</v>
      </c>
      <c r="AC29" s="69">
        <v>0</v>
      </c>
      <c r="AD29" s="69">
        <v>12.27321517931091</v>
      </c>
      <c r="AE29" s="68">
        <v>7.8609655817333755</v>
      </c>
      <c r="AF29" s="68">
        <v>4.252223565086573</v>
      </c>
      <c r="AG29" s="68">
        <v>0.6489592035964451</v>
      </c>
      <c r="AH29" s="69">
        <v>301.93777341842656</v>
      </c>
      <c r="AI29" s="69">
        <v>1135.3959061304731</v>
      </c>
      <c r="AJ29" s="69">
        <v>3171.6098559061688</v>
      </c>
      <c r="AK29" s="69">
        <v>427.5963386694591</v>
      </c>
      <c r="AL29" s="69">
        <v>4028.5300379435221</v>
      </c>
      <c r="AM29" s="69">
        <v>2699.8755878448487</v>
      </c>
      <c r="AN29" s="69">
        <v>364.58308410644531</v>
      </c>
      <c r="AO29" s="69">
        <v>1950.5300903320312</v>
      </c>
      <c r="AP29" s="69">
        <v>340.95327335993449</v>
      </c>
      <c r="AQ29" s="69">
        <v>561.08155078887933</v>
      </c>
    </row>
    <row r="30" spans="1:43" x14ac:dyDescent="0.25">
      <c r="A30" s="11">
        <v>42697</v>
      </c>
      <c r="B30" s="59"/>
      <c r="C30" s="60">
        <v>58.656124778589287</v>
      </c>
      <c r="D30" s="60">
        <v>654.35635296503779</v>
      </c>
      <c r="E30" s="50">
        <v>15.938217851519557</v>
      </c>
      <c r="F30" s="60">
        <v>0</v>
      </c>
      <c r="G30" s="60">
        <v>2309.6132320404085</v>
      </c>
      <c r="H30" s="61">
        <v>23.709320024649312</v>
      </c>
      <c r="I30" s="59">
        <v>205.03254701296484</v>
      </c>
      <c r="J30" s="60">
        <v>454.90636378924023</v>
      </c>
      <c r="K30" s="60">
        <v>25.128406760096514</v>
      </c>
      <c r="L30" s="50">
        <v>0</v>
      </c>
      <c r="M30" s="5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210.61974185855544</v>
      </c>
      <c r="V30" s="62">
        <v>120.83857297349657</v>
      </c>
      <c r="W30" s="62">
        <v>28.210169865014162</v>
      </c>
      <c r="X30" s="62">
        <v>16.184981710392204</v>
      </c>
      <c r="Y30" s="66">
        <v>196.16167509867569</v>
      </c>
      <c r="Z30" s="66">
        <v>112.54356634305117</v>
      </c>
      <c r="AA30" s="67">
        <v>0</v>
      </c>
      <c r="AB30" s="68">
        <v>60.042647205458934</v>
      </c>
      <c r="AC30" s="69">
        <v>0</v>
      </c>
      <c r="AD30" s="69">
        <v>12.771493471331048</v>
      </c>
      <c r="AE30" s="68">
        <v>7.9920012834327805</v>
      </c>
      <c r="AF30" s="68">
        <v>4.5852398344544891</v>
      </c>
      <c r="AG30" s="68">
        <v>0.63543357470237316</v>
      </c>
      <c r="AH30" s="69">
        <v>310.75567876497905</v>
      </c>
      <c r="AI30" s="69">
        <v>1149.3681893666585</v>
      </c>
      <c r="AJ30" s="69">
        <v>3193.7384922027591</v>
      </c>
      <c r="AK30" s="69">
        <v>423.20397920608508</v>
      </c>
      <c r="AL30" s="69">
        <v>4092.4310231526683</v>
      </c>
      <c r="AM30" s="69">
        <v>2693.9008997599285</v>
      </c>
      <c r="AN30" s="69">
        <v>364.58308410644531</v>
      </c>
      <c r="AO30" s="69">
        <v>1950.5300903320312</v>
      </c>
      <c r="AP30" s="69">
        <v>350.33029627799988</v>
      </c>
      <c r="AQ30" s="69">
        <v>539.65767612457273</v>
      </c>
    </row>
    <row r="31" spans="1:43" x14ac:dyDescent="0.25">
      <c r="A31" s="11">
        <v>42698</v>
      </c>
      <c r="B31" s="59"/>
      <c r="C31" s="60">
        <v>57.827713390192145</v>
      </c>
      <c r="D31" s="60">
        <v>654.19140942891545</v>
      </c>
      <c r="E31" s="60">
        <v>15.944965052604653</v>
      </c>
      <c r="F31" s="60">
        <v>0</v>
      </c>
      <c r="G31" s="60">
        <v>2309.5927458445262</v>
      </c>
      <c r="H31" s="61">
        <v>23.741477546095844</v>
      </c>
      <c r="I31" s="59">
        <v>173.52764390309622</v>
      </c>
      <c r="J31" s="60">
        <v>367.38132120768159</v>
      </c>
      <c r="K31" s="60">
        <v>20.125510200858113</v>
      </c>
      <c r="L31" s="50">
        <v>0</v>
      </c>
      <c r="M31" s="5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221.86685408194637</v>
      </c>
      <c r="V31" s="62">
        <v>127.75787967337918</v>
      </c>
      <c r="W31" s="62">
        <v>29.158944266453545</v>
      </c>
      <c r="X31" s="62">
        <v>16.790632870380946</v>
      </c>
      <c r="Y31" s="66">
        <v>208.77525106415723</v>
      </c>
      <c r="Z31" s="66">
        <v>120.21932484959015</v>
      </c>
      <c r="AA31" s="67">
        <v>0</v>
      </c>
      <c r="AB31" s="68">
        <v>51.796418200598175</v>
      </c>
      <c r="AC31" s="69">
        <v>0</v>
      </c>
      <c r="AD31" s="69">
        <v>13.230297374063078</v>
      </c>
      <c r="AE31" s="68">
        <v>8.2489216291774703</v>
      </c>
      <c r="AF31" s="68">
        <v>4.7499872898830837</v>
      </c>
      <c r="AG31" s="68">
        <v>0.63458569334860981</v>
      </c>
      <c r="AH31" s="69">
        <v>313.2133259137471</v>
      </c>
      <c r="AI31" s="69">
        <v>1145.4731974919639</v>
      </c>
      <c r="AJ31" s="69">
        <v>3177.715445454915</v>
      </c>
      <c r="AK31" s="69">
        <v>429.7296245733898</v>
      </c>
      <c r="AL31" s="69">
        <v>4242.8681156158455</v>
      </c>
      <c r="AM31" s="69">
        <v>2699.011145909627</v>
      </c>
      <c r="AN31" s="69">
        <v>364.58308410644531</v>
      </c>
      <c r="AO31" s="69">
        <v>1950.5300903320312</v>
      </c>
      <c r="AP31" s="69">
        <v>340.84301711718246</v>
      </c>
      <c r="AQ31" s="69">
        <v>507.81641190846767</v>
      </c>
    </row>
    <row r="32" spans="1:43" x14ac:dyDescent="0.25">
      <c r="A32" s="11">
        <v>42699</v>
      </c>
      <c r="B32" s="59"/>
      <c r="C32" s="60">
        <v>57.286086801687816</v>
      </c>
      <c r="D32" s="60">
        <v>654.17971951166919</v>
      </c>
      <c r="E32" s="60">
        <v>15.936655457814506</v>
      </c>
      <c r="F32" s="60">
        <v>0</v>
      </c>
      <c r="G32" s="60">
        <v>2309.7156365712508</v>
      </c>
      <c r="H32" s="61">
        <v>23.575374951958651</v>
      </c>
      <c r="I32" s="59">
        <v>166.70572098890915</v>
      </c>
      <c r="J32" s="60">
        <v>358.31066668828367</v>
      </c>
      <c r="K32" s="60">
        <v>19.688887310524784</v>
      </c>
      <c r="L32" s="50">
        <v>0</v>
      </c>
      <c r="M32" s="5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216.61772062919684</v>
      </c>
      <c r="V32" s="62">
        <v>127.82075767111004</v>
      </c>
      <c r="W32" s="62">
        <v>29.273146147461006</v>
      </c>
      <c r="X32" s="62">
        <v>17.273359303741444</v>
      </c>
      <c r="Y32" s="66">
        <v>202.58472226026007</v>
      </c>
      <c r="Z32" s="66">
        <v>119.54023251968259</v>
      </c>
      <c r="AA32" s="67">
        <v>0</v>
      </c>
      <c r="AB32" s="68">
        <v>50.608629782995621</v>
      </c>
      <c r="AC32" s="69">
        <v>0</v>
      </c>
      <c r="AD32" s="69">
        <v>13.02423315842946</v>
      </c>
      <c r="AE32" s="68">
        <v>8.0494538017016701</v>
      </c>
      <c r="AF32" s="68">
        <v>4.7497835393316654</v>
      </c>
      <c r="AG32" s="68">
        <v>0.62890104990050943</v>
      </c>
      <c r="AH32" s="69">
        <v>284.71443557739252</v>
      </c>
      <c r="AI32" s="69">
        <v>1110.8834285100299</v>
      </c>
      <c r="AJ32" s="69">
        <v>3159.2487037658693</v>
      </c>
      <c r="AK32" s="69">
        <v>420.920303885142</v>
      </c>
      <c r="AL32" s="69">
        <v>3888.0737026214601</v>
      </c>
      <c r="AM32" s="69">
        <v>2714.4966350555419</v>
      </c>
      <c r="AN32" s="69">
        <v>364.58308410644531</v>
      </c>
      <c r="AO32" s="69">
        <v>1950.5300903320312</v>
      </c>
      <c r="AP32" s="69">
        <v>330.77906870841974</v>
      </c>
      <c r="AQ32" s="69">
        <v>507.78301242192572</v>
      </c>
    </row>
    <row r="33" spans="1:43" x14ac:dyDescent="0.25">
      <c r="A33" s="11">
        <v>42700</v>
      </c>
      <c r="B33" s="59"/>
      <c r="C33" s="60">
        <v>55.495629143713934</v>
      </c>
      <c r="D33" s="60">
        <v>630.6693090120956</v>
      </c>
      <c r="E33" s="60">
        <v>15.920862085620538</v>
      </c>
      <c r="F33" s="60">
        <v>0</v>
      </c>
      <c r="G33" s="60">
        <v>2310.0861774444566</v>
      </c>
      <c r="H33" s="61">
        <v>22.809856036305433</v>
      </c>
      <c r="I33" s="59">
        <v>157.67016704082499</v>
      </c>
      <c r="J33" s="60">
        <v>337.9557242711391</v>
      </c>
      <c r="K33" s="60">
        <v>18.46914704144001</v>
      </c>
      <c r="L33" s="50">
        <v>0</v>
      </c>
      <c r="M33" s="5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203.90715493977771</v>
      </c>
      <c r="V33" s="62">
        <v>123.21161139984461</v>
      </c>
      <c r="W33" s="62">
        <v>28.081065787028422</v>
      </c>
      <c r="X33" s="62">
        <v>16.968082196363703</v>
      </c>
      <c r="Y33" s="66">
        <v>189.67516706494933</v>
      </c>
      <c r="Z33" s="66">
        <v>114.61188295971925</v>
      </c>
      <c r="AA33" s="67">
        <v>0</v>
      </c>
      <c r="AB33" s="68">
        <v>47.926552147335777</v>
      </c>
      <c r="AC33" s="69">
        <v>0</v>
      </c>
      <c r="AD33" s="69">
        <v>12.369826084375372</v>
      </c>
      <c r="AE33" s="68">
        <v>7.5779675316513959</v>
      </c>
      <c r="AF33" s="68">
        <v>4.5790133798209789</v>
      </c>
      <c r="AG33" s="68">
        <v>0.62334288314133757</v>
      </c>
      <c r="AH33" s="69">
        <v>272.79172341028851</v>
      </c>
      <c r="AI33" s="69">
        <v>1090.2606433868409</v>
      </c>
      <c r="AJ33" s="69">
        <v>3113.392999267578</v>
      </c>
      <c r="AK33" s="69">
        <v>415.02347776095075</v>
      </c>
      <c r="AL33" s="69">
        <v>3323.2321022033698</v>
      </c>
      <c r="AM33" s="69">
        <v>2627.5508026123048</v>
      </c>
      <c r="AN33" s="69">
        <v>364.58308410644531</v>
      </c>
      <c r="AO33" s="69">
        <v>1950.5300903320312</v>
      </c>
      <c r="AP33" s="69">
        <v>331.93275354703269</v>
      </c>
      <c r="AQ33" s="69">
        <v>494.45885559717817</v>
      </c>
    </row>
    <row r="34" spans="1:43" x14ac:dyDescent="0.25">
      <c r="A34" s="11">
        <v>42701</v>
      </c>
      <c r="B34" s="59"/>
      <c r="C34" s="60">
        <v>54.067186510563069</v>
      </c>
      <c r="D34" s="60">
        <v>619.75683759053777</v>
      </c>
      <c r="E34" s="60">
        <v>15.251337381203957</v>
      </c>
      <c r="F34" s="60">
        <v>0</v>
      </c>
      <c r="G34" s="60">
        <v>2307.0132474263492</v>
      </c>
      <c r="H34" s="61">
        <v>22.400084212422342</v>
      </c>
      <c r="I34" s="59">
        <v>162.54620316028581</v>
      </c>
      <c r="J34" s="60">
        <v>335.55229156812078</v>
      </c>
      <c r="K34" s="60">
        <v>18.459840451677614</v>
      </c>
      <c r="L34" s="50">
        <v>0</v>
      </c>
      <c r="M34" s="5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201.33008240888091</v>
      </c>
      <c r="V34" s="62">
        <v>120.81007626557424</v>
      </c>
      <c r="W34" s="62">
        <v>27.701027368813325</v>
      </c>
      <c r="X34" s="62">
        <v>16.622271192759793</v>
      </c>
      <c r="Y34" s="66">
        <v>191.96201735781014</v>
      </c>
      <c r="Z34" s="66">
        <v>115.18867761645315</v>
      </c>
      <c r="AA34" s="67">
        <v>0</v>
      </c>
      <c r="AB34" s="68">
        <v>47.117785318692569</v>
      </c>
      <c r="AC34" s="69">
        <v>0</v>
      </c>
      <c r="AD34" s="69">
        <v>12.211755080355536</v>
      </c>
      <c r="AE34" s="68">
        <v>7.4989851463306625</v>
      </c>
      <c r="AF34" s="68">
        <v>4.4998390533746351</v>
      </c>
      <c r="AG34" s="68">
        <v>0.62497666617324432</v>
      </c>
      <c r="AH34" s="69">
        <v>273.66116092999778</v>
      </c>
      <c r="AI34" s="69">
        <v>1100.2269983927408</v>
      </c>
      <c r="AJ34" s="69">
        <v>3109.2705546061193</v>
      </c>
      <c r="AK34" s="69">
        <v>412.8350249449411</v>
      </c>
      <c r="AL34" s="69">
        <v>3021.7103342692053</v>
      </c>
      <c r="AM34" s="69">
        <v>2564.0919483184816</v>
      </c>
      <c r="AN34" s="69">
        <v>364.58308410644531</v>
      </c>
      <c r="AO34" s="69">
        <v>1950.5300903320312</v>
      </c>
      <c r="AP34" s="69">
        <v>336.99528315862017</v>
      </c>
      <c r="AQ34" s="69">
        <v>497.21725378036496</v>
      </c>
    </row>
    <row r="35" spans="1:43" x14ac:dyDescent="0.25">
      <c r="A35" s="11">
        <v>42702</v>
      </c>
      <c r="B35" s="59"/>
      <c r="C35" s="60">
        <v>54.389874653021018</v>
      </c>
      <c r="D35" s="60">
        <v>619.73001238505128</v>
      </c>
      <c r="E35" s="60">
        <v>15.109132930636394</v>
      </c>
      <c r="F35" s="60">
        <v>0</v>
      </c>
      <c r="G35" s="60">
        <v>2150.7528788248696</v>
      </c>
      <c r="H35" s="61">
        <v>22.445779244105026</v>
      </c>
      <c r="I35" s="59">
        <v>163.5498595635095</v>
      </c>
      <c r="J35" s="60">
        <v>334.79617899258989</v>
      </c>
      <c r="K35" s="60">
        <v>18.474602920313679</v>
      </c>
      <c r="L35" s="50">
        <v>0</v>
      </c>
      <c r="M35" s="5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199.12619655229781</v>
      </c>
      <c r="V35" s="62">
        <v>119.44941898089841</v>
      </c>
      <c r="W35" s="62">
        <v>27.305273992437719</v>
      </c>
      <c r="X35" s="62">
        <v>16.379558139424951</v>
      </c>
      <c r="Y35" s="66">
        <v>197.56487588597741</v>
      </c>
      <c r="Z35" s="66">
        <v>118.5128327874999</v>
      </c>
      <c r="AA35" s="67">
        <v>0</v>
      </c>
      <c r="AB35" s="68">
        <v>47.081879512469477</v>
      </c>
      <c r="AC35" s="69">
        <v>0</v>
      </c>
      <c r="AD35" s="69">
        <v>12.078858628537933</v>
      </c>
      <c r="AE35" s="68">
        <v>7.4126472144176709</v>
      </c>
      <c r="AF35" s="68">
        <v>4.4466093271661409</v>
      </c>
      <c r="AG35" s="68">
        <v>0.6250515947964902</v>
      </c>
      <c r="AH35" s="69">
        <v>310.04319168726602</v>
      </c>
      <c r="AI35" s="69">
        <v>1135.5988344828288</v>
      </c>
      <c r="AJ35" s="69">
        <v>3187.9038298288983</v>
      </c>
      <c r="AK35" s="69">
        <v>420.15966943105065</v>
      </c>
      <c r="AL35" s="69">
        <v>2954.3389640808109</v>
      </c>
      <c r="AM35" s="69">
        <v>2663.4414096832274</v>
      </c>
      <c r="AN35" s="69">
        <v>364.58308410644531</v>
      </c>
      <c r="AO35" s="69">
        <v>1950.5300903320312</v>
      </c>
      <c r="AP35" s="69">
        <v>335.23878676096598</v>
      </c>
      <c r="AQ35" s="69">
        <v>548.41222184499111</v>
      </c>
    </row>
    <row r="36" spans="1:43" x14ac:dyDescent="0.25">
      <c r="A36" s="11">
        <v>42703</v>
      </c>
      <c r="B36" s="59"/>
      <c r="C36" s="60">
        <v>55.201672319570704</v>
      </c>
      <c r="D36" s="60">
        <v>621.93413464228524</v>
      </c>
      <c r="E36" s="60">
        <v>15.153110041220966</v>
      </c>
      <c r="F36" s="60">
        <v>0</v>
      </c>
      <c r="G36" s="60">
        <v>2034.2847707112569</v>
      </c>
      <c r="H36" s="61">
        <v>22.38874052961668</v>
      </c>
      <c r="I36" s="59">
        <v>174.16017448902144</v>
      </c>
      <c r="J36" s="60">
        <v>355.62985423405956</v>
      </c>
      <c r="K36" s="60">
        <v>19.588009542723505</v>
      </c>
      <c r="L36" s="50">
        <v>0</v>
      </c>
      <c r="M36" s="5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190.00808750106034</v>
      </c>
      <c r="V36" s="62">
        <v>115.02081312226233</v>
      </c>
      <c r="W36" s="62">
        <v>25.609723458414326</v>
      </c>
      <c r="X36" s="62">
        <v>15.50276756512616</v>
      </c>
      <c r="Y36" s="66">
        <v>186.86585021566074</v>
      </c>
      <c r="Z36" s="66">
        <v>113.11866941699643</v>
      </c>
      <c r="AA36" s="67">
        <v>0</v>
      </c>
      <c r="AB36" s="68">
        <v>49.30516411728351</v>
      </c>
      <c r="AC36" s="69">
        <v>0</v>
      </c>
      <c r="AD36" s="69">
        <v>11.548124656412336</v>
      </c>
      <c r="AE36" s="68">
        <v>7.0735568110953313</v>
      </c>
      <c r="AF36" s="68">
        <v>4.2819559250295685</v>
      </c>
      <c r="AG36" s="68">
        <v>0.62291831073311821</v>
      </c>
      <c r="AH36" s="69">
        <v>339.83337562878921</v>
      </c>
      <c r="AI36" s="69">
        <v>1182.3766365051272</v>
      </c>
      <c r="AJ36" s="69">
        <v>3260.6236590067542</v>
      </c>
      <c r="AK36" s="69">
        <v>423.88703301747631</v>
      </c>
      <c r="AL36" s="69">
        <v>3067.0888997395828</v>
      </c>
      <c r="AM36" s="69">
        <v>2812.3636564890544</v>
      </c>
      <c r="AN36" s="69">
        <v>364.58308410644531</v>
      </c>
      <c r="AO36" s="69">
        <v>1950.5300903320312</v>
      </c>
      <c r="AP36" s="69">
        <v>333.44267326990763</v>
      </c>
      <c r="AQ36" s="69">
        <v>578.84302666982012</v>
      </c>
    </row>
    <row r="37" spans="1:43" x14ac:dyDescent="0.25">
      <c r="A37" s="11">
        <v>42704</v>
      </c>
      <c r="B37" s="59"/>
      <c r="C37" s="60">
        <v>54.736409449577351</v>
      </c>
      <c r="D37" s="60">
        <v>619.85465520222954</v>
      </c>
      <c r="E37" s="60">
        <v>15.085597124695791</v>
      </c>
      <c r="F37" s="60">
        <v>0</v>
      </c>
      <c r="G37" s="60">
        <v>1976.1031293233177</v>
      </c>
      <c r="H37" s="61">
        <v>22.421486328045553</v>
      </c>
      <c r="I37" s="59">
        <v>162.75838048458107</v>
      </c>
      <c r="J37" s="60">
        <v>330.14560014406908</v>
      </c>
      <c r="K37" s="60">
        <v>18.091410065690674</v>
      </c>
      <c r="L37" s="60">
        <v>0</v>
      </c>
      <c r="M37" s="5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187.12264086096047</v>
      </c>
      <c r="V37" s="62">
        <v>112.28708032281639</v>
      </c>
      <c r="W37" s="62">
        <v>25.703731342486957</v>
      </c>
      <c r="X37" s="62">
        <v>15.424092630215094</v>
      </c>
      <c r="Y37" s="66">
        <v>185.47238032486851</v>
      </c>
      <c r="Z37" s="66">
        <v>111.29680497977321</v>
      </c>
      <c r="AA37" s="67">
        <v>0</v>
      </c>
      <c r="AB37" s="68">
        <v>46.909153498543546</v>
      </c>
      <c r="AC37" s="69">
        <v>0</v>
      </c>
      <c r="AD37" s="69">
        <v>11.340581644243676</v>
      </c>
      <c r="AE37" s="68">
        <v>7.005673472288322</v>
      </c>
      <c r="AF37" s="68">
        <v>4.2039093520637749</v>
      </c>
      <c r="AG37" s="68">
        <v>0.62497182830648679</v>
      </c>
      <c r="AH37" s="69">
        <v>337.9004285812378</v>
      </c>
      <c r="AI37" s="69">
        <v>1173.8516461690267</v>
      </c>
      <c r="AJ37" s="69">
        <v>3284.1724553426111</v>
      </c>
      <c r="AK37" s="69">
        <v>422.50059463183084</v>
      </c>
      <c r="AL37" s="69">
        <v>3006.8504074096682</v>
      </c>
      <c r="AM37" s="69">
        <v>2685.2109643300373</v>
      </c>
      <c r="AN37" s="69">
        <v>364.58308410644531</v>
      </c>
      <c r="AO37" s="69">
        <v>1950.5300903320312</v>
      </c>
      <c r="AP37" s="69">
        <v>332.76632790565486</v>
      </c>
      <c r="AQ37" s="69">
        <v>559.3962025642395</v>
      </c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1759.1490919450966</v>
      </c>
      <c r="D39" s="30">
        <f t="shared" si="0"/>
        <v>20443.606975905102</v>
      </c>
      <c r="E39" s="30">
        <f t="shared" si="0"/>
        <v>489.38758995284587</v>
      </c>
      <c r="F39" s="30">
        <f t="shared" si="0"/>
        <v>0</v>
      </c>
      <c r="G39" s="30">
        <f t="shared" si="0"/>
        <v>70222.399426269549</v>
      </c>
      <c r="H39" s="31">
        <f t="shared" si="0"/>
        <v>718.5985792756079</v>
      </c>
      <c r="I39" s="29">
        <f t="shared" si="0"/>
        <v>6308.3747790614734</v>
      </c>
      <c r="J39" s="30">
        <f t="shared" si="0"/>
        <v>11717.441116635007</v>
      </c>
      <c r="K39" s="30">
        <f t="shared" si="0"/>
        <v>635.69469137668602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6628.485015993323</v>
      </c>
      <c r="V39" s="262">
        <f t="shared" si="0"/>
        <v>3713.0542509479651</v>
      </c>
      <c r="W39" s="262">
        <f t="shared" si="0"/>
        <v>834.31190890675077</v>
      </c>
      <c r="X39" s="262">
        <f t="shared" si="0"/>
        <v>468.11712355409821</v>
      </c>
      <c r="Y39" s="262">
        <f t="shared" si="0"/>
        <v>6357.058698196638</v>
      </c>
      <c r="Z39" s="262">
        <f t="shared" si="0"/>
        <v>3561.82376505193</v>
      </c>
      <c r="AA39" s="270">
        <f t="shared" si="0"/>
        <v>0</v>
      </c>
      <c r="AB39" s="273">
        <f t="shared" si="0"/>
        <v>1575.8359206544008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159</v>
      </c>
      <c r="AH39" s="273">
        <f t="shared" ref="AH39:AQ39" si="1">SUM(AH8:AH38)</f>
        <v>8011.634823989868</v>
      </c>
      <c r="AI39" s="273">
        <f t="shared" si="1"/>
        <v>32553.394975725809</v>
      </c>
      <c r="AJ39" s="273">
        <f t="shared" si="1"/>
        <v>92944.4475816091</v>
      </c>
      <c r="AK39" s="273">
        <f t="shared" si="1"/>
        <v>12673.877552684149</v>
      </c>
      <c r="AL39" s="273">
        <f t="shared" si="1"/>
        <v>107768.2318979899</v>
      </c>
      <c r="AM39" s="273">
        <f t="shared" si="1"/>
        <v>76978.667553838095</v>
      </c>
      <c r="AN39" s="273">
        <f t="shared" si="1"/>
        <v>10990.074304676056</v>
      </c>
      <c r="AO39" s="273">
        <f t="shared" si="1"/>
        <v>58515.902709960938</v>
      </c>
      <c r="AP39" s="273">
        <f t="shared" si="1"/>
        <v>9700.4082047144566</v>
      </c>
      <c r="AQ39" s="273">
        <f t="shared" si="1"/>
        <v>18468.005287297565</v>
      </c>
    </row>
    <row r="40" spans="1:43" ht="15.75" thickBot="1" x14ac:dyDescent="0.3">
      <c r="A40" s="47" t="s">
        <v>174</v>
      </c>
      <c r="B40" s="32">
        <f>Projection!$AD$30</f>
        <v>0.80583665399999982</v>
      </c>
      <c r="C40" s="33">
        <f>Projection!$AD$28</f>
        <v>1.3221902399999999</v>
      </c>
      <c r="D40" s="33">
        <f>Projection!$AD$31</f>
        <v>2.1962556000000002</v>
      </c>
      <c r="E40" s="33">
        <f>Projection!$AD$26</f>
        <v>4.3368000000000002</v>
      </c>
      <c r="F40" s="33">
        <f>Projection!$AD$23</f>
        <v>0</v>
      </c>
      <c r="G40" s="33">
        <f>Projection!$AD$24</f>
        <v>5.2499999999999998E-2</v>
      </c>
      <c r="H40" s="34">
        <f>Projection!$AD$29</f>
        <v>3.6159737999999999</v>
      </c>
      <c r="I40" s="32">
        <f>Projection!$AD$30</f>
        <v>0.80583665399999982</v>
      </c>
      <c r="J40" s="33">
        <f>Projection!$AD$28</f>
        <v>1.3221902399999999</v>
      </c>
      <c r="K40" s="33">
        <f>Projection!$AD$26</f>
        <v>4.3368000000000002</v>
      </c>
      <c r="L40" s="33">
        <f>Projection!$AD$25</f>
        <v>0</v>
      </c>
      <c r="M40" s="33">
        <f>Projection!$AD$23</f>
        <v>0</v>
      </c>
      <c r="N40" s="34">
        <f>Projection!$AD$23</f>
        <v>0</v>
      </c>
      <c r="O40" s="264">
        <v>15.77</v>
      </c>
      <c r="P40" s="265">
        <v>15.77</v>
      </c>
      <c r="Q40" s="265">
        <v>15.77</v>
      </c>
      <c r="R40" s="265">
        <v>15.77</v>
      </c>
      <c r="S40" s="265">
        <f>Projection!$AD$28</f>
        <v>1.3221902399999999</v>
      </c>
      <c r="T40" s="266">
        <f>Projection!$AD$28</f>
        <v>1.3221902399999999</v>
      </c>
      <c r="U40" s="264">
        <f>Projection!$AD$27</f>
        <v>0.25650000000000001</v>
      </c>
      <c r="V40" s="265">
        <f>Projection!$AD$27</f>
        <v>0.25650000000000001</v>
      </c>
      <c r="W40" s="265">
        <f>Projection!$AD$22</f>
        <v>1.625</v>
      </c>
      <c r="X40" s="265">
        <f>Projection!$AD$22</f>
        <v>1.625</v>
      </c>
      <c r="Y40" s="265">
        <f>Projection!$AD$31</f>
        <v>2.1962556000000002</v>
      </c>
      <c r="Z40" s="265">
        <f>Projection!$AD$31</f>
        <v>2.1962556000000002</v>
      </c>
      <c r="AA40" s="271">
        <v>0</v>
      </c>
      <c r="AB40" s="274">
        <f>Projection!$AD$27</f>
        <v>0.25650000000000001</v>
      </c>
      <c r="AC40" s="274">
        <f>Projection!$AD$30</f>
        <v>0.80583665399999982</v>
      </c>
      <c r="AD40" s="277">
        <f>SUM(AD8:AD38)</f>
        <v>397.44363604618445</v>
      </c>
      <c r="AE40" s="277">
        <f>SUM(AE8:AE38)</f>
        <v>250.78101061571985</v>
      </c>
      <c r="AF40" s="277">
        <f>SUM(AF8:AF38)</f>
        <v>140.47805342192225</v>
      </c>
      <c r="AG40" s="277">
        <f>IF(SUM(AE40:AF40)&gt;0, AE40/(AE40+AF40), "")</f>
        <v>0.6409589800367993</v>
      </c>
      <c r="AH40" s="313">
        <v>0.06</v>
      </c>
      <c r="AI40" s="313">
        <f t="shared" ref="AI40:AQ40" si="2">$AH$40</f>
        <v>0.06</v>
      </c>
      <c r="AJ40" s="313">
        <f t="shared" si="2"/>
        <v>0.06</v>
      </c>
      <c r="AK40" s="313">
        <f t="shared" si="2"/>
        <v>0.06</v>
      </c>
      <c r="AL40" s="313">
        <f t="shared" si="2"/>
        <v>0.06</v>
      </c>
      <c r="AM40" s="313">
        <f t="shared" si="2"/>
        <v>0.06</v>
      </c>
      <c r="AN40" s="313">
        <f t="shared" si="2"/>
        <v>0.06</v>
      </c>
      <c r="AO40" s="313">
        <f t="shared" si="2"/>
        <v>0.06</v>
      </c>
      <c r="AP40" s="313">
        <f t="shared" si="2"/>
        <v>0.06</v>
      </c>
      <c r="AQ40" s="313">
        <f t="shared" si="2"/>
        <v>0.06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2325.929760074669</v>
      </c>
      <c r="D41" s="36">
        <f t="shared" si="3"/>
        <v>44899.386305030654</v>
      </c>
      <c r="E41" s="36">
        <f t="shared" si="3"/>
        <v>2122.3761001075022</v>
      </c>
      <c r="F41" s="36">
        <f t="shared" si="3"/>
        <v>0</v>
      </c>
      <c r="G41" s="36">
        <f t="shared" si="3"/>
        <v>3686.6759698791511</v>
      </c>
      <c r="H41" s="37">
        <f t="shared" si="3"/>
        <v>2598.4336353778212</v>
      </c>
      <c r="I41" s="35">
        <f t="shared" si="3"/>
        <v>5083.5196241368858</v>
      </c>
      <c r="J41" s="36">
        <f t="shared" si="3"/>
        <v>15492.686282189507</v>
      </c>
      <c r="K41" s="36">
        <f t="shared" si="3"/>
        <v>2756.8807375624119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1700.2064066022874</v>
      </c>
      <c r="V41" s="268">
        <f t="shared" si="3"/>
        <v>952.39841536815311</v>
      </c>
      <c r="W41" s="268">
        <f t="shared" si="3"/>
        <v>1355.75685197347</v>
      </c>
      <c r="X41" s="268">
        <f t="shared" si="3"/>
        <v>760.69032577540963</v>
      </c>
      <c r="Y41" s="268">
        <f t="shared" si="3"/>
        <v>13961.725765443078</v>
      </c>
      <c r="Z41" s="268">
        <f t="shared" si="3"/>
        <v>7822.6753902083865</v>
      </c>
      <c r="AA41" s="272">
        <f t="shared" si="3"/>
        <v>0</v>
      </c>
      <c r="AB41" s="275">
        <f t="shared" si="3"/>
        <v>404.20191364785381</v>
      </c>
      <c r="AC41" s="275">
        <f t="shared" si="3"/>
        <v>0</v>
      </c>
      <c r="AH41" s="278">
        <f t="shared" ref="AH41:AQ41" si="4">AH40*AH39</f>
        <v>480.69808943939205</v>
      </c>
      <c r="AI41" s="278">
        <f t="shared" si="4"/>
        <v>1953.2036985435484</v>
      </c>
      <c r="AJ41" s="278">
        <f t="shared" si="4"/>
        <v>5576.6668548965454</v>
      </c>
      <c r="AK41" s="278">
        <f t="shared" si="4"/>
        <v>760.43265316104896</v>
      </c>
      <c r="AL41" s="278">
        <f t="shared" si="4"/>
        <v>6466.0939138793938</v>
      </c>
      <c r="AM41" s="278">
        <f t="shared" si="4"/>
        <v>4618.7200532302859</v>
      </c>
      <c r="AN41" s="278">
        <f t="shared" si="4"/>
        <v>659.4044582805634</v>
      </c>
      <c r="AO41" s="278">
        <f t="shared" si="4"/>
        <v>3510.9541625976562</v>
      </c>
      <c r="AP41" s="278">
        <f t="shared" si="4"/>
        <v>582.02449228286741</v>
      </c>
      <c r="AQ41" s="278">
        <f t="shared" si="4"/>
        <v>1108.0803172378539</v>
      </c>
    </row>
    <row r="42" spans="1:43" ht="49.5" customHeight="1" thickTop="1" thickBot="1" x14ac:dyDescent="0.3">
      <c r="A42" s="576" t="s">
        <v>233</v>
      </c>
      <c r="B42" s="577"/>
      <c r="C42" s="577"/>
      <c r="D42" s="577"/>
      <c r="E42" s="577"/>
      <c r="F42" s="577"/>
      <c r="G42" s="577"/>
      <c r="H42" s="577"/>
      <c r="I42" s="577"/>
      <c r="J42" s="577"/>
      <c r="K42" s="57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6" t="s">
        <v>186</v>
      </c>
      <c r="AH42" s="295">
        <v>571.25</v>
      </c>
      <c r="AI42" s="278" t="s">
        <v>199</v>
      </c>
      <c r="AJ42" s="278">
        <v>1244.71</v>
      </c>
      <c r="AK42" s="278">
        <v>38.68</v>
      </c>
      <c r="AL42" s="278">
        <v>535</v>
      </c>
      <c r="AM42" s="278">
        <v>3542.84</v>
      </c>
      <c r="AN42" s="278">
        <v>589.57000000000005</v>
      </c>
      <c r="AO42" s="278" t="s">
        <v>199</v>
      </c>
      <c r="AP42" s="278">
        <v>122.83</v>
      </c>
      <c r="AQ42" s="278">
        <v>333.52</v>
      </c>
    </row>
    <row r="43" spans="1:43" ht="38.25" customHeight="1" thickTop="1" thickBot="1" x14ac:dyDescent="0.3">
      <c r="A43" s="608" t="s">
        <v>49</v>
      </c>
      <c r="B43" s="605"/>
      <c r="C43" s="289"/>
      <c r="D43" s="605" t="s">
        <v>47</v>
      </c>
      <c r="E43" s="605"/>
      <c r="F43" s="289"/>
      <c r="G43" s="605" t="s">
        <v>48</v>
      </c>
      <c r="H43" s="605"/>
      <c r="I43" s="290"/>
      <c r="J43" s="605" t="s">
        <v>50</v>
      </c>
      <c r="K43" s="578"/>
      <c r="L43" s="44"/>
      <c r="M43" s="44"/>
      <c r="N43" s="44"/>
      <c r="O43" s="45"/>
      <c r="P43" s="45"/>
      <c r="Q43" s="45"/>
      <c r="R43" s="568" t="s">
        <v>168</v>
      </c>
      <c r="S43" s="569"/>
      <c r="T43" s="569"/>
      <c r="U43" s="570"/>
      <c r="AC43" s="45"/>
    </row>
    <row r="44" spans="1:43" ht="24.75" thickTop="1" thickBot="1" x14ac:dyDescent="0.3">
      <c r="A44" s="282" t="s">
        <v>135</v>
      </c>
      <c r="B44" s="283">
        <f>SUM(B41:AC41)</f>
        <v>105923.54348337723</v>
      </c>
      <c r="C44" s="12"/>
      <c r="D44" s="282" t="s">
        <v>135</v>
      </c>
      <c r="E44" s="283">
        <f>SUM(B41:H41)+P41+R41+T41+V41+X41+Z41</f>
        <v>65168.565901821748</v>
      </c>
      <c r="F44" s="12"/>
      <c r="G44" s="282" t="s">
        <v>135</v>
      </c>
      <c r="H44" s="283">
        <f>SUM(I41:N41)+O41+Q41+S41+U41+W41+Y41</f>
        <v>40350.775667907641</v>
      </c>
      <c r="I44" s="12"/>
      <c r="J44" s="282" t="s">
        <v>200</v>
      </c>
      <c r="K44" s="283">
        <v>135309.35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3" ht="24" thickBot="1" x14ac:dyDescent="0.4">
      <c r="A45" s="284" t="s">
        <v>185</v>
      </c>
      <c r="B45" s="285">
        <f>SUM(AH41:AQ41)</f>
        <v>25716.278693549153</v>
      </c>
      <c r="C45" s="12"/>
      <c r="D45" s="284" t="s">
        <v>185</v>
      </c>
      <c r="E45" s="285">
        <f>AH41*(1-$AG$40)+AI41+AJ41*0.5+AL41+AM41*(1-$AG$40)+AN41*(1-$AG$40)+AO41*(1-$AG$40)+AP41*0.5+AQ41*0.5</f>
        <v>15380.91354864699</v>
      </c>
      <c r="F45" s="24"/>
      <c r="G45" s="284" t="s">
        <v>185</v>
      </c>
      <c r="H45" s="285">
        <f>AH41*AG40+AJ41*0.5+AK41+AM41*AG40+AN41*AG40+AO41*AG40+AP41*0.5+AQ41*0.5</f>
        <v>10335.365144902167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1302.4290324608489</v>
      </c>
      <c r="U45" s="256">
        <f>(T45*8.34*0.895)/27000</f>
        <v>0.3600637417406487</v>
      </c>
    </row>
    <row r="46" spans="1:43" ht="32.25" thickBot="1" x14ac:dyDescent="0.3">
      <c r="A46" s="286" t="s">
        <v>186</v>
      </c>
      <c r="B46" s="287">
        <f>SUM(AH42:AQ42)</f>
        <v>6978.4</v>
      </c>
      <c r="C46" s="12"/>
      <c r="D46" s="286" t="s">
        <v>186</v>
      </c>
      <c r="E46" s="287">
        <f>AH42*(1-$AG$40)+AJ42*0.5+AL42+AM42*(1-$AG$40)+AN42*(1-$AG$40)+AP42*0.5+AQ42*0.5</f>
        <v>3074.3368839601089</v>
      </c>
      <c r="F46" s="23"/>
      <c r="G46" s="286" t="s">
        <v>186</v>
      </c>
      <c r="H46" s="287">
        <f>AH42*AG40+AJ42*0.5+AK42+AM42*AG40+AN42*AG40+AP42*0.5+AQ42*0.5</f>
        <v>3904.0631160398916</v>
      </c>
      <c r="I46" s="12"/>
      <c r="J46" s="606" t="s">
        <v>201</v>
      </c>
      <c r="K46" s="607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3" ht="24.75" thickTop="1" thickBot="1" x14ac:dyDescent="0.4">
      <c r="A47" s="286" t="s">
        <v>187</v>
      </c>
      <c r="B47" s="287">
        <f>K44</f>
        <v>135309.35</v>
      </c>
      <c r="C47" s="12"/>
      <c r="D47" s="286" t="s">
        <v>189</v>
      </c>
      <c r="E47" s="287">
        <f>K44*0.5</f>
        <v>67654.675000000003</v>
      </c>
      <c r="F47" s="24"/>
      <c r="G47" s="286" t="s">
        <v>187</v>
      </c>
      <c r="H47" s="287">
        <f>K44*0.5</f>
        <v>67654.675000000003</v>
      </c>
      <c r="I47" s="12"/>
      <c r="J47" s="282" t="s">
        <v>200</v>
      </c>
      <c r="K47" s="283">
        <v>118178.54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70222.399426269549</v>
      </c>
      <c r="U47" s="256">
        <f>T47/40000</f>
        <v>1.7555599856567388</v>
      </c>
    </row>
    <row r="48" spans="1:43" ht="24" thickBot="1" x14ac:dyDescent="0.3">
      <c r="A48" s="286" t="s">
        <v>188</v>
      </c>
      <c r="B48" s="287">
        <f>K47</f>
        <v>118178.54</v>
      </c>
      <c r="C48" s="12"/>
      <c r="D48" s="286" t="s">
        <v>188</v>
      </c>
      <c r="E48" s="287">
        <f>K47*0.5</f>
        <v>59089.27</v>
      </c>
      <c r="F48" s="23"/>
      <c r="G48" s="286" t="s">
        <v>188</v>
      </c>
      <c r="H48" s="287">
        <f>K47*0.5</f>
        <v>59089.27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196</v>
      </c>
      <c r="B49" s="292">
        <f>AD40</f>
        <v>397.44363604618445</v>
      </c>
      <c r="C49" s="12"/>
      <c r="D49" s="291" t="s">
        <v>197</v>
      </c>
      <c r="E49" s="292">
        <f>AF40</f>
        <v>140.47805342192225</v>
      </c>
      <c r="F49" s="23"/>
      <c r="G49" s="291" t="s">
        <v>198</v>
      </c>
      <c r="H49" s="292">
        <f>AE40</f>
        <v>250.78101061571985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1125.082281329532</v>
      </c>
      <c r="U49" s="256">
        <f>(T49*8.34*1.04)/45000</f>
        <v>0.2168558594519962</v>
      </c>
    </row>
    <row r="50" spans="1:25" ht="48" thickTop="1" thickBot="1" x14ac:dyDescent="0.3">
      <c r="A50" s="291" t="s">
        <v>192</v>
      </c>
      <c r="B50" s="293">
        <f>(SUM(B44:B48)/AD40)</f>
        <v>986.57036272524988</v>
      </c>
      <c r="C50" s="12"/>
      <c r="D50" s="291" t="s">
        <v>190</v>
      </c>
      <c r="E50" s="293">
        <f>SUM(E44:E48)/AF40</f>
        <v>1497.5133567845976</v>
      </c>
      <c r="F50" s="23"/>
      <c r="G50" s="291" t="s">
        <v>191</v>
      </c>
      <c r="H50" s="293">
        <f>SUM(H44:H48)/AE40</f>
        <v>723.07767036920552</v>
      </c>
      <c r="I50" s="12"/>
      <c r="J50" s="12"/>
      <c r="K50" s="86"/>
      <c r="L50" s="12"/>
      <c r="M50" s="12"/>
      <c r="N50" s="12"/>
      <c r="O50" s="12"/>
      <c r="P50" s="12"/>
      <c r="Q50" s="12"/>
      <c r="R50" s="318" t="s">
        <v>153</v>
      </c>
      <c r="S50" s="319"/>
      <c r="T50" s="254">
        <f>$U$39+$V$39+$AB$39</f>
        <v>11917.37518759569</v>
      </c>
      <c r="U50" s="256">
        <f>T50/2000/8</f>
        <v>0.74483594922473062</v>
      </c>
    </row>
    <row r="51" spans="1:25" ht="48" thickTop="1" thickBot="1" x14ac:dyDescent="0.3">
      <c r="A51" s="281" t="s">
        <v>193</v>
      </c>
      <c r="B51" s="294">
        <f>B50/1000</f>
        <v>0.98657036272524989</v>
      </c>
      <c r="C51" s="12"/>
      <c r="D51" s="281" t="s">
        <v>194</v>
      </c>
      <c r="E51" s="294">
        <f>E50/1000</f>
        <v>1.4975133567845975</v>
      </c>
      <c r="F51" s="378">
        <f>E44/E49</f>
        <v>463.90567291027031</v>
      </c>
      <c r="G51" s="281" t="s">
        <v>195</v>
      </c>
      <c r="H51" s="294">
        <f>H50/1000</f>
        <v>0.72307767036920556</v>
      </c>
      <c r="I51" s="378">
        <f>H44/H49</f>
        <v>160.90044285585279</v>
      </c>
      <c r="J51" s="12"/>
      <c r="K51" s="86"/>
      <c r="L51" s="12"/>
      <c r="M51" s="12"/>
      <c r="N51" s="12"/>
      <c r="O51" s="12"/>
      <c r="P51" s="12"/>
      <c r="Q51" s="12"/>
      <c r="R51" s="318" t="s">
        <v>154</v>
      </c>
      <c r="S51" s="319"/>
      <c r="T51" s="254">
        <f>$C$39+$J$39+$S$39+$T$39</f>
        <v>13476.590208580104</v>
      </c>
      <c r="U51" s="256">
        <f>(T51*8.34*1.4)/45000</f>
        <v>3.4967259394529178</v>
      </c>
    </row>
    <row r="52" spans="1:25" ht="16.5" thickTop="1" thickBot="1" x14ac:dyDescent="0.3">
      <c r="A52" s="303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155</v>
      </c>
      <c r="S52" s="319"/>
      <c r="T52" s="254">
        <f>$H$39</f>
        <v>718.5985792756079</v>
      </c>
      <c r="U52" s="256">
        <f>(T52*8.34*1.135)/45000</f>
        <v>0.15115960647922169</v>
      </c>
    </row>
    <row r="53" spans="1:25" ht="33" thickTop="1" thickBot="1" x14ac:dyDescent="0.3">
      <c r="A53" s="571" t="s">
        <v>51</v>
      </c>
      <c r="B53" s="572"/>
      <c r="C53" s="572"/>
      <c r="D53" s="572"/>
      <c r="E53" s="573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156</v>
      </c>
      <c r="S53" s="319"/>
      <c r="T53" s="254">
        <f>$B$39+$I$39+$AC$39</f>
        <v>6308.3747790614734</v>
      </c>
      <c r="U53" s="256">
        <f>(T53*8.34*1.029*0.03)/3300</f>
        <v>0.49215990164942264</v>
      </c>
    </row>
    <row r="54" spans="1:25" ht="66.75" customHeight="1" thickBot="1" x14ac:dyDescent="0.3">
      <c r="A54" s="602" t="s">
        <v>202</v>
      </c>
      <c r="B54" s="603"/>
      <c r="C54" s="603"/>
      <c r="D54" s="603"/>
      <c r="E54" s="60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65" t="s">
        <v>158</v>
      </c>
      <c r="S54" s="566"/>
      <c r="T54" s="258">
        <f>$D$39+$Y$39+$Z$39</f>
        <v>30362.489439153669</v>
      </c>
      <c r="U54" s="259">
        <f>(T54*1.54*8.34)/45000</f>
        <v>8.6658593191269784</v>
      </c>
      <c r="V54" s="326"/>
      <c r="W54" s="12"/>
    </row>
    <row r="55" spans="1:25" ht="15.75" thickTop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323"/>
      <c r="T55" s="617"/>
      <c r="U55" s="617"/>
      <c r="V55" s="324"/>
      <c r="W55" s="325"/>
      <c r="X55" s="323"/>
      <c r="Y55" s="323"/>
    </row>
    <row r="56" spans="1:25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3"/>
      <c r="T56" s="617"/>
      <c r="U56" s="617"/>
      <c r="V56" s="324"/>
      <c r="W56" s="325"/>
      <c r="X56" s="323"/>
      <c r="Y56" s="323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3"/>
      <c r="T57" s="617"/>
      <c r="U57" s="617"/>
      <c r="V57" s="324"/>
      <c r="W57" s="325"/>
      <c r="X57" s="323"/>
      <c r="Y57" s="323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3"/>
      <c r="T58" s="617"/>
      <c r="U58" s="617"/>
      <c r="V58" s="324"/>
      <c r="W58" s="325"/>
      <c r="X58" s="323"/>
      <c r="Y58" s="323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3"/>
      <c r="T59" s="617"/>
      <c r="U59" s="617"/>
      <c r="V59" s="324"/>
      <c r="W59" s="325"/>
      <c r="X59" s="323"/>
      <c r="Y59" s="323"/>
    </row>
    <row r="60" spans="1:25" x14ac:dyDescent="0.25">
      <c r="S60" s="323"/>
      <c r="T60" s="617"/>
      <c r="U60" s="617"/>
      <c r="V60" s="324"/>
      <c r="W60" s="325"/>
      <c r="X60" s="323"/>
      <c r="Y60" s="329"/>
    </row>
    <row r="61" spans="1:25" x14ac:dyDescent="0.25">
      <c r="S61" s="323"/>
      <c r="T61" s="617"/>
      <c r="U61" s="617"/>
      <c r="V61" s="324"/>
      <c r="W61" s="325"/>
      <c r="X61" s="323"/>
      <c r="Y61" s="329"/>
    </row>
    <row r="62" spans="1:25" x14ac:dyDescent="0.25">
      <c r="S62" s="323"/>
      <c r="T62" s="617"/>
      <c r="U62" s="617"/>
      <c r="V62" s="324"/>
      <c r="W62" s="325"/>
      <c r="X62" s="323"/>
      <c r="Y62" s="329"/>
    </row>
    <row r="63" spans="1:25" x14ac:dyDescent="0.25">
      <c r="S63" s="323"/>
      <c r="T63" s="323"/>
      <c r="U63" s="323"/>
      <c r="V63" s="323"/>
      <c r="W63" s="323"/>
      <c r="X63" s="323"/>
      <c r="Y63" s="329"/>
    </row>
    <row r="64" spans="1:25" x14ac:dyDescent="0.25">
      <c r="S64" s="323"/>
      <c r="T64" s="323"/>
      <c r="U64" s="323"/>
      <c r="V64" s="323"/>
      <c r="W64" s="323"/>
      <c r="X64" s="323"/>
      <c r="Y64" s="329"/>
    </row>
    <row r="65" spans="19:24" x14ac:dyDescent="0.25">
      <c r="S65" s="12"/>
      <c r="T65" s="12"/>
      <c r="U65" s="12"/>
      <c r="V65" s="12"/>
      <c r="W65" s="12"/>
      <c r="X65" s="12"/>
    </row>
    <row r="66" spans="19:24" x14ac:dyDescent="0.25">
      <c r="S66" s="12"/>
      <c r="T66" s="12"/>
      <c r="U66" s="12"/>
      <c r="V66" s="12"/>
      <c r="W66" s="12"/>
      <c r="X66" s="12"/>
    </row>
    <row r="67" spans="19:24" x14ac:dyDescent="0.25">
      <c r="S67" s="12"/>
      <c r="T67" s="12"/>
      <c r="U67" s="12"/>
      <c r="V67" s="12"/>
      <c r="W67" s="12"/>
      <c r="X67" s="12"/>
    </row>
    <row r="68" spans="19:24" x14ac:dyDescent="0.25">
      <c r="S68" s="12"/>
      <c r="T68" s="12"/>
      <c r="U68" s="12"/>
      <c r="V68" s="12"/>
      <c r="W68" s="12"/>
      <c r="X68" s="12"/>
    </row>
    <row r="69" spans="19:24" x14ac:dyDescent="0.25">
      <c r="S69" s="12"/>
      <c r="T69" s="12"/>
      <c r="U69" s="12"/>
      <c r="V69" s="12"/>
      <c r="W69" s="12"/>
      <c r="X69" s="12"/>
    </row>
  </sheetData>
  <sheetProtection selectLockedCells="1" selectUnlockedCells="1"/>
  <mergeCells count="38">
    <mergeCell ref="T55:U55"/>
    <mergeCell ref="AD4:AD5"/>
    <mergeCell ref="AE4:AE5"/>
    <mergeCell ref="AF4:AF5"/>
    <mergeCell ref="AG4:AG5"/>
    <mergeCell ref="O4:T5"/>
    <mergeCell ref="U4:AA5"/>
    <mergeCell ref="AB4:AB5"/>
    <mergeCell ref="AC4:AC5"/>
    <mergeCell ref="R43:U43"/>
    <mergeCell ref="T61:U61"/>
    <mergeCell ref="T62:U62"/>
    <mergeCell ref="T56:U56"/>
    <mergeCell ref="T57:U57"/>
    <mergeCell ref="T58:U58"/>
    <mergeCell ref="T59:U59"/>
    <mergeCell ref="T60:U60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J46:K46"/>
    <mergeCell ref="A53:E53"/>
    <mergeCell ref="A54:E54"/>
    <mergeCell ref="R54:S54"/>
    <mergeCell ref="AM4:AM5"/>
    <mergeCell ref="A43:B43"/>
    <mergeCell ref="D43:E43"/>
    <mergeCell ref="G43:H43"/>
    <mergeCell ref="B4:H5"/>
    <mergeCell ref="I4:N5"/>
    <mergeCell ref="A42:K42"/>
    <mergeCell ref="J43:K43"/>
  </mergeCells>
  <pageMargins left="0.33" right="0.19" top="0.75" bottom="0.75" header="0.3" footer="0.3"/>
  <pageSetup scale="56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zoomScale="80" zoomScaleNormal="80" workbookViewId="0">
      <selection activeCell="AL48" sqref="AL48"/>
    </sheetView>
  </sheetViews>
  <sheetFormatPr defaultRowHeight="15" x14ac:dyDescent="0.25"/>
  <cols>
    <col min="1" max="1" width="26.2851562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570312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53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3" ht="15" customHeight="1" x14ac:dyDescent="0.25">
      <c r="A2" s="1" t="s">
        <v>2</v>
      </c>
      <c r="B2" s="5"/>
      <c r="O2" s="4"/>
      <c r="P2" s="4"/>
      <c r="Q2" s="4"/>
      <c r="R2" s="4"/>
    </row>
    <row r="3" spans="1:53" ht="15.75" thickBot="1" x14ac:dyDescent="0.3">
      <c r="A3" s="6"/>
      <c r="AZ3" t="s">
        <v>171</v>
      </c>
      <c r="BA3" s="260" t="s">
        <v>208</v>
      </c>
    </row>
    <row r="4" spans="1:53" ht="30" customHeight="1" thickTop="1" x14ac:dyDescent="0.25">
      <c r="A4" s="13"/>
      <c r="B4" s="581" t="s">
        <v>3</v>
      </c>
      <c r="C4" s="582"/>
      <c r="D4" s="582"/>
      <c r="E4" s="582"/>
      <c r="F4" s="582"/>
      <c r="G4" s="582"/>
      <c r="H4" s="583"/>
      <c r="I4" s="581" t="s">
        <v>4</v>
      </c>
      <c r="J4" s="582"/>
      <c r="K4" s="582"/>
      <c r="L4" s="582"/>
      <c r="M4" s="582"/>
      <c r="N4" s="583"/>
      <c r="O4" s="587" t="s">
        <v>5</v>
      </c>
      <c r="P4" s="588"/>
      <c r="Q4" s="589"/>
      <c r="R4" s="589"/>
      <c r="S4" s="589"/>
      <c r="T4" s="590"/>
      <c r="U4" s="581" t="s">
        <v>6</v>
      </c>
      <c r="V4" s="594"/>
      <c r="W4" s="594"/>
      <c r="X4" s="594"/>
      <c r="Y4" s="594"/>
      <c r="Z4" s="594"/>
      <c r="AA4" s="595"/>
      <c r="AB4" s="574" t="s">
        <v>7</v>
      </c>
      <c r="AC4" s="600" t="s">
        <v>8</v>
      </c>
      <c r="AD4" s="579" t="s">
        <v>27</v>
      </c>
      <c r="AE4" s="579" t="s">
        <v>31</v>
      </c>
      <c r="AF4" s="579" t="s">
        <v>32</v>
      </c>
      <c r="AG4" s="579" t="s">
        <v>33</v>
      </c>
      <c r="AH4" s="574" t="s">
        <v>175</v>
      </c>
      <c r="AI4" s="574" t="s">
        <v>176</v>
      </c>
      <c r="AJ4" s="574" t="s">
        <v>177</v>
      </c>
      <c r="AK4" s="574" t="s">
        <v>178</v>
      </c>
      <c r="AL4" s="574" t="s">
        <v>179</v>
      </c>
      <c r="AM4" s="574" t="s">
        <v>180</v>
      </c>
      <c r="AN4" s="574" t="s">
        <v>181</v>
      </c>
      <c r="AO4" s="574" t="s">
        <v>184</v>
      </c>
      <c r="AP4" s="574" t="s">
        <v>182</v>
      </c>
      <c r="AQ4" s="574" t="s">
        <v>183</v>
      </c>
    </row>
    <row r="5" spans="1:53" ht="30" customHeight="1" thickBot="1" x14ac:dyDescent="0.3">
      <c r="A5" s="13"/>
      <c r="B5" s="584"/>
      <c r="C5" s="585"/>
      <c r="D5" s="585"/>
      <c r="E5" s="585"/>
      <c r="F5" s="585"/>
      <c r="G5" s="585"/>
      <c r="H5" s="586"/>
      <c r="I5" s="584"/>
      <c r="J5" s="585"/>
      <c r="K5" s="585"/>
      <c r="L5" s="585"/>
      <c r="M5" s="585"/>
      <c r="N5" s="586"/>
      <c r="O5" s="591"/>
      <c r="P5" s="592"/>
      <c r="Q5" s="592"/>
      <c r="R5" s="592"/>
      <c r="S5" s="592"/>
      <c r="T5" s="593"/>
      <c r="U5" s="596"/>
      <c r="V5" s="597"/>
      <c r="W5" s="597"/>
      <c r="X5" s="597"/>
      <c r="Y5" s="597"/>
      <c r="Z5" s="597"/>
      <c r="AA5" s="598"/>
      <c r="AB5" s="599"/>
      <c r="AC5" s="601"/>
      <c r="AD5" s="580"/>
      <c r="AE5" s="580"/>
      <c r="AF5" s="580"/>
      <c r="AG5" s="580"/>
      <c r="AH5" s="575"/>
      <c r="AI5" s="575"/>
      <c r="AJ5" s="575"/>
      <c r="AK5" s="575"/>
      <c r="AL5" s="575"/>
      <c r="AM5" s="575"/>
      <c r="AN5" s="575"/>
      <c r="AO5" s="575"/>
      <c r="AP5" s="575"/>
      <c r="AQ5" s="575"/>
    </row>
    <row r="6" spans="1:53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3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53" s="375" customFormat="1" ht="15" customHeight="1" x14ac:dyDescent="0.25">
      <c r="A8" s="389">
        <v>42705</v>
      </c>
      <c r="B8" s="369"/>
      <c r="C8" s="370">
        <v>54.96375223398109</v>
      </c>
      <c r="D8" s="370">
        <v>625.76874370575138</v>
      </c>
      <c r="E8" s="370">
        <v>15.1244340201219</v>
      </c>
      <c r="F8" s="370">
        <v>0</v>
      </c>
      <c r="G8" s="370">
        <v>1963.1868512471431</v>
      </c>
      <c r="H8" s="371">
        <v>22.455355948209753</v>
      </c>
      <c r="I8" s="369">
        <v>169.49311714967067</v>
      </c>
      <c r="J8" s="370">
        <v>341.79381788571692</v>
      </c>
      <c r="K8" s="370">
        <v>18.828410005072733</v>
      </c>
      <c r="L8" s="372">
        <v>0</v>
      </c>
      <c r="M8" s="372">
        <v>0</v>
      </c>
      <c r="N8" s="371">
        <v>0</v>
      </c>
      <c r="O8" s="369">
        <v>0</v>
      </c>
      <c r="P8" s="370">
        <v>0</v>
      </c>
      <c r="Q8" s="370">
        <v>0</v>
      </c>
      <c r="R8" s="370">
        <v>0</v>
      </c>
      <c r="S8" s="370">
        <v>0</v>
      </c>
      <c r="T8" s="371">
        <v>0</v>
      </c>
      <c r="U8" s="369">
        <v>198.15832021238867</v>
      </c>
      <c r="V8" s="370">
        <v>114.44764363233155</v>
      </c>
      <c r="W8" s="370">
        <v>27.568276403941471</v>
      </c>
      <c r="X8" s="370">
        <v>15.922239702346108</v>
      </c>
      <c r="Y8" s="370">
        <v>193.78705194972181</v>
      </c>
      <c r="Z8" s="370">
        <v>111.92298884210719</v>
      </c>
      <c r="AA8" s="371">
        <v>0</v>
      </c>
      <c r="AB8" s="373">
        <v>47.971954157617219</v>
      </c>
      <c r="AC8" s="374">
        <v>0</v>
      </c>
      <c r="AD8" s="374">
        <v>11.772504055831149</v>
      </c>
      <c r="AE8" s="374">
        <v>7.3772886030347982</v>
      </c>
      <c r="AF8" s="374">
        <v>4.2608016464211111</v>
      </c>
      <c r="AG8" s="374">
        <v>0.63389168196042234</v>
      </c>
      <c r="AH8" s="374">
        <v>324.01582681337982</v>
      </c>
      <c r="AI8" s="374">
        <v>1186.8533512115478</v>
      </c>
      <c r="AJ8" s="374">
        <v>3223.0017215728758</v>
      </c>
      <c r="AK8" s="374">
        <v>421.47205505371096</v>
      </c>
      <c r="AL8" s="374">
        <v>2866.8149979909267</v>
      </c>
      <c r="AM8" s="374">
        <v>2851.2016699473065</v>
      </c>
      <c r="AN8" s="374">
        <v>364.58308410644531</v>
      </c>
      <c r="AO8" s="374">
        <v>1950.5300903320312</v>
      </c>
      <c r="AP8" s="374">
        <v>380.17380951245627</v>
      </c>
      <c r="AQ8" s="374">
        <v>561.90726067225137</v>
      </c>
    </row>
    <row r="9" spans="1:53" s="375" customFormat="1" ht="15" customHeight="1" x14ac:dyDescent="0.25">
      <c r="A9" s="390">
        <v>42706</v>
      </c>
      <c r="B9" s="369"/>
      <c r="C9" s="370">
        <v>54.37867083549412</v>
      </c>
      <c r="D9" s="370">
        <v>629.98298556010297</v>
      </c>
      <c r="E9" s="370">
        <v>15.103464777270935</v>
      </c>
      <c r="F9" s="370">
        <v>0</v>
      </c>
      <c r="G9" s="370">
        <v>1776.9584089914913</v>
      </c>
      <c r="H9" s="371">
        <v>22.412908424933761</v>
      </c>
      <c r="I9" s="369">
        <v>164.92330813407887</v>
      </c>
      <c r="J9" s="370">
        <v>332.75997403462765</v>
      </c>
      <c r="K9" s="370">
        <v>18.089362509548643</v>
      </c>
      <c r="L9" s="372">
        <v>0</v>
      </c>
      <c r="M9" s="372">
        <v>0</v>
      </c>
      <c r="N9" s="371">
        <v>0</v>
      </c>
      <c r="O9" s="369">
        <v>0</v>
      </c>
      <c r="P9" s="370">
        <v>0</v>
      </c>
      <c r="Q9" s="370">
        <v>0</v>
      </c>
      <c r="R9" s="370">
        <v>0</v>
      </c>
      <c r="S9" s="370">
        <v>0</v>
      </c>
      <c r="T9" s="371">
        <v>0</v>
      </c>
      <c r="U9" s="369">
        <v>201.03259436001068</v>
      </c>
      <c r="V9" s="370">
        <v>120.62872776743627</v>
      </c>
      <c r="W9" s="370">
        <v>28.087132642486498</v>
      </c>
      <c r="X9" s="370">
        <v>16.853560926696868</v>
      </c>
      <c r="Y9" s="370">
        <v>191.45298744442402</v>
      </c>
      <c r="Z9" s="370">
        <v>114.88052659429746</v>
      </c>
      <c r="AA9" s="371">
        <v>0</v>
      </c>
      <c r="AB9" s="373">
        <v>47.028295063972202</v>
      </c>
      <c r="AC9" s="374">
        <v>0</v>
      </c>
      <c r="AD9" s="374">
        <v>12.127621077166642</v>
      </c>
      <c r="AE9" s="374">
        <v>7.4990939529199228</v>
      </c>
      <c r="AF9" s="374">
        <v>4.4997984820771384</v>
      </c>
      <c r="AG9" s="374">
        <v>0.62498218010917272</v>
      </c>
      <c r="AH9" s="374">
        <v>341.72636500994372</v>
      </c>
      <c r="AI9" s="374">
        <v>1228.1626813252767</v>
      </c>
      <c r="AJ9" s="374">
        <v>3256.9533243815108</v>
      </c>
      <c r="AK9" s="374">
        <v>422.35509824752808</v>
      </c>
      <c r="AL9" s="374">
        <v>2900.5811442057288</v>
      </c>
      <c r="AM9" s="374">
        <v>2988.1403572082518</v>
      </c>
      <c r="AN9" s="374">
        <v>364.58308410644531</v>
      </c>
      <c r="AO9" s="374">
        <v>1950.5300903320312</v>
      </c>
      <c r="AP9" s="374">
        <v>422.72857173283899</v>
      </c>
      <c r="AQ9" s="374">
        <v>567.36660076777139</v>
      </c>
    </row>
    <row r="10" spans="1:53" x14ac:dyDescent="0.25">
      <c r="A10" s="368">
        <v>42707</v>
      </c>
      <c r="B10" s="59"/>
      <c r="C10" s="60">
        <v>55.968473243713319</v>
      </c>
      <c r="D10" s="60">
        <v>644.16884415944401</v>
      </c>
      <c r="E10" s="60">
        <v>15.252824952701724</v>
      </c>
      <c r="F10" s="60">
        <v>0</v>
      </c>
      <c r="G10" s="60">
        <v>1498.2826721191336</v>
      </c>
      <c r="H10" s="61">
        <v>22.626863221327465</v>
      </c>
      <c r="I10" s="59">
        <v>164.52295289039603</v>
      </c>
      <c r="J10" s="60">
        <v>332.0055748462683</v>
      </c>
      <c r="K10" s="60">
        <v>18.14513785143691</v>
      </c>
      <c r="L10" s="50">
        <v>0</v>
      </c>
      <c r="M10" s="372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194.82373498563092</v>
      </c>
      <c r="V10" s="62">
        <v>116.86070119787391</v>
      </c>
      <c r="W10" s="62">
        <v>27.312379555412281</v>
      </c>
      <c r="X10" s="62">
        <v>16.382725782684329</v>
      </c>
      <c r="Y10" s="66">
        <v>168.91209759988189</v>
      </c>
      <c r="Z10" s="66">
        <v>101.31817957284188</v>
      </c>
      <c r="AA10" s="67">
        <v>0</v>
      </c>
      <c r="AB10" s="68">
        <v>47.016957267125228</v>
      </c>
      <c r="AC10" s="69">
        <v>0</v>
      </c>
      <c r="AD10" s="69">
        <v>12.126759436395455</v>
      </c>
      <c r="AE10" s="68">
        <v>7.5018281162093672</v>
      </c>
      <c r="AF10" s="68">
        <v>4.4998053958405526</v>
      </c>
      <c r="AG10" s="68">
        <v>0.62506725510967787</v>
      </c>
      <c r="AH10" s="69">
        <v>338.42771380742391</v>
      </c>
      <c r="AI10" s="69">
        <v>1216.3980200449628</v>
      </c>
      <c r="AJ10" s="69">
        <v>3250.1729005177817</v>
      </c>
      <c r="AK10" s="69">
        <v>418.80416549046834</v>
      </c>
      <c r="AL10" s="69">
        <v>2943.8992877960204</v>
      </c>
      <c r="AM10" s="69">
        <v>2828.0260414123536</v>
      </c>
      <c r="AN10" s="69">
        <v>364.58308410644531</v>
      </c>
      <c r="AO10" s="69">
        <v>1950.5300903320312</v>
      </c>
      <c r="AP10" s="69">
        <v>394.63780930836998</v>
      </c>
      <c r="AQ10" s="69">
        <v>514.28190650939939</v>
      </c>
    </row>
    <row r="11" spans="1:53" x14ac:dyDescent="0.25">
      <c r="A11" s="368">
        <v>42708</v>
      </c>
      <c r="B11" s="59"/>
      <c r="C11" s="60">
        <v>55.723006723324197</v>
      </c>
      <c r="D11" s="60">
        <v>644.95703506469602</v>
      </c>
      <c r="E11" s="60">
        <v>15.287911003828041</v>
      </c>
      <c r="F11" s="60">
        <v>0</v>
      </c>
      <c r="G11" s="60">
        <v>1505.9504832585587</v>
      </c>
      <c r="H11" s="61">
        <v>22.630055471261336</v>
      </c>
      <c r="I11" s="59">
        <v>164.24625906944271</v>
      </c>
      <c r="J11" s="60">
        <v>331.06869552930254</v>
      </c>
      <c r="K11" s="60">
        <v>18.280049321552109</v>
      </c>
      <c r="L11" s="50">
        <v>0</v>
      </c>
      <c r="M11" s="372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195.55000117966878</v>
      </c>
      <c r="V11" s="62">
        <v>117.30809295095796</v>
      </c>
      <c r="W11" s="62">
        <v>26.855166661404116</v>
      </c>
      <c r="X11" s="62">
        <v>16.110091372666272</v>
      </c>
      <c r="Y11" s="66">
        <v>150.49825858732666</v>
      </c>
      <c r="Z11" s="66">
        <v>90.282094609135527</v>
      </c>
      <c r="AA11" s="67">
        <v>0</v>
      </c>
      <c r="AB11" s="68">
        <v>47.098655374844448</v>
      </c>
      <c r="AC11" s="69">
        <v>0</v>
      </c>
      <c r="AD11" s="69">
        <v>12.12290920217832</v>
      </c>
      <c r="AE11" s="68">
        <v>7.5009996595002359</v>
      </c>
      <c r="AF11" s="68">
        <v>4.4997594475762313</v>
      </c>
      <c r="AG11" s="68">
        <v>0.62504376536290396</v>
      </c>
      <c r="AH11" s="69">
        <v>312.70312116940823</v>
      </c>
      <c r="AI11" s="69">
        <v>1165.6381072998045</v>
      </c>
      <c r="AJ11" s="69">
        <v>3169.6169240315762</v>
      </c>
      <c r="AK11" s="69">
        <v>415.4973135312398</v>
      </c>
      <c r="AL11" s="69">
        <v>2751.7562826792396</v>
      </c>
      <c r="AM11" s="69">
        <v>2787.1232737223304</v>
      </c>
      <c r="AN11" s="69">
        <v>364.58308410644531</v>
      </c>
      <c r="AO11" s="69">
        <v>1950.5300903320312</v>
      </c>
      <c r="AP11" s="69">
        <v>385.31252304712933</v>
      </c>
      <c r="AQ11" s="69">
        <v>497.51624739964797</v>
      </c>
    </row>
    <row r="12" spans="1:53" x14ac:dyDescent="0.25">
      <c r="A12" s="368">
        <v>42709</v>
      </c>
      <c r="B12" s="59"/>
      <c r="C12" s="60">
        <v>56.994890737533268</v>
      </c>
      <c r="D12" s="60">
        <v>645.5197439511619</v>
      </c>
      <c r="E12" s="60">
        <v>15.306060465176889</v>
      </c>
      <c r="F12" s="60">
        <v>0</v>
      </c>
      <c r="G12" s="60">
        <v>1591.0483932495067</v>
      </c>
      <c r="H12" s="61">
        <v>22.71714677413307</v>
      </c>
      <c r="I12" s="59">
        <v>179.78307927449546</v>
      </c>
      <c r="J12" s="60">
        <v>431.94312407175738</v>
      </c>
      <c r="K12" s="60">
        <v>23.674047076205458</v>
      </c>
      <c r="L12" s="50">
        <v>0</v>
      </c>
      <c r="M12" s="372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194.80116879636276</v>
      </c>
      <c r="V12" s="62">
        <v>116.88351496099526</v>
      </c>
      <c r="W12" s="62">
        <v>26.806994728082408</v>
      </c>
      <c r="X12" s="62">
        <v>16.084584033654139</v>
      </c>
      <c r="Y12" s="66">
        <v>148.63389105046622</v>
      </c>
      <c r="Z12" s="66">
        <v>89.182481479199865</v>
      </c>
      <c r="AA12" s="67">
        <v>0</v>
      </c>
      <c r="AB12" s="68">
        <v>56.920371201303453</v>
      </c>
      <c r="AC12" s="69">
        <v>0</v>
      </c>
      <c r="AD12" s="69">
        <v>12.129060608810857</v>
      </c>
      <c r="AE12" s="68">
        <v>7.5000104583713467</v>
      </c>
      <c r="AF12" s="68">
        <v>4.5001146042150255</v>
      </c>
      <c r="AG12" s="68">
        <v>0.62499435791337321</v>
      </c>
      <c r="AH12" s="69">
        <v>297.26424663861593</v>
      </c>
      <c r="AI12" s="69">
        <v>1135.2177512486776</v>
      </c>
      <c r="AJ12" s="69">
        <v>3159.9032272338873</v>
      </c>
      <c r="AK12" s="69">
        <v>419.70522516568496</v>
      </c>
      <c r="AL12" s="69">
        <v>2825.1044549306234</v>
      </c>
      <c r="AM12" s="69">
        <v>2789.6166110992431</v>
      </c>
      <c r="AN12" s="69">
        <v>364.58308410644531</v>
      </c>
      <c r="AO12" s="69">
        <v>1950.5300903320312</v>
      </c>
      <c r="AP12" s="69">
        <v>389.4653119723003</v>
      </c>
      <c r="AQ12" s="69">
        <v>532.09088999430355</v>
      </c>
    </row>
    <row r="13" spans="1:53" x14ac:dyDescent="0.25">
      <c r="A13" s="11">
        <v>42710</v>
      </c>
      <c r="B13" s="59"/>
      <c r="C13" s="60">
        <v>56.468218636512198</v>
      </c>
      <c r="D13" s="60">
        <v>643.41585493087825</v>
      </c>
      <c r="E13" s="60">
        <v>14.955586790045112</v>
      </c>
      <c r="F13" s="60">
        <v>0</v>
      </c>
      <c r="G13" s="60">
        <v>1590.8075489679927</v>
      </c>
      <c r="H13" s="61">
        <v>22.693888818224245</v>
      </c>
      <c r="I13" s="59">
        <v>194.24441763560006</v>
      </c>
      <c r="J13" s="60">
        <v>500.77428379058881</v>
      </c>
      <c r="K13" s="60">
        <v>27.477206077178352</v>
      </c>
      <c r="L13" s="50">
        <v>0</v>
      </c>
      <c r="M13" s="372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195.17449086851332</v>
      </c>
      <c r="V13" s="62">
        <v>117.09494912545529</v>
      </c>
      <c r="W13" s="62">
        <v>26.954004666779081</v>
      </c>
      <c r="X13" s="62">
        <v>16.171056940581746</v>
      </c>
      <c r="Y13" s="66">
        <v>144.65603848323741</v>
      </c>
      <c r="Z13" s="66">
        <v>86.786400166893969</v>
      </c>
      <c r="AA13" s="67">
        <v>0</v>
      </c>
      <c r="AB13" s="68">
        <v>63.951318632231938</v>
      </c>
      <c r="AC13" s="69">
        <v>0</v>
      </c>
      <c r="AD13" s="69">
        <v>12.134187684456514</v>
      </c>
      <c r="AE13" s="68">
        <v>7.5005885554852636</v>
      </c>
      <c r="AF13" s="68">
        <v>4.4999786160949</v>
      </c>
      <c r="AG13" s="68">
        <v>0.62501950518207305</v>
      </c>
      <c r="AH13" s="69">
        <v>368.81972689628594</v>
      </c>
      <c r="AI13" s="69">
        <v>1286.7398017883302</v>
      </c>
      <c r="AJ13" s="69">
        <v>3311.0105447133378</v>
      </c>
      <c r="AK13" s="69">
        <v>443.87549084027609</v>
      </c>
      <c r="AL13" s="69">
        <v>3060.7013690948479</v>
      </c>
      <c r="AM13" s="69">
        <v>2958.4544148763021</v>
      </c>
      <c r="AN13" s="69">
        <v>364.58308410644531</v>
      </c>
      <c r="AO13" s="69">
        <v>1950.5300903320312</v>
      </c>
      <c r="AP13" s="69">
        <v>410.46846888860068</v>
      </c>
      <c r="AQ13" s="69">
        <v>594.85699825286883</v>
      </c>
    </row>
    <row r="14" spans="1:53" x14ac:dyDescent="0.25">
      <c r="A14" s="11">
        <v>42711</v>
      </c>
      <c r="B14" s="59"/>
      <c r="C14" s="60">
        <v>55.990968298911575</v>
      </c>
      <c r="D14" s="60">
        <v>638.14448140462332</v>
      </c>
      <c r="E14" s="60">
        <v>14.589890536665914</v>
      </c>
      <c r="F14" s="60">
        <v>0</v>
      </c>
      <c r="G14" s="60">
        <v>1568.0895514806064</v>
      </c>
      <c r="H14" s="61">
        <v>22.370156546433769</v>
      </c>
      <c r="I14" s="59">
        <v>195.24927320480339</v>
      </c>
      <c r="J14" s="60">
        <v>502.00129591623977</v>
      </c>
      <c r="K14" s="60">
        <v>27.450488301118263</v>
      </c>
      <c r="L14" s="50">
        <v>0</v>
      </c>
      <c r="M14" s="372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189.41697597274694</v>
      </c>
      <c r="V14" s="62">
        <v>113.66288598607674</v>
      </c>
      <c r="W14" s="62">
        <v>27.295840625451039</v>
      </c>
      <c r="X14" s="62">
        <v>16.379334560547253</v>
      </c>
      <c r="Y14" s="66">
        <v>140.12466427097019</v>
      </c>
      <c r="Z14" s="66">
        <v>84.084193917023143</v>
      </c>
      <c r="AA14" s="67">
        <v>0</v>
      </c>
      <c r="AB14" s="68">
        <v>63.398007795546874</v>
      </c>
      <c r="AC14" s="69">
        <v>0</v>
      </c>
      <c r="AD14" s="69">
        <v>11.806810538967452</v>
      </c>
      <c r="AE14" s="68">
        <v>7.2980001635415226</v>
      </c>
      <c r="AF14" s="68">
        <v>4.3792894288120117</v>
      </c>
      <c r="AG14" s="68">
        <v>0.6249738097032691</v>
      </c>
      <c r="AH14" s="69">
        <v>397.21176836490628</v>
      </c>
      <c r="AI14" s="69">
        <v>1353.8567034403482</v>
      </c>
      <c r="AJ14" s="69">
        <v>3416.6396272023526</v>
      </c>
      <c r="AK14" s="69">
        <v>445.86422729492187</v>
      </c>
      <c r="AL14" s="69">
        <v>3164.4050273895255</v>
      </c>
      <c r="AM14" s="69">
        <v>2987.3574965159096</v>
      </c>
      <c r="AN14" s="69">
        <v>364.58308410644531</v>
      </c>
      <c r="AO14" s="69">
        <v>1950.5300903320312</v>
      </c>
      <c r="AP14" s="69">
        <v>412.07103986740117</v>
      </c>
      <c r="AQ14" s="69">
        <v>582.27439874013271</v>
      </c>
    </row>
    <row r="15" spans="1:53" x14ac:dyDescent="0.25">
      <c r="A15" s="11">
        <v>42712</v>
      </c>
      <c r="B15" s="59"/>
      <c r="C15" s="60">
        <v>55.073303178945167</v>
      </c>
      <c r="D15" s="60">
        <v>638.00365454355892</v>
      </c>
      <c r="E15" s="60">
        <v>14.565696979065745</v>
      </c>
      <c r="F15" s="60">
        <v>0</v>
      </c>
      <c r="G15" s="60">
        <v>1496.1574474970439</v>
      </c>
      <c r="H15" s="61">
        <v>22.432509139180155</v>
      </c>
      <c r="I15" s="59">
        <v>174.91680329640718</v>
      </c>
      <c r="J15" s="60">
        <v>439.42565962473543</v>
      </c>
      <c r="K15" s="60">
        <v>24.044355655213231</v>
      </c>
      <c r="L15" s="50">
        <v>0</v>
      </c>
      <c r="M15" s="372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185.17397894689404</v>
      </c>
      <c r="V15" s="62">
        <v>111.10618763669633</v>
      </c>
      <c r="W15" s="62">
        <v>27.635058564956076</v>
      </c>
      <c r="X15" s="62">
        <v>16.581303808078069</v>
      </c>
      <c r="Y15" s="66">
        <v>138.87975999330257</v>
      </c>
      <c r="Z15" s="66">
        <v>83.329206190360622</v>
      </c>
      <c r="AA15" s="67">
        <v>0</v>
      </c>
      <c r="AB15" s="68">
        <v>57.468439372381184</v>
      </c>
      <c r="AC15" s="69">
        <v>0</v>
      </c>
      <c r="AD15" s="69">
        <v>11.692704265647466</v>
      </c>
      <c r="AE15" s="68">
        <v>7.2225369195311639</v>
      </c>
      <c r="AF15" s="68">
        <v>4.3335923695009875</v>
      </c>
      <c r="AG15" s="68">
        <v>0.62499620235177089</v>
      </c>
      <c r="AH15" s="69">
        <v>396.25289173920942</v>
      </c>
      <c r="AI15" s="69">
        <v>1352.9773162841798</v>
      </c>
      <c r="AJ15" s="69">
        <v>3392.4759969075526</v>
      </c>
      <c r="AK15" s="69">
        <v>445.47750840187075</v>
      </c>
      <c r="AL15" s="69">
        <v>3293.0318077087413</v>
      </c>
      <c r="AM15" s="69">
        <v>3059.5968175252278</v>
      </c>
      <c r="AN15" s="69">
        <v>364.58308410644531</v>
      </c>
      <c r="AO15" s="69">
        <v>1950.5300903320312</v>
      </c>
      <c r="AP15" s="69">
        <v>410.34001814524328</v>
      </c>
      <c r="AQ15" s="69">
        <v>599.92264661788943</v>
      </c>
    </row>
    <row r="16" spans="1:53" x14ac:dyDescent="0.25">
      <c r="A16" s="11">
        <v>42713</v>
      </c>
      <c r="B16" s="59"/>
      <c r="C16" s="60">
        <v>54.960105566183572</v>
      </c>
      <c r="D16" s="60">
        <v>647.65871337254714</v>
      </c>
      <c r="E16" s="60">
        <v>14.651002163688316</v>
      </c>
      <c r="F16" s="60">
        <v>0</v>
      </c>
      <c r="G16" s="60">
        <v>1525.845670636488</v>
      </c>
      <c r="H16" s="61">
        <v>22.421022827426619</v>
      </c>
      <c r="I16" s="59">
        <v>150.37854228019717</v>
      </c>
      <c r="J16" s="60">
        <v>333.79273823102358</v>
      </c>
      <c r="K16" s="60">
        <v>18.229630097746856</v>
      </c>
      <c r="L16" s="50">
        <v>0</v>
      </c>
      <c r="M16" s="372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184.76217192398732</v>
      </c>
      <c r="V16" s="62">
        <v>110.87199783470136</v>
      </c>
      <c r="W16" s="62">
        <v>26.980831884747452</v>
      </c>
      <c r="X16" s="62">
        <v>16.190644995961918</v>
      </c>
      <c r="Y16" s="66">
        <v>138.09347090709602</v>
      </c>
      <c r="Z16" s="66">
        <v>82.867065525170887</v>
      </c>
      <c r="AA16" s="67">
        <v>0</v>
      </c>
      <c r="AB16" s="68">
        <v>47.239943411615712</v>
      </c>
      <c r="AC16" s="69">
        <v>0</v>
      </c>
      <c r="AD16" s="69">
        <v>11.678746090332647</v>
      </c>
      <c r="AE16" s="68">
        <v>7.2157544986389279</v>
      </c>
      <c r="AF16" s="68">
        <v>4.3300265894144641</v>
      </c>
      <c r="AG16" s="68">
        <v>0.62496893398621478</v>
      </c>
      <c r="AH16" s="69">
        <v>345.66634223461153</v>
      </c>
      <c r="AI16" s="69">
        <v>1240.3315846125283</v>
      </c>
      <c r="AJ16" s="69">
        <v>3249.6367421468108</v>
      </c>
      <c r="AK16" s="69">
        <v>438.04742445945743</v>
      </c>
      <c r="AL16" s="69">
        <v>2997.1467997233067</v>
      </c>
      <c r="AM16" s="69">
        <v>2888.4878896077475</v>
      </c>
      <c r="AN16" s="69">
        <v>364.58308410644531</v>
      </c>
      <c r="AO16" s="69">
        <v>1950.5300903320312</v>
      </c>
      <c r="AP16" s="69">
        <v>412.26792503992715</v>
      </c>
      <c r="AQ16" s="69">
        <v>563.503857866923</v>
      </c>
    </row>
    <row r="17" spans="1:43" x14ac:dyDescent="0.25">
      <c r="A17" s="11">
        <v>42714</v>
      </c>
      <c r="B17" s="49"/>
      <c r="C17" s="50">
        <v>54.95682487885135</v>
      </c>
      <c r="D17" s="50">
        <v>649.72051521937249</v>
      </c>
      <c r="E17" s="50">
        <v>14.765775666634253</v>
      </c>
      <c r="F17" s="50">
        <v>0</v>
      </c>
      <c r="G17" s="50">
        <v>1544.4852350234944</v>
      </c>
      <c r="H17" s="51">
        <v>22.403508077065162</v>
      </c>
      <c r="I17" s="49">
        <v>158.07724525133787</v>
      </c>
      <c r="J17" s="50">
        <v>345.33086160024044</v>
      </c>
      <c r="K17" s="50">
        <v>18.932517857849611</v>
      </c>
      <c r="L17" s="50">
        <v>0</v>
      </c>
      <c r="M17" s="372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190.11071964621576</v>
      </c>
      <c r="V17" s="66">
        <v>113.94394929952101</v>
      </c>
      <c r="W17" s="62">
        <v>28.342510525661986</v>
      </c>
      <c r="X17" s="62">
        <v>16.987246107778617</v>
      </c>
      <c r="Y17" s="66">
        <v>142.08100781908391</v>
      </c>
      <c r="Z17" s="66">
        <v>85.157066269013001</v>
      </c>
      <c r="AA17" s="67">
        <v>0</v>
      </c>
      <c r="AB17" s="68">
        <v>48.368063052495685</v>
      </c>
      <c r="AC17" s="69">
        <v>0</v>
      </c>
      <c r="AD17" s="69">
        <v>12.040912877851058</v>
      </c>
      <c r="AE17" s="68">
        <v>7.4110154368165304</v>
      </c>
      <c r="AF17" s="68">
        <v>4.4418345728323017</v>
      </c>
      <c r="AG17" s="68">
        <v>0.62525176904993995</v>
      </c>
      <c r="AH17" s="69">
        <v>293.28566684722898</v>
      </c>
      <c r="AI17" s="69">
        <v>1150.545911725362</v>
      </c>
      <c r="AJ17" s="69">
        <v>3110.9985061645507</v>
      </c>
      <c r="AK17" s="69">
        <v>433.58793568611139</v>
      </c>
      <c r="AL17" s="69">
        <v>2925.1709451039633</v>
      </c>
      <c r="AM17" s="69">
        <v>2714.110942077637</v>
      </c>
      <c r="AN17" s="69">
        <v>528.46523904800415</v>
      </c>
      <c r="AO17" s="69">
        <v>1887.1563212076824</v>
      </c>
      <c r="AP17" s="69">
        <v>407.62222604751588</v>
      </c>
      <c r="AQ17" s="69">
        <v>554.94806133906047</v>
      </c>
    </row>
    <row r="18" spans="1:43" x14ac:dyDescent="0.25">
      <c r="A18" s="11">
        <v>42715</v>
      </c>
      <c r="B18" s="59"/>
      <c r="C18" s="60">
        <v>54.843428786596483</v>
      </c>
      <c r="D18" s="60">
        <v>649.16439164479516</v>
      </c>
      <c r="E18" s="60">
        <v>14.810510743657767</v>
      </c>
      <c r="F18" s="60">
        <v>0</v>
      </c>
      <c r="G18" s="60">
        <v>1570.145853487649</v>
      </c>
      <c r="H18" s="61">
        <v>22.450452024737974</v>
      </c>
      <c r="I18" s="59">
        <v>154.20482220649723</v>
      </c>
      <c r="J18" s="60">
        <v>336.92698473930443</v>
      </c>
      <c r="K18" s="60">
        <v>18.556995933254552</v>
      </c>
      <c r="L18" s="50">
        <v>0</v>
      </c>
      <c r="M18" s="372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185.94635145477588</v>
      </c>
      <c r="V18" s="62">
        <v>106.9267369368452</v>
      </c>
      <c r="W18" s="62">
        <v>27.562681646054553</v>
      </c>
      <c r="X18" s="62">
        <v>15.849666242891967</v>
      </c>
      <c r="Y18" s="66">
        <v>139.92531985421823</v>
      </c>
      <c r="Z18" s="66">
        <v>80.462766544224309</v>
      </c>
      <c r="AA18" s="67">
        <v>0</v>
      </c>
      <c r="AB18" s="68">
        <v>47.460583739810673</v>
      </c>
      <c r="AC18" s="69">
        <v>0</v>
      </c>
      <c r="AD18" s="69">
        <v>11.683847046560714</v>
      </c>
      <c r="AE18" s="68">
        <v>7.2855385975441305</v>
      </c>
      <c r="AF18" s="68">
        <v>4.1894818745733708</v>
      </c>
      <c r="AG18" s="68">
        <v>0.63490419169594037</v>
      </c>
      <c r="AH18" s="69">
        <v>302.88427832921343</v>
      </c>
      <c r="AI18" s="69">
        <v>1149.5325569788615</v>
      </c>
      <c r="AJ18" s="69">
        <v>3119.5164124806724</v>
      </c>
      <c r="AK18" s="69">
        <v>437.40505493481953</v>
      </c>
      <c r="AL18" s="69">
        <v>2793.5479760487869</v>
      </c>
      <c r="AM18" s="69">
        <v>2749.2810104370119</v>
      </c>
      <c r="AN18" s="69">
        <v>908.48126220703125</v>
      </c>
      <c r="AO18" s="69">
        <v>1722.384521484375</v>
      </c>
      <c r="AP18" s="69">
        <v>379.75819044113155</v>
      </c>
      <c r="AQ18" s="69">
        <v>549.02911036809292</v>
      </c>
    </row>
    <row r="19" spans="1:43" x14ac:dyDescent="0.25">
      <c r="A19" s="11">
        <v>42716</v>
      </c>
      <c r="B19" s="59"/>
      <c r="C19" s="60">
        <v>54.652152685324111</v>
      </c>
      <c r="D19" s="60">
        <v>649.7280054092397</v>
      </c>
      <c r="E19" s="60">
        <v>14.761614610751476</v>
      </c>
      <c r="F19" s="60">
        <v>0</v>
      </c>
      <c r="G19" s="60">
        <v>1521.2079703648885</v>
      </c>
      <c r="H19" s="61">
        <v>22.453020488222482</v>
      </c>
      <c r="I19" s="59">
        <v>154.49148990313222</v>
      </c>
      <c r="J19" s="60">
        <v>337.63301485379588</v>
      </c>
      <c r="K19" s="60">
        <v>18.538006479541473</v>
      </c>
      <c r="L19" s="50">
        <v>0</v>
      </c>
      <c r="M19" s="372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193.07955059343246</v>
      </c>
      <c r="V19" s="62">
        <v>115.83679970767257</v>
      </c>
      <c r="W19" s="62">
        <v>28.279547823675674</v>
      </c>
      <c r="X19" s="62">
        <v>16.966127728215735</v>
      </c>
      <c r="Y19" s="66">
        <v>144.06808392601454</v>
      </c>
      <c r="Z19" s="66">
        <v>86.43269435170086</v>
      </c>
      <c r="AA19" s="67">
        <v>0</v>
      </c>
      <c r="AB19" s="68">
        <v>47.710775751537788</v>
      </c>
      <c r="AC19" s="69">
        <v>0</v>
      </c>
      <c r="AD19" s="69">
        <v>12.212368148565279</v>
      </c>
      <c r="AE19" s="68">
        <v>7.5000470381700062</v>
      </c>
      <c r="AF19" s="68">
        <v>4.4996036291176926</v>
      </c>
      <c r="AG19" s="68">
        <v>0.62502211490338777</v>
      </c>
      <c r="AH19" s="69">
        <v>307.19177794456476</v>
      </c>
      <c r="AI19" s="69">
        <v>1162.547742652893</v>
      </c>
      <c r="AJ19" s="69">
        <v>3153.0337206522622</v>
      </c>
      <c r="AK19" s="69">
        <v>437.63717730840051</v>
      </c>
      <c r="AL19" s="69">
        <v>2795.8283365885418</v>
      </c>
      <c r="AM19" s="69">
        <v>2852.4673226674395</v>
      </c>
      <c r="AN19" s="69">
        <v>908.48126220703125</v>
      </c>
      <c r="AO19" s="69">
        <v>1722.384521484375</v>
      </c>
      <c r="AP19" s="69">
        <v>381.22269037564598</v>
      </c>
      <c r="AQ19" s="69">
        <v>574.6539801279705</v>
      </c>
    </row>
    <row r="20" spans="1:43" x14ac:dyDescent="0.25">
      <c r="A20" s="11">
        <v>42717</v>
      </c>
      <c r="B20" s="59"/>
      <c r="C20" s="60">
        <v>54.408531387645965</v>
      </c>
      <c r="D20" s="60">
        <v>665.32726504007906</v>
      </c>
      <c r="E20" s="60">
        <v>14.748478707671174</v>
      </c>
      <c r="F20" s="60">
        <v>0</v>
      </c>
      <c r="G20" s="60">
        <v>1544.6279834111519</v>
      </c>
      <c r="H20" s="61">
        <v>22.406076987584424</v>
      </c>
      <c r="I20" s="59">
        <v>162.31231417655943</v>
      </c>
      <c r="J20" s="60">
        <v>365.05391246477797</v>
      </c>
      <c r="K20" s="60">
        <v>20.065844991803175</v>
      </c>
      <c r="L20" s="50">
        <v>0</v>
      </c>
      <c r="M20" s="372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188.21677002157676</v>
      </c>
      <c r="V20" s="62">
        <v>115.29058903807423</v>
      </c>
      <c r="W20" s="62">
        <v>27.7198106189661</v>
      </c>
      <c r="X20" s="62">
        <v>16.979535319398494</v>
      </c>
      <c r="Y20" s="66">
        <v>140.19822076064466</v>
      </c>
      <c r="Z20" s="66">
        <v>85.877233212171987</v>
      </c>
      <c r="AA20" s="67">
        <v>0</v>
      </c>
      <c r="AB20" s="68">
        <v>50.247408980793644</v>
      </c>
      <c r="AC20" s="69">
        <v>0</v>
      </c>
      <c r="AD20" s="69">
        <v>12.116336835092957</v>
      </c>
      <c r="AE20" s="68">
        <v>7.1947826911870951</v>
      </c>
      <c r="AF20" s="68">
        <v>4.4071032266296477</v>
      </c>
      <c r="AG20" s="68">
        <v>0.62013906550643094</v>
      </c>
      <c r="AH20" s="69">
        <v>318.41067945162462</v>
      </c>
      <c r="AI20" s="69">
        <v>1179.3959941864014</v>
      </c>
      <c r="AJ20" s="69">
        <v>3188.1667569478354</v>
      </c>
      <c r="AK20" s="69">
        <v>452.94002825419113</v>
      </c>
      <c r="AL20" s="69">
        <v>2887.3093340555829</v>
      </c>
      <c r="AM20" s="69">
        <v>2809.8911720275878</v>
      </c>
      <c r="AN20" s="69">
        <v>919.36753273010254</v>
      </c>
      <c r="AO20" s="69">
        <v>1727.3161385854085</v>
      </c>
      <c r="AP20" s="69">
        <v>399.04240547815959</v>
      </c>
      <c r="AQ20" s="69">
        <v>606.30121103922522</v>
      </c>
    </row>
    <row r="21" spans="1:43" x14ac:dyDescent="0.25">
      <c r="A21" s="11">
        <v>42718</v>
      </c>
      <c r="B21" s="59"/>
      <c r="C21" s="60">
        <v>55.981197508175633</v>
      </c>
      <c r="D21" s="60">
        <v>661.25189781188863</v>
      </c>
      <c r="E21" s="60">
        <v>14.676260828971856</v>
      </c>
      <c r="F21" s="60">
        <v>0</v>
      </c>
      <c r="G21" s="60">
        <v>1618.2725118001265</v>
      </c>
      <c r="H21" s="61">
        <v>22.521169135967899</v>
      </c>
      <c r="I21" s="59">
        <v>154.57461833953869</v>
      </c>
      <c r="J21" s="60">
        <v>337.78047852516198</v>
      </c>
      <c r="K21" s="60">
        <v>18.489044395585857</v>
      </c>
      <c r="L21" s="50">
        <v>0</v>
      </c>
      <c r="M21" s="372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186.16599052173984</v>
      </c>
      <c r="V21" s="62">
        <v>111.69550227102434</v>
      </c>
      <c r="W21" s="62">
        <v>27.259333632324601</v>
      </c>
      <c r="X21" s="62">
        <v>16.355001002615285</v>
      </c>
      <c r="Y21" s="66">
        <v>139.61313641630122</v>
      </c>
      <c r="Z21" s="66">
        <v>83.764813067888312</v>
      </c>
      <c r="AA21" s="67">
        <v>0</v>
      </c>
      <c r="AB21" s="68">
        <v>47.703804124725828</v>
      </c>
      <c r="AC21" s="69">
        <v>0</v>
      </c>
      <c r="AD21" s="69">
        <v>12.206917328966986</v>
      </c>
      <c r="AE21" s="68">
        <v>7.5003836865260674</v>
      </c>
      <c r="AF21" s="68">
        <v>4.5000653489075164</v>
      </c>
      <c r="AG21" s="68">
        <v>0.6250085862937107</v>
      </c>
      <c r="AH21" s="69">
        <v>350.35853115717572</v>
      </c>
      <c r="AI21" s="69">
        <v>1236.3090604146321</v>
      </c>
      <c r="AJ21" s="69">
        <v>3214.8583334604896</v>
      </c>
      <c r="AK21" s="69">
        <v>485.63172767957059</v>
      </c>
      <c r="AL21" s="69">
        <v>3008.1863529205316</v>
      </c>
      <c r="AM21" s="69">
        <v>2832.3946914672852</v>
      </c>
      <c r="AN21" s="69">
        <v>939.646728515625</v>
      </c>
      <c r="AO21" s="69">
        <v>1736.5028686523437</v>
      </c>
      <c r="AP21" s="69">
        <v>381.90502713521317</v>
      </c>
      <c r="AQ21" s="69">
        <v>589.7750079790751</v>
      </c>
    </row>
    <row r="22" spans="1:43" x14ac:dyDescent="0.25">
      <c r="A22" s="11">
        <v>42719</v>
      </c>
      <c r="B22" s="59"/>
      <c r="C22" s="60">
        <v>56.005115413664697</v>
      </c>
      <c r="D22" s="60">
        <v>644.00014518102046</v>
      </c>
      <c r="E22" s="60">
        <v>14.730322122573844</v>
      </c>
      <c r="F22" s="60">
        <v>0</v>
      </c>
      <c r="G22" s="60">
        <v>1502.6168336868259</v>
      </c>
      <c r="H22" s="61">
        <v>22.439875006675702</v>
      </c>
      <c r="I22" s="59">
        <v>154.37497220834098</v>
      </c>
      <c r="J22" s="60">
        <v>337.41804711024042</v>
      </c>
      <c r="K22" s="60">
        <v>18.466002700229495</v>
      </c>
      <c r="L22" s="50">
        <v>0</v>
      </c>
      <c r="M22" s="372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185.53267670308418</v>
      </c>
      <c r="V22" s="62">
        <v>111.32144795952441</v>
      </c>
      <c r="W22" s="62">
        <v>26.357143197833903</v>
      </c>
      <c r="X22" s="62">
        <v>15.814547588050967</v>
      </c>
      <c r="Y22" s="66">
        <v>139.19699814233579</v>
      </c>
      <c r="Z22" s="66">
        <v>83.519580810135864</v>
      </c>
      <c r="AA22" s="67">
        <v>0</v>
      </c>
      <c r="AB22" s="68">
        <v>47.577012981309586</v>
      </c>
      <c r="AC22" s="69">
        <v>0</v>
      </c>
      <c r="AD22" s="69">
        <v>12.203433306349625</v>
      </c>
      <c r="AE22" s="68">
        <v>7.5003850079194683</v>
      </c>
      <c r="AF22" s="68">
        <v>4.5003054673313212</v>
      </c>
      <c r="AG22" s="68">
        <v>0.6249961219637844</v>
      </c>
      <c r="AH22" s="69">
        <v>318.4527232329051</v>
      </c>
      <c r="AI22" s="69">
        <v>1163.9601736068723</v>
      </c>
      <c r="AJ22" s="69">
        <v>3113.418285369873</v>
      </c>
      <c r="AK22" s="69">
        <v>465.38393047650646</v>
      </c>
      <c r="AL22" s="69">
        <v>2822.4945676167804</v>
      </c>
      <c r="AM22" s="69">
        <v>2802.4137621561686</v>
      </c>
      <c r="AN22" s="69">
        <v>939.646728515625</v>
      </c>
      <c r="AO22" s="69">
        <v>1736.5028686523437</v>
      </c>
      <c r="AP22" s="69">
        <v>382.18307930628453</v>
      </c>
      <c r="AQ22" s="69">
        <v>594.42762209574391</v>
      </c>
    </row>
    <row r="23" spans="1:43" x14ac:dyDescent="0.25">
      <c r="A23" s="11">
        <v>42720</v>
      </c>
      <c r="B23" s="59"/>
      <c r="C23" s="60">
        <v>55.909774454434952</v>
      </c>
      <c r="D23" s="60">
        <v>644.02741756439116</v>
      </c>
      <c r="E23" s="60">
        <v>14.906886928280203</v>
      </c>
      <c r="F23" s="60">
        <v>0</v>
      </c>
      <c r="G23" s="60">
        <v>1509.9644243876096</v>
      </c>
      <c r="H23" s="61">
        <v>22.430600374937054</v>
      </c>
      <c r="I23" s="59">
        <v>154.47136981487273</v>
      </c>
      <c r="J23" s="60">
        <v>337.75351031621352</v>
      </c>
      <c r="K23" s="60">
        <v>18.402420078714684</v>
      </c>
      <c r="L23" s="50">
        <v>0</v>
      </c>
      <c r="M23" s="372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186.01981401635462</v>
      </c>
      <c r="V23" s="62">
        <v>111.60014672617112</v>
      </c>
      <c r="W23" s="62">
        <v>25.93163597930128</v>
      </c>
      <c r="X23" s="62">
        <v>15.557344766967926</v>
      </c>
      <c r="Y23" s="66">
        <v>139.49044619193396</v>
      </c>
      <c r="Z23" s="66">
        <v>83.685462993475866</v>
      </c>
      <c r="AA23" s="67">
        <v>0</v>
      </c>
      <c r="AB23" s="68">
        <v>47.293520969815397</v>
      </c>
      <c r="AC23" s="69">
        <v>0</v>
      </c>
      <c r="AD23" s="69">
        <v>12.211753429969141</v>
      </c>
      <c r="AE23" s="68">
        <v>7.5002253931660654</v>
      </c>
      <c r="AF23" s="68">
        <v>4.4996618171174889</v>
      </c>
      <c r="AG23" s="68">
        <v>0.62502465745999602</v>
      </c>
      <c r="AH23" s="69">
        <v>278.16534490585326</v>
      </c>
      <c r="AI23" s="69">
        <v>1056.8092941919961</v>
      </c>
      <c r="AJ23" s="69">
        <v>3088.7950346628827</v>
      </c>
      <c r="AK23" s="69">
        <v>470.29207774798084</v>
      </c>
      <c r="AL23" s="69">
        <v>2808.921069971721</v>
      </c>
      <c r="AM23" s="69">
        <v>2712.4833246866856</v>
      </c>
      <c r="AN23" s="69">
        <v>717.79216537475588</v>
      </c>
      <c r="AO23" s="69">
        <v>1736.5028686523437</v>
      </c>
      <c r="AP23" s="69">
        <v>373.19148534138992</v>
      </c>
      <c r="AQ23" s="69">
        <v>553.55406373341873</v>
      </c>
    </row>
    <row r="24" spans="1:43" x14ac:dyDescent="0.25">
      <c r="A24" s="11">
        <v>42721</v>
      </c>
      <c r="B24" s="59"/>
      <c r="C24" s="60">
        <v>55.287327126662611</v>
      </c>
      <c r="D24" s="60">
        <v>658.12847592035791</v>
      </c>
      <c r="E24" s="60">
        <v>14.560709822177897</v>
      </c>
      <c r="F24" s="60">
        <v>0</v>
      </c>
      <c r="G24" s="60">
        <v>1482.1860279719028</v>
      </c>
      <c r="H24" s="61">
        <v>22.47955955564975</v>
      </c>
      <c r="I24" s="59">
        <v>154.31881228288023</v>
      </c>
      <c r="J24" s="60">
        <v>337.26141943931646</v>
      </c>
      <c r="K24" s="60">
        <v>18.635425962507725</v>
      </c>
      <c r="L24" s="50">
        <v>0</v>
      </c>
      <c r="M24" s="372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185.36300082935711</v>
      </c>
      <c r="V24" s="62">
        <v>111.20592591828112</v>
      </c>
      <c r="W24" s="62">
        <v>25.514398878374738</v>
      </c>
      <c r="X24" s="62">
        <v>15.307004843593614</v>
      </c>
      <c r="Y24" s="66">
        <v>139.38015743545776</v>
      </c>
      <c r="Z24" s="66">
        <v>83.619165598828928</v>
      </c>
      <c r="AA24" s="67">
        <v>0</v>
      </c>
      <c r="AB24" s="68">
        <v>47.42529183758726</v>
      </c>
      <c r="AC24" s="69">
        <v>0</v>
      </c>
      <c r="AD24" s="69">
        <v>12.204420061906184</v>
      </c>
      <c r="AE24" s="68">
        <v>7.5005972486014922</v>
      </c>
      <c r="AF24" s="68">
        <v>4.499877851776434</v>
      </c>
      <c r="AG24" s="68">
        <v>0.62502502491466183</v>
      </c>
      <c r="AH24" s="69">
        <v>372.27449242273968</v>
      </c>
      <c r="AI24" s="69">
        <v>1277.0478518168131</v>
      </c>
      <c r="AJ24" s="69">
        <v>3248.8323427836108</v>
      </c>
      <c r="AK24" s="69">
        <v>528.24640111923213</v>
      </c>
      <c r="AL24" s="69">
        <v>3097.695627085368</v>
      </c>
      <c r="AM24" s="69">
        <v>2989.8375476837159</v>
      </c>
      <c r="AN24" s="69">
        <v>567.30340576171875</v>
      </c>
      <c r="AO24" s="69">
        <v>1736.5028686523437</v>
      </c>
      <c r="AP24" s="69">
        <v>375.00061877568561</v>
      </c>
      <c r="AQ24" s="69">
        <v>565.37101577122985</v>
      </c>
    </row>
    <row r="25" spans="1:43" x14ac:dyDescent="0.25">
      <c r="A25" s="11">
        <v>42722</v>
      </c>
      <c r="B25" s="59"/>
      <c r="C25" s="60">
        <v>55.120203614234619</v>
      </c>
      <c r="D25" s="60">
        <v>661.70404987335178</v>
      </c>
      <c r="E25" s="60">
        <v>15.055044911305075</v>
      </c>
      <c r="F25" s="60">
        <v>0</v>
      </c>
      <c r="G25" s="60">
        <v>1646.4530883153241</v>
      </c>
      <c r="H25" s="61">
        <v>22.466735516985278</v>
      </c>
      <c r="I25" s="59">
        <v>158.7084513346357</v>
      </c>
      <c r="J25" s="60">
        <v>346.89406596819595</v>
      </c>
      <c r="K25" s="60">
        <v>19.151750427981241</v>
      </c>
      <c r="L25" s="50">
        <v>0</v>
      </c>
      <c r="M25" s="372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183.7505144216114</v>
      </c>
      <c r="V25" s="62">
        <v>110.13998500067397</v>
      </c>
      <c r="W25" s="62">
        <v>24.589547396511687</v>
      </c>
      <c r="X25" s="62">
        <v>14.738964894601837</v>
      </c>
      <c r="Y25" s="66">
        <v>134.75530008228372</v>
      </c>
      <c r="Z25" s="66">
        <v>80.772273082020007</v>
      </c>
      <c r="AA25" s="67">
        <v>0</v>
      </c>
      <c r="AB25" s="68">
        <v>48.199995758798217</v>
      </c>
      <c r="AC25" s="69">
        <v>0</v>
      </c>
      <c r="AD25" s="69">
        <v>11.957231698764708</v>
      </c>
      <c r="AE25" s="68">
        <v>7.3292706027495766</v>
      </c>
      <c r="AF25" s="68">
        <v>4.393161873824809</v>
      </c>
      <c r="AG25" s="68">
        <v>0.6252346189578043</v>
      </c>
      <c r="AH25" s="69">
        <v>351.34879266421012</v>
      </c>
      <c r="AI25" s="69">
        <v>1318.1394667307538</v>
      </c>
      <c r="AJ25" s="69">
        <v>3181.7322751363126</v>
      </c>
      <c r="AK25" s="69">
        <v>508.05386667251588</v>
      </c>
      <c r="AL25" s="69">
        <v>3247.1324966430666</v>
      </c>
      <c r="AM25" s="69">
        <v>2840.8352626800533</v>
      </c>
      <c r="AN25" s="69">
        <v>567.30340576171875</v>
      </c>
      <c r="AO25" s="69">
        <v>1736.5028686523437</v>
      </c>
      <c r="AP25" s="69">
        <v>378.28247585296634</v>
      </c>
      <c r="AQ25" s="69">
        <v>537.85523112614953</v>
      </c>
    </row>
    <row r="26" spans="1:43" x14ac:dyDescent="0.25">
      <c r="A26" s="11">
        <v>42723</v>
      </c>
      <c r="B26" s="59"/>
      <c r="C26" s="60">
        <v>55.010034894943153</v>
      </c>
      <c r="D26" s="60">
        <v>640.80002177556469</v>
      </c>
      <c r="E26" s="60">
        <v>14.533127178748424</v>
      </c>
      <c r="F26" s="60">
        <v>0</v>
      </c>
      <c r="G26" s="60">
        <v>1532.3782864888458</v>
      </c>
      <c r="H26" s="61">
        <v>22.450897395610816</v>
      </c>
      <c r="I26" s="59">
        <v>154.34496711095181</v>
      </c>
      <c r="J26" s="60">
        <v>337.2282492160806</v>
      </c>
      <c r="K26" s="60">
        <v>18.562293142080311</v>
      </c>
      <c r="L26" s="50">
        <v>0</v>
      </c>
      <c r="M26" s="372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194.42569280658162</v>
      </c>
      <c r="V26" s="62">
        <v>116.65566740637483</v>
      </c>
      <c r="W26" s="62">
        <v>25.665556062301942</v>
      </c>
      <c r="X26" s="62">
        <v>15.399366866508137</v>
      </c>
      <c r="Y26" s="62">
        <v>139.65264490296559</v>
      </c>
      <c r="Z26" s="62">
        <v>83.791767749686187</v>
      </c>
      <c r="AA26" s="72">
        <v>0</v>
      </c>
      <c r="AB26" s="69">
        <v>47.517320119010613</v>
      </c>
      <c r="AC26" s="69">
        <v>0</v>
      </c>
      <c r="AD26" s="69">
        <v>12.164960296286491</v>
      </c>
      <c r="AE26" s="69">
        <v>7.5003323848055201</v>
      </c>
      <c r="AF26" s="69">
        <v>4.5002091415436443</v>
      </c>
      <c r="AG26" s="69">
        <v>0.62499949425926371</v>
      </c>
      <c r="AH26" s="69">
        <v>298.19207477569586</v>
      </c>
      <c r="AI26" s="69">
        <v>1185.8375840504962</v>
      </c>
      <c r="AJ26" s="69">
        <v>3096.2368825276694</v>
      </c>
      <c r="AK26" s="69">
        <v>487.04210654894501</v>
      </c>
      <c r="AL26" s="69">
        <v>2963.95921198527</v>
      </c>
      <c r="AM26" s="69">
        <v>2739.6637592315678</v>
      </c>
      <c r="AN26" s="69">
        <v>567.30340576171875</v>
      </c>
      <c r="AO26" s="69">
        <v>1736.5028686523437</v>
      </c>
      <c r="AP26" s="69">
        <v>395.3721861839295</v>
      </c>
      <c r="AQ26" s="69">
        <v>595.35898017883289</v>
      </c>
    </row>
    <row r="27" spans="1:43" x14ac:dyDescent="0.25">
      <c r="A27" s="11">
        <v>42724</v>
      </c>
      <c r="B27" s="59"/>
      <c r="C27" s="60">
        <v>54.863867457708515</v>
      </c>
      <c r="D27" s="60">
        <v>640.97530517578093</v>
      </c>
      <c r="E27" s="60">
        <v>14.640450641512878</v>
      </c>
      <c r="F27" s="60">
        <v>0</v>
      </c>
      <c r="G27" s="60">
        <v>1475.6254735310865</v>
      </c>
      <c r="H27" s="61">
        <v>22.517709707220408</v>
      </c>
      <c r="I27" s="59">
        <v>206.0549962917961</v>
      </c>
      <c r="J27" s="60">
        <v>496.73012690544095</v>
      </c>
      <c r="K27" s="60">
        <v>27.297436184187738</v>
      </c>
      <c r="L27" s="50">
        <v>0</v>
      </c>
      <c r="M27" s="372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176.83460611624994</v>
      </c>
      <c r="V27" s="62">
        <v>101.10438307798479</v>
      </c>
      <c r="W27" s="62">
        <v>23.757817884664643</v>
      </c>
      <c r="X27" s="62">
        <v>13.583424496272297</v>
      </c>
      <c r="Y27" s="66">
        <v>128.98946699034087</v>
      </c>
      <c r="Z27" s="66">
        <v>73.749142037521565</v>
      </c>
      <c r="AA27" s="67">
        <v>0</v>
      </c>
      <c r="AB27" s="68">
        <v>63.261687257554314</v>
      </c>
      <c r="AC27" s="69">
        <v>0</v>
      </c>
      <c r="AD27" s="69">
        <v>10.944742803772311</v>
      </c>
      <c r="AE27" s="68">
        <v>6.8407388670614981</v>
      </c>
      <c r="AF27" s="68">
        <v>3.9111613848771949</v>
      </c>
      <c r="AG27" s="68">
        <v>0.63623533577964819</v>
      </c>
      <c r="AH27" s="69">
        <v>254.09075323740637</v>
      </c>
      <c r="AI27" s="69">
        <v>1075.0680388132728</v>
      </c>
      <c r="AJ27" s="69">
        <v>3094.8684257507321</v>
      </c>
      <c r="AK27" s="69">
        <v>480.43892175356552</v>
      </c>
      <c r="AL27" s="69">
        <v>3058.5589934031163</v>
      </c>
      <c r="AM27" s="69">
        <v>2727.4206041971843</v>
      </c>
      <c r="AN27" s="69">
        <v>567.30340576171875</v>
      </c>
      <c r="AO27" s="69">
        <v>1736.5028686523437</v>
      </c>
      <c r="AP27" s="69">
        <v>402.63134398460397</v>
      </c>
      <c r="AQ27" s="69">
        <v>570.7696079254149</v>
      </c>
    </row>
    <row r="28" spans="1:43" x14ac:dyDescent="0.25">
      <c r="A28" s="11">
        <v>42725</v>
      </c>
      <c r="B28" s="59"/>
      <c r="C28" s="60">
        <v>54.492783081530533</v>
      </c>
      <c r="D28" s="60">
        <v>644.72885748545343</v>
      </c>
      <c r="E28" s="60">
        <v>14.672137268384308</v>
      </c>
      <c r="F28" s="60">
        <v>0</v>
      </c>
      <c r="G28" s="60">
        <v>1495.8384405771858</v>
      </c>
      <c r="H28" s="61">
        <v>22.5968813151121</v>
      </c>
      <c r="I28" s="59">
        <v>216.57987418174741</v>
      </c>
      <c r="J28" s="60">
        <v>544.77281576792495</v>
      </c>
      <c r="K28" s="60">
        <v>29.956277858217597</v>
      </c>
      <c r="L28" s="50">
        <v>0</v>
      </c>
      <c r="M28" s="372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187.3439895415361</v>
      </c>
      <c r="V28" s="62">
        <v>112.39409969143904</v>
      </c>
      <c r="W28" s="62">
        <v>24.991491134751943</v>
      </c>
      <c r="X28" s="62">
        <v>14.993254669716871</v>
      </c>
      <c r="Y28" s="66">
        <v>135.33154974056748</v>
      </c>
      <c r="Z28" s="66">
        <v>81.190049011772345</v>
      </c>
      <c r="AA28" s="67">
        <v>0</v>
      </c>
      <c r="AB28" s="68">
        <v>68.050629207822638</v>
      </c>
      <c r="AC28" s="69">
        <v>0</v>
      </c>
      <c r="AD28" s="69">
        <v>11.676912524965088</v>
      </c>
      <c r="AE28" s="68">
        <v>7.2178040787420139</v>
      </c>
      <c r="AF28" s="68">
        <v>4.3302087948732666</v>
      </c>
      <c r="AG28" s="68">
        <v>0.62502563494998686</v>
      </c>
      <c r="AH28" s="69">
        <v>265.73687092463177</v>
      </c>
      <c r="AI28" s="69">
        <v>1083.0694757461549</v>
      </c>
      <c r="AJ28" s="69">
        <v>3122.0115636189785</v>
      </c>
      <c r="AK28" s="69">
        <v>491.68802108764646</v>
      </c>
      <c r="AL28" s="69">
        <v>2923.4026095072431</v>
      </c>
      <c r="AM28" s="69">
        <v>2719.4427486419677</v>
      </c>
      <c r="AN28" s="69">
        <v>567.30340576171875</v>
      </c>
      <c r="AO28" s="69">
        <v>1736.5028686523437</v>
      </c>
      <c r="AP28" s="69">
        <v>430.32564150492345</v>
      </c>
      <c r="AQ28" s="69">
        <v>587.68911650975542</v>
      </c>
    </row>
    <row r="29" spans="1:43" x14ac:dyDescent="0.25">
      <c r="A29" s="11">
        <v>42726</v>
      </c>
      <c r="B29" s="59"/>
      <c r="C29" s="60">
        <v>55.873783663908426</v>
      </c>
      <c r="D29" s="60">
        <v>682.3460522969574</v>
      </c>
      <c r="E29" s="60">
        <v>15.169395558039311</v>
      </c>
      <c r="F29" s="60">
        <v>0</v>
      </c>
      <c r="G29" s="60">
        <v>1621.4609123865719</v>
      </c>
      <c r="H29" s="61">
        <v>22.962938048442183</v>
      </c>
      <c r="I29" s="59">
        <v>152.82696253458658</v>
      </c>
      <c r="J29" s="60">
        <v>333.9831776777911</v>
      </c>
      <c r="K29" s="60">
        <v>18.421495929360379</v>
      </c>
      <c r="L29" s="50">
        <v>0</v>
      </c>
      <c r="M29" s="372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194.74932760311219</v>
      </c>
      <c r="V29" s="62">
        <v>116.81160818027389</v>
      </c>
      <c r="W29" s="62">
        <v>25.753822430009777</v>
      </c>
      <c r="X29" s="62">
        <v>15.447269841000347</v>
      </c>
      <c r="Y29" s="66">
        <v>137.34636990183648</v>
      </c>
      <c r="Z29" s="66">
        <v>82.381030750731583</v>
      </c>
      <c r="AA29" s="67">
        <v>0</v>
      </c>
      <c r="AB29" s="68">
        <v>47.656529445119368</v>
      </c>
      <c r="AC29" s="69">
        <v>0</v>
      </c>
      <c r="AD29" s="69">
        <v>12.126295102967161</v>
      </c>
      <c r="AE29" s="68">
        <v>7.5011597279083162</v>
      </c>
      <c r="AF29" s="68">
        <v>4.4992326382752239</v>
      </c>
      <c r="AG29" s="68">
        <v>0.62507620576192002</v>
      </c>
      <c r="AH29" s="69">
        <v>288.98460383415221</v>
      </c>
      <c r="AI29" s="69">
        <v>1131.8826499303184</v>
      </c>
      <c r="AJ29" s="69">
        <v>3162.5809679667163</v>
      </c>
      <c r="AK29" s="69">
        <v>485.99355521202096</v>
      </c>
      <c r="AL29" s="69">
        <v>3009.6299531300865</v>
      </c>
      <c r="AM29" s="69">
        <v>2768.6055824279783</v>
      </c>
      <c r="AN29" s="69">
        <v>567.30340576171875</v>
      </c>
      <c r="AO29" s="69">
        <v>1736.5028686523437</v>
      </c>
      <c r="AP29" s="69">
        <v>436.06093610127766</v>
      </c>
      <c r="AQ29" s="69">
        <v>608.04530016581225</v>
      </c>
    </row>
    <row r="30" spans="1:43" x14ac:dyDescent="0.25">
      <c r="A30" s="11">
        <v>42727</v>
      </c>
      <c r="B30" s="59"/>
      <c r="C30" s="60">
        <v>54.69</v>
      </c>
      <c r="D30" s="60">
        <v>669.44</v>
      </c>
      <c r="E30" s="60">
        <v>15.27</v>
      </c>
      <c r="F30" s="60">
        <v>0</v>
      </c>
      <c r="G30" s="60">
        <v>1638.2</v>
      </c>
      <c r="H30" s="61">
        <v>22.74</v>
      </c>
      <c r="I30" s="59">
        <v>152.74</v>
      </c>
      <c r="J30" s="60">
        <v>333.75</v>
      </c>
      <c r="K30" s="60">
        <v>18.32</v>
      </c>
      <c r="L30" s="50">
        <v>0</v>
      </c>
      <c r="M30" s="372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195.13</v>
      </c>
      <c r="V30" s="62">
        <v>117.07</v>
      </c>
      <c r="W30" s="62">
        <v>25.87</v>
      </c>
      <c r="X30" s="62">
        <v>15.52</v>
      </c>
      <c r="Y30" s="66">
        <v>136.82</v>
      </c>
      <c r="Z30" s="66">
        <v>82.09</v>
      </c>
      <c r="AA30" s="67">
        <v>0</v>
      </c>
      <c r="AB30" s="68">
        <v>47.5</v>
      </c>
      <c r="AC30" s="69">
        <v>0</v>
      </c>
      <c r="AD30" s="69">
        <v>12.13</v>
      </c>
      <c r="AE30" s="68">
        <v>7.5</v>
      </c>
      <c r="AF30" s="68">
        <v>4.5</v>
      </c>
      <c r="AG30" s="68">
        <v>0.63</v>
      </c>
      <c r="AH30" s="69">
        <v>265.02</v>
      </c>
      <c r="AI30" s="69">
        <v>1083.0899999999999</v>
      </c>
      <c r="AJ30" s="69">
        <v>3122.97</v>
      </c>
      <c r="AK30" s="69">
        <v>469.74</v>
      </c>
      <c r="AL30" s="69">
        <v>2938.33</v>
      </c>
      <c r="AM30" s="69">
        <v>2685.99</v>
      </c>
      <c r="AN30" s="69">
        <v>567.29999999999995</v>
      </c>
      <c r="AO30" s="69">
        <v>1736.5</v>
      </c>
      <c r="AP30" s="69">
        <v>431.24</v>
      </c>
      <c r="AQ30" s="69">
        <v>544.1</v>
      </c>
    </row>
    <row r="31" spans="1:43" x14ac:dyDescent="0.25">
      <c r="A31" s="11">
        <v>42728</v>
      </c>
      <c r="B31" s="59"/>
      <c r="C31" s="60">
        <v>53.991782311598847</v>
      </c>
      <c r="D31" s="60">
        <v>657.88622617721387</v>
      </c>
      <c r="E31" s="60">
        <v>14.848086720705028</v>
      </c>
      <c r="F31" s="60">
        <v>0</v>
      </c>
      <c r="G31" s="60">
        <v>1662.5149571100812</v>
      </c>
      <c r="H31" s="61">
        <v>22.651796961824111</v>
      </c>
      <c r="I31" s="59">
        <v>152.86488777001654</v>
      </c>
      <c r="J31" s="60">
        <v>333.63568210601892</v>
      </c>
      <c r="K31" s="60">
        <v>18.240652489165463</v>
      </c>
      <c r="L31" s="50">
        <v>0</v>
      </c>
      <c r="M31" s="372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195.39268973846572</v>
      </c>
      <c r="V31" s="62">
        <v>117.2562067120022</v>
      </c>
      <c r="W31" s="62">
        <v>25.735362926125767</v>
      </c>
      <c r="X31" s="62">
        <v>15.44393006265136</v>
      </c>
      <c r="Y31" s="66">
        <v>136.74827524051878</v>
      </c>
      <c r="Z31" s="66">
        <v>82.063377348325716</v>
      </c>
      <c r="AA31" s="67">
        <v>0</v>
      </c>
      <c r="AB31" s="68">
        <v>47.430674690670784</v>
      </c>
      <c r="AC31" s="69">
        <v>0</v>
      </c>
      <c r="AD31" s="69">
        <v>12.122856063312952</v>
      </c>
      <c r="AE31" s="68">
        <v>7.4996874345564688</v>
      </c>
      <c r="AF31" s="68">
        <v>4.5006028694257747</v>
      </c>
      <c r="AG31" s="68">
        <v>0.6249588338765214</v>
      </c>
      <c r="AH31" s="69">
        <v>247.37469880580909</v>
      </c>
      <c r="AI31" s="69">
        <v>1052.834673309326</v>
      </c>
      <c r="AJ31" s="69">
        <v>3090.0826653798422</v>
      </c>
      <c r="AK31" s="69">
        <v>467.85066145261123</v>
      </c>
      <c r="AL31" s="69">
        <v>2850.2230847676601</v>
      </c>
      <c r="AM31" s="69">
        <v>2618.0552393595376</v>
      </c>
      <c r="AN31" s="69">
        <v>567.30340576171875</v>
      </c>
      <c r="AO31" s="69">
        <v>1736.5028686523437</v>
      </c>
      <c r="AP31" s="69">
        <v>392.43690342903142</v>
      </c>
      <c r="AQ31" s="69">
        <v>501.77430760065704</v>
      </c>
    </row>
    <row r="32" spans="1:43" x14ac:dyDescent="0.25">
      <c r="A32" s="11">
        <v>42729</v>
      </c>
      <c r="B32" s="59"/>
      <c r="C32" s="60">
        <v>54.872545095285105</v>
      </c>
      <c r="D32" s="60">
        <v>651.82516330083195</v>
      </c>
      <c r="E32" s="60">
        <v>14.918660139044128</v>
      </c>
      <c r="F32" s="60">
        <v>0</v>
      </c>
      <c r="G32" s="60">
        <v>1719.3428735097198</v>
      </c>
      <c r="H32" s="61">
        <v>22.606673116485272</v>
      </c>
      <c r="I32" s="59">
        <v>152.72140383720401</v>
      </c>
      <c r="J32" s="60">
        <v>333.74068347613098</v>
      </c>
      <c r="K32" s="60">
        <v>18.242341488599749</v>
      </c>
      <c r="L32" s="50">
        <v>0</v>
      </c>
      <c r="M32" s="372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194.6737680721763</v>
      </c>
      <c r="V32" s="62">
        <v>116.82824504953633</v>
      </c>
      <c r="W32" s="62">
        <v>25.698320345254558</v>
      </c>
      <c r="X32" s="62">
        <v>15.422158292758633</v>
      </c>
      <c r="Y32" s="66">
        <v>136.84407438714931</v>
      </c>
      <c r="Z32" s="66">
        <v>82.123304102027248</v>
      </c>
      <c r="AA32" s="67">
        <v>0</v>
      </c>
      <c r="AB32" s="68">
        <v>47.430132195684941</v>
      </c>
      <c r="AC32" s="69">
        <v>0</v>
      </c>
      <c r="AD32" s="69">
        <v>12.123667789167838</v>
      </c>
      <c r="AE32" s="68">
        <v>7.4983856650283203</v>
      </c>
      <c r="AF32" s="68">
        <v>4.4999552154611235</v>
      </c>
      <c r="AG32" s="68">
        <v>0.62495187790684281</v>
      </c>
      <c r="AH32" s="69">
        <v>283.79348502159121</v>
      </c>
      <c r="AI32" s="69">
        <v>1115.4727926254272</v>
      </c>
      <c r="AJ32" s="69">
        <v>3150.6385897318523</v>
      </c>
      <c r="AK32" s="69">
        <v>476.67054689725234</v>
      </c>
      <c r="AL32" s="69">
        <v>2970.5874563852944</v>
      </c>
      <c r="AM32" s="69">
        <v>2612.5138278961181</v>
      </c>
      <c r="AN32" s="69">
        <v>567.30340576171875</v>
      </c>
      <c r="AO32" s="69">
        <v>1736.5028686523437</v>
      </c>
      <c r="AP32" s="69">
        <v>383.78984163602183</v>
      </c>
      <c r="AQ32" s="69">
        <v>504.91301628748579</v>
      </c>
    </row>
    <row r="33" spans="1:43" x14ac:dyDescent="0.25">
      <c r="A33" s="11">
        <v>42730</v>
      </c>
      <c r="B33" s="59"/>
      <c r="C33" s="60">
        <v>55.458730264504446</v>
      </c>
      <c r="D33" s="60">
        <v>650.12532056172677</v>
      </c>
      <c r="E33" s="60">
        <v>14.964518860975913</v>
      </c>
      <c r="F33" s="60">
        <v>0</v>
      </c>
      <c r="G33" s="60">
        <v>1706.0150558471596</v>
      </c>
      <c r="H33" s="61">
        <v>22.546619946757929</v>
      </c>
      <c r="I33" s="59">
        <v>152.70830907821656</v>
      </c>
      <c r="J33" s="60">
        <v>333.74688994089814</v>
      </c>
      <c r="K33" s="60">
        <v>18.144657976925394</v>
      </c>
      <c r="L33" s="50">
        <v>0</v>
      </c>
      <c r="M33" s="372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189.47314310116792</v>
      </c>
      <c r="V33" s="62">
        <v>108.17265861256432</v>
      </c>
      <c r="W33" s="62">
        <v>24.75306015283341</v>
      </c>
      <c r="X33" s="62">
        <v>14.131840965445054</v>
      </c>
      <c r="Y33" s="66">
        <v>133.55002858237486</v>
      </c>
      <c r="Z33" s="66">
        <v>76.245432007352363</v>
      </c>
      <c r="AA33" s="67">
        <v>0</v>
      </c>
      <c r="AB33" s="68">
        <v>47.429036206669778</v>
      </c>
      <c r="AC33" s="69">
        <v>0</v>
      </c>
      <c r="AD33" s="69">
        <v>11.577801786528683</v>
      </c>
      <c r="AE33" s="68">
        <v>7.2884141468496964</v>
      </c>
      <c r="AF33" s="68">
        <v>4.1610495420619662</v>
      </c>
      <c r="AG33" s="68">
        <v>0.63657253692225135</v>
      </c>
      <c r="AH33" s="69">
        <v>292.45414578914642</v>
      </c>
      <c r="AI33" s="69">
        <v>1133.6467518488566</v>
      </c>
      <c r="AJ33" s="69">
        <v>3180.2207111358648</v>
      </c>
      <c r="AK33" s="69">
        <v>469.56189597447718</v>
      </c>
      <c r="AL33" s="69">
        <v>3233.6685868581139</v>
      </c>
      <c r="AM33" s="69">
        <v>2674.422092819214</v>
      </c>
      <c r="AN33" s="69">
        <v>567.30340576171875</v>
      </c>
      <c r="AO33" s="69">
        <v>1736.5028686523437</v>
      </c>
      <c r="AP33" s="69">
        <v>398.45889352162681</v>
      </c>
      <c r="AQ33" s="69">
        <v>526.74667167663574</v>
      </c>
    </row>
    <row r="34" spans="1:43" x14ac:dyDescent="0.25">
      <c r="A34" s="11">
        <v>42731</v>
      </c>
      <c r="B34" s="59"/>
      <c r="C34" s="60">
        <v>55.168542679151201</v>
      </c>
      <c r="D34" s="60">
        <v>645.3916595776883</v>
      </c>
      <c r="E34" s="60">
        <v>15.3837466071049</v>
      </c>
      <c r="F34" s="60">
        <v>0</v>
      </c>
      <c r="G34" s="60">
        <v>1672.9814167658431</v>
      </c>
      <c r="H34" s="61">
        <v>22.625008126099882</v>
      </c>
      <c r="I34" s="59">
        <v>152.64260053634632</v>
      </c>
      <c r="J34" s="60">
        <v>333.75027174949719</v>
      </c>
      <c r="K34" s="60">
        <v>18.38739792505902</v>
      </c>
      <c r="L34" s="50">
        <v>0</v>
      </c>
      <c r="M34" s="372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195.40290734276897</v>
      </c>
      <c r="V34" s="62">
        <v>117.20766263234441</v>
      </c>
      <c r="W34" s="62">
        <v>25.884124664796609</v>
      </c>
      <c r="X34" s="62">
        <v>15.525960143076112</v>
      </c>
      <c r="Y34" s="66">
        <v>139.19115202736643</v>
      </c>
      <c r="Z34" s="66">
        <v>83.49041378188403</v>
      </c>
      <c r="AA34" s="67">
        <v>0</v>
      </c>
      <c r="AB34" s="68">
        <v>47.429459738731694</v>
      </c>
      <c r="AC34" s="69">
        <v>0</v>
      </c>
      <c r="AD34" s="69">
        <v>12.117370909452431</v>
      </c>
      <c r="AE34" s="68">
        <v>7.5010881668642257</v>
      </c>
      <c r="AF34" s="68">
        <v>4.4993445757439883</v>
      </c>
      <c r="AG34" s="68">
        <v>0.62506813943727113</v>
      </c>
      <c r="AH34" s="69">
        <v>271.24944302241005</v>
      </c>
      <c r="AI34" s="69">
        <v>1106.1484343846639</v>
      </c>
      <c r="AJ34" s="69">
        <v>3138.165771738687</v>
      </c>
      <c r="AK34" s="69">
        <v>466.13627308209738</v>
      </c>
      <c r="AL34" s="69">
        <v>2776.7101652781166</v>
      </c>
      <c r="AM34" s="69">
        <v>2786.0408711751297</v>
      </c>
      <c r="AN34" s="69">
        <v>567.30340576171875</v>
      </c>
      <c r="AO34" s="69">
        <v>1736.5028686523437</v>
      </c>
      <c r="AP34" s="69">
        <v>394.0671009063721</v>
      </c>
      <c r="AQ34" s="69">
        <v>568.64895318349204</v>
      </c>
    </row>
    <row r="35" spans="1:43" x14ac:dyDescent="0.25">
      <c r="A35" s="11">
        <v>42732</v>
      </c>
      <c r="B35" s="59"/>
      <c r="C35" s="60">
        <v>54.726936229071448</v>
      </c>
      <c r="D35" s="60">
        <v>633.86747013727813</v>
      </c>
      <c r="E35" s="60">
        <v>15.689800950884772</v>
      </c>
      <c r="F35" s="60">
        <v>0</v>
      </c>
      <c r="G35" s="60">
        <v>1574.8425161997468</v>
      </c>
      <c r="H35" s="61">
        <v>22.600555246075004</v>
      </c>
      <c r="I35" s="59">
        <v>152.71280257701886</v>
      </c>
      <c r="J35" s="60">
        <v>333.71440130869621</v>
      </c>
      <c r="K35" s="60">
        <v>18.449194389084965</v>
      </c>
      <c r="L35" s="50">
        <v>0</v>
      </c>
      <c r="M35" s="372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191.63124308351127</v>
      </c>
      <c r="V35" s="62">
        <v>114.97983026209984</v>
      </c>
      <c r="W35" s="62">
        <v>25.708394688337457</v>
      </c>
      <c r="X35" s="62">
        <v>15.425182292889126</v>
      </c>
      <c r="Y35" s="66">
        <v>136.7937727485787</v>
      </c>
      <c r="Z35" s="66">
        <v>82.077037744254895</v>
      </c>
      <c r="AA35" s="67">
        <v>0</v>
      </c>
      <c r="AB35" s="68">
        <v>47.429337093565564</v>
      </c>
      <c r="AC35" s="69">
        <v>0</v>
      </c>
      <c r="AD35" s="69">
        <v>11.874116297562894</v>
      </c>
      <c r="AE35" s="68">
        <v>7.3456365467340889</v>
      </c>
      <c r="AF35" s="68">
        <v>4.4074234958779313</v>
      </c>
      <c r="AG35" s="68">
        <v>0.62499778952048834</v>
      </c>
      <c r="AH35" s="69">
        <v>265.91783479054766</v>
      </c>
      <c r="AI35" s="69">
        <v>1084.308152707418</v>
      </c>
      <c r="AJ35" s="69">
        <v>3127.6749471028643</v>
      </c>
      <c r="AK35" s="69">
        <v>471.82098170916242</v>
      </c>
      <c r="AL35" s="69">
        <v>2895.8638827006025</v>
      </c>
      <c r="AM35" s="69">
        <v>2784.0027562459309</v>
      </c>
      <c r="AN35" s="69">
        <v>567.30340576171875</v>
      </c>
      <c r="AO35" s="69">
        <v>1736.5028686523437</v>
      </c>
      <c r="AP35" s="69">
        <v>381.79671999613436</v>
      </c>
      <c r="AQ35" s="69">
        <v>556.74651931126914</v>
      </c>
    </row>
    <row r="36" spans="1:43" x14ac:dyDescent="0.25">
      <c r="A36" s="11">
        <v>42733</v>
      </c>
      <c r="B36" s="59"/>
      <c r="C36" s="60">
        <v>54.309323986370899</v>
      </c>
      <c r="D36" s="60">
        <v>628.13437445958527</v>
      </c>
      <c r="E36" s="60">
        <v>15.654579263925543</v>
      </c>
      <c r="F36" s="60">
        <v>0</v>
      </c>
      <c r="G36" s="60">
        <v>1546.371477063492</v>
      </c>
      <c r="H36" s="61">
        <v>22.705482418338452</v>
      </c>
      <c r="I36" s="59">
        <v>157.16733365058903</v>
      </c>
      <c r="J36" s="60">
        <v>343.40432275136396</v>
      </c>
      <c r="K36" s="60">
        <v>18.670025162895541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192.77875879865965</v>
      </c>
      <c r="V36" s="62">
        <v>115.58185114600123</v>
      </c>
      <c r="W36" s="62">
        <v>26.39755982338351</v>
      </c>
      <c r="X36" s="62">
        <v>15.826841344645013</v>
      </c>
      <c r="Y36" s="66">
        <v>138.22357512305305</v>
      </c>
      <c r="Z36" s="66">
        <v>82.872909776468148</v>
      </c>
      <c r="AA36" s="67">
        <v>0</v>
      </c>
      <c r="AB36" s="68">
        <v>48.021811408466426</v>
      </c>
      <c r="AC36" s="69">
        <v>0</v>
      </c>
      <c r="AD36" s="69">
        <v>11.9785568277041</v>
      </c>
      <c r="AE36" s="68">
        <v>7.4093309566732009</v>
      </c>
      <c r="AF36" s="68">
        <v>4.4423161195890799</v>
      </c>
      <c r="AG36" s="68">
        <v>0.6251731011728644</v>
      </c>
      <c r="AH36" s="69">
        <v>285.14395624796543</v>
      </c>
      <c r="AI36" s="69">
        <v>1132.8344889958701</v>
      </c>
      <c r="AJ36" s="69">
        <v>3169.6796811421714</v>
      </c>
      <c r="AK36" s="69">
        <v>482.52726836204533</v>
      </c>
      <c r="AL36" s="69">
        <v>3252.8033466339111</v>
      </c>
      <c r="AM36" s="69">
        <v>2803.8287549336751</v>
      </c>
      <c r="AN36" s="69">
        <v>567.30340576171875</v>
      </c>
      <c r="AO36" s="69">
        <v>1736.5028686523437</v>
      </c>
      <c r="AP36" s="69">
        <v>389.73920585314437</v>
      </c>
      <c r="AQ36" s="69">
        <v>557.70300162633259</v>
      </c>
    </row>
    <row r="37" spans="1:43" x14ac:dyDescent="0.25">
      <c r="A37" s="11">
        <v>42734</v>
      </c>
      <c r="B37" s="65"/>
      <c r="C37" s="392">
        <v>54.456106201808062</v>
      </c>
      <c r="D37" s="392">
        <v>628.36959444681918</v>
      </c>
      <c r="E37" s="392">
        <v>15.68655301630494</v>
      </c>
      <c r="F37" s="392">
        <v>0</v>
      </c>
      <c r="G37" s="392">
        <v>1589.2692780812581</v>
      </c>
      <c r="H37" s="393">
        <v>22.634532575805927</v>
      </c>
      <c r="I37" s="391">
        <v>152.85958184401201</v>
      </c>
      <c r="J37" s="392">
        <v>333.8873372872676</v>
      </c>
      <c r="K37" s="392">
        <v>0</v>
      </c>
      <c r="L37" s="392">
        <v>0</v>
      </c>
      <c r="M37" s="392">
        <v>18.206212068597456</v>
      </c>
      <c r="N37" s="393">
        <v>0</v>
      </c>
      <c r="O37" s="391">
        <v>0</v>
      </c>
      <c r="P37" s="392">
        <v>0</v>
      </c>
      <c r="Q37" s="392">
        <v>0</v>
      </c>
      <c r="R37" s="394">
        <v>0</v>
      </c>
      <c r="S37" s="392">
        <v>0</v>
      </c>
      <c r="T37" s="395">
        <v>0</v>
      </c>
      <c r="U37" s="396">
        <v>192.95565311641857</v>
      </c>
      <c r="V37" s="81">
        <v>115.77072072561126</v>
      </c>
      <c r="W37" s="81">
        <v>26.099181254360875</v>
      </c>
      <c r="X37" s="81">
        <v>15.659147453651984</v>
      </c>
      <c r="Y37" s="80">
        <v>138.48731554457709</v>
      </c>
      <c r="Z37" s="80">
        <v>83.090472204395923</v>
      </c>
      <c r="AA37" s="82">
        <v>0</v>
      </c>
      <c r="AB37" s="397">
        <v>47.098703644010556</v>
      </c>
      <c r="AC37" s="85">
        <v>0</v>
      </c>
      <c r="AD37" s="85">
        <v>12.008867552545327</v>
      </c>
      <c r="AE37" s="397">
        <v>7.4252260715779297</v>
      </c>
      <c r="AF37" s="397">
        <v>4.4550328532666921</v>
      </c>
      <c r="AG37" s="397">
        <v>0.62500540758837397</v>
      </c>
      <c r="AH37" s="398">
        <v>248.81201326847071</v>
      </c>
      <c r="AI37" s="398">
        <v>1045.6813540776568</v>
      </c>
      <c r="AJ37" s="398">
        <v>3110.9716918945314</v>
      </c>
      <c r="AK37" s="398">
        <v>482.50698577562963</v>
      </c>
      <c r="AL37" s="398">
        <v>3198.9218338012693</v>
      </c>
      <c r="AM37" s="398">
        <v>2707.734036254883</v>
      </c>
      <c r="AN37" s="398">
        <v>567.30340576171875</v>
      </c>
      <c r="AO37" s="398">
        <v>1736.5028686523437</v>
      </c>
      <c r="AP37" s="398">
        <v>387.20906991958611</v>
      </c>
      <c r="AQ37" s="398">
        <v>576.73136453628547</v>
      </c>
    </row>
    <row r="38" spans="1:43" ht="15.75" thickBot="1" x14ac:dyDescent="0.3">
      <c r="A38" s="11">
        <v>42735</v>
      </c>
      <c r="B38" s="73"/>
      <c r="C38" s="74">
        <v>55.539164078235437</v>
      </c>
      <c r="D38" s="74">
        <v>630.08441511790102</v>
      </c>
      <c r="E38" s="74">
        <v>15.676873766382505</v>
      </c>
      <c r="F38" s="74">
        <v>0</v>
      </c>
      <c r="G38" s="74">
        <v>1511.2498434066752</v>
      </c>
      <c r="H38" s="75">
        <v>22.733376820882174</v>
      </c>
      <c r="I38" s="76">
        <v>160.60879353682211</v>
      </c>
      <c r="J38" s="74">
        <v>345.45726550420187</v>
      </c>
      <c r="K38" s="74">
        <v>0</v>
      </c>
      <c r="L38" s="74">
        <v>0</v>
      </c>
      <c r="M38" s="74">
        <v>18.846796703835341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192.81288201017816</v>
      </c>
      <c r="V38" s="80">
        <v>115.5363484594193</v>
      </c>
      <c r="W38" s="81">
        <v>26.27666215855081</v>
      </c>
      <c r="X38" s="81">
        <v>15.745367030717919</v>
      </c>
      <c r="Y38" s="80">
        <v>140.50420128108138</v>
      </c>
      <c r="Z38" s="80">
        <v>84.192208476851064</v>
      </c>
      <c r="AA38" s="82">
        <v>0</v>
      </c>
      <c r="AB38" s="83">
        <v>48.332053661345945</v>
      </c>
      <c r="AC38" s="84">
        <v>0</v>
      </c>
      <c r="AD38" s="85">
        <v>12.051168733172943</v>
      </c>
      <c r="AE38" s="83">
        <v>7.4150869934464749</v>
      </c>
      <c r="AF38" s="83">
        <v>4.4432304823207609</v>
      </c>
      <c r="AG38" s="83">
        <v>0.62530683704491707</v>
      </c>
      <c r="AH38" s="399">
        <v>274.0866070270539</v>
      </c>
      <c r="AI38" s="399">
        <v>1099.6551164627076</v>
      </c>
      <c r="AJ38" s="399">
        <v>3130.1837066650396</v>
      </c>
      <c r="AK38" s="399">
        <v>485.18556634585065</v>
      </c>
      <c r="AL38" s="399">
        <v>3488.1450795491542</v>
      </c>
      <c r="AM38" s="399">
        <v>2642.6313220977786</v>
      </c>
      <c r="AN38" s="399">
        <v>567.30340576171875</v>
      </c>
      <c r="AO38" s="399">
        <v>1736.5028686523437</v>
      </c>
      <c r="AP38" s="399">
        <v>386.13392446835832</v>
      </c>
      <c r="AQ38" s="399">
        <v>512.78250993092854</v>
      </c>
    </row>
    <row r="39" spans="1:43" ht="15.75" thickTop="1" x14ac:dyDescent="0.25">
      <c r="A39" s="46" t="s">
        <v>173</v>
      </c>
      <c r="B39" s="29">
        <f t="shared" ref="B39:AC39" si="0">SUM(B8:B38)</f>
        <v>0</v>
      </c>
      <c r="C39" s="30">
        <f t="shared" si="0"/>
        <v>1711.1395452543052</v>
      </c>
      <c r="D39" s="30">
        <f t="shared" si="0"/>
        <v>20044.646680870064</v>
      </c>
      <c r="E39" s="30">
        <f t="shared" si="0"/>
        <v>464.96040600260073</v>
      </c>
      <c r="F39" s="30">
        <f t="shared" si="0"/>
        <v>0</v>
      </c>
      <c r="G39" s="30">
        <f t="shared" si="0"/>
        <v>49202.377486864592</v>
      </c>
      <c r="H39" s="31">
        <f t="shared" si="0"/>
        <v>699.18337601761016</v>
      </c>
      <c r="I39" s="29">
        <f t="shared" si="0"/>
        <v>5080.1243614021942</v>
      </c>
      <c r="J39" s="30">
        <f t="shared" si="0"/>
        <v>11365.41868263882</v>
      </c>
      <c r="K39" s="30">
        <f t="shared" si="0"/>
        <v>586.1484682681164</v>
      </c>
      <c r="L39" s="30">
        <f t="shared" si="0"/>
        <v>0</v>
      </c>
      <c r="M39" s="30">
        <f t="shared" si="0"/>
        <v>37.053008772432797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5916.6834867851794</v>
      </c>
      <c r="V39" s="262">
        <f t="shared" si="0"/>
        <v>3532.1950659059635</v>
      </c>
      <c r="W39" s="262">
        <f t="shared" si="0"/>
        <v>819.64364895733638</v>
      </c>
      <c r="X39" s="262">
        <f t="shared" si="0"/>
        <v>489.35472407666407</v>
      </c>
      <c r="Y39" s="262">
        <f t="shared" si="0"/>
        <v>4452.2293173851112</v>
      </c>
      <c r="Z39" s="262">
        <f t="shared" si="0"/>
        <v>2657.3013378177611</v>
      </c>
      <c r="AA39" s="270">
        <f t="shared" si="0"/>
        <v>0</v>
      </c>
      <c r="AB39" s="273">
        <f t="shared" si="0"/>
        <v>1564.6677741421649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159</v>
      </c>
      <c r="AH39" s="273">
        <f t="shared" ref="AH39:AQ39" si="1">SUM(AH8:AH38)</f>
        <v>9555.3167763741803</v>
      </c>
      <c r="AI39" s="273">
        <f t="shared" si="1"/>
        <v>36189.992882512408</v>
      </c>
      <c r="AJ39" s="273">
        <f t="shared" si="1"/>
        <v>98545.048281021096</v>
      </c>
      <c r="AK39" s="273">
        <f t="shared" si="1"/>
        <v>14307.439492565789</v>
      </c>
      <c r="AL39" s="273">
        <f t="shared" si="1"/>
        <v>92750.532081553145</v>
      </c>
      <c r="AM39" s="273">
        <f t="shared" si="1"/>
        <v>86712.071203079235</v>
      </c>
      <c r="AN39" s="273">
        <f t="shared" si="1"/>
        <v>17652.676356220247</v>
      </c>
      <c r="AO39" s="273">
        <f t="shared" si="1"/>
        <v>55871.061082839966</v>
      </c>
      <c r="AP39" s="273">
        <f t="shared" si="1"/>
        <v>12284.935443773273</v>
      </c>
      <c r="AQ39" s="273">
        <f t="shared" si="1"/>
        <v>17351.645459334057</v>
      </c>
    </row>
    <row r="40" spans="1:43" ht="15.75" thickBot="1" x14ac:dyDescent="0.3">
      <c r="A40" s="47" t="s">
        <v>174</v>
      </c>
      <c r="B40" s="32">
        <f>Projection!$AD$30</f>
        <v>0.80583665399999982</v>
      </c>
      <c r="C40" s="33">
        <f>Projection!$AD$28</f>
        <v>1.3221902399999999</v>
      </c>
      <c r="D40" s="33">
        <f>Projection!$AD$31</f>
        <v>2.1962556000000002</v>
      </c>
      <c r="E40" s="33">
        <f>Projection!$AD$26</f>
        <v>4.3368000000000002</v>
      </c>
      <c r="F40" s="33">
        <f>Projection!$AC$23</f>
        <v>0</v>
      </c>
      <c r="G40" s="33">
        <f>Projection!$AD$24</f>
        <v>5.2499999999999998E-2</v>
      </c>
      <c r="H40" s="34">
        <f>Projection!$AD$29</f>
        <v>3.6159737999999999</v>
      </c>
      <c r="I40" s="32">
        <f>Projection!$AD$30</f>
        <v>0.80583665399999982</v>
      </c>
      <c r="J40" s="33">
        <f>Projection!$AD$28</f>
        <v>1.3221902399999999</v>
      </c>
      <c r="K40" s="33">
        <f>Projection!$AD$26</f>
        <v>4.3368000000000002</v>
      </c>
      <c r="L40" s="33">
        <f>Projection!$AD$25</f>
        <v>0</v>
      </c>
      <c r="M40" s="33">
        <f>Projection!$AC$23</f>
        <v>0</v>
      </c>
      <c r="N40" s="34">
        <f>Projection!$AC$23</f>
        <v>0</v>
      </c>
      <c r="O40" s="264">
        <v>15.77</v>
      </c>
      <c r="P40" s="265">
        <v>15.77</v>
      </c>
      <c r="Q40" s="265">
        <v>15.77</v>
      </c>
      <c r="R40" s="265">
        <v>15.77</v>
      </c>
      <c r="S40" s="265">
        <f>Projection!$AD$28</f>
        <v>1.3221902399999999</v>
      </c>
      <c r="T40" s="266">
        <f>Projection!$AD$28</f>
        <v>1.3221902399999999</v>
      </c>
      <c r="U40" s="264">
        <f>Projection!$AD$27</f>
        <v>0.25650000000000001</v>
      </c>
      <c r="V40" s="265">
        <f>Projection!$AD$27</f>
        <v>0.25650000000000001</v>
      </c>
      <c r="W40" s="265">
        <f>Projection!$AD$22</f>
        <v>1.625</v>
      </c>
      <c r="X40" s="265">
        <f>Projection!$AD$22</f>
        <v>1.625</v>
      </c>
      <c r="Y40" s="265">
        <f>Projection!$AD$31</f>
        <v>2.1962556000000002</v>
      </c>
      <c r="Z40" s="265">
        <f>Projection!$AD$31</f>
        <v>2.1962556000000002</v>
      </c>
      <c r="AA40" s="271">
        <v>0</v>
      </c>
      <c r="AB40" s="274">
        <f>Projection!$AD$27</f>
        <v>0.25650000000000001</v>
      </c>
      <c r="AC40" s="274">
        <f>Projection!$AD$30</f>
        <v>0.80583665399999982</v>
      </c>
      <c r="AD40" s="277">
        <f>SUM(AD8:AD38)</f>
        <v>371.3258403812514</v>
      </c>
      <c r="AE40" s="277">
        <f>SUM(AE8:AE38)</f>
        <v>229.28123767016072</v>
      </c>
      <c r="AF40" s="277">
        <f>SUM(AF8:AF38)</f>
        <v>136.88402935537965</v>
      </c>
      <c r="AG40" s="277">
        <f>IF(SUM(AE40:AF40)&gt;0, AE40/(AE40+AF40), "")</f>
        <v>0.62616872302682958</v>
      </c>
      <c r="AH40" s="313">
        <v>5.6000000000000001E-2</v>
      </c>
      <c r="AI40" s="313">
        <f t="shared" ref="AI40:AQ40" si="2">$AH$40</f>
        <v>5.6000000000000001E-2</v>
      </c>
      <c r="AJ40" s="313">
        <f t="shared" si="2"/>
        <v>5.6000000000000001E-2</v>
      </c>
      <c r="AK40" s="313">
        <f t="shared" si="2"/>
        <v>5.6000000000000001E-2</v>
      </c>
      <c r="AL40" s="313">
        <f t="shared" si="2"/>
        <v>5.6000000000000001E-2</v>
      </c>
      <c r="AM40" s="313">
        <f t="shared" si="2"/>
        <v>5.6000000000000001E-2</v>
      </c>
      <c r="AN40" s="313">
        <f t="shared" si="2"/>
        <v>5.6000000000000001E-2</v>
      </c>
      <c r="AO40" s="313">
        <f t="shared" si="2"/>
        <v>5.6000000000000001E-2</v>
      </c>
      <c r="AP40" s="313">
        <f t="shared" si="2"/>
        <v>5.6000000000000001E-2</v>
      </c>
      <c r="AQ40" s="313">
        <f t="shared" si="2"/>
        <v>5.6000000000000001E-2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2262.4520060132804</v>
      </c>
      <c r="D41" s="36">
        <f t="shared" si="3"/>
        <v>44023.167522882293</v>
      </c>
      <c r="E41" s="36">
        <f t="shared" si="3"/>
        <v>2016.4402887520789</v>
      </c>
      <c r="F41" s="36">
        <f t="shared" si="3"/>
        <v>0</v>
      </c>
      <c r="G41" s="36">
        <f t="shared" si="3"/>
        <v>2583.1248180603911</v>
      </c>
      <c r="H41" s="37">
        <f t="shared" si="3"/>
        <v>2528.2287690752264</v>
      </c>
      <c r="I41" s="35">
        <f t="shared" si="3"/>
        <v>4093.7504172962299</v>
      </c>
      <c r="J41" s="36">
        <f t="shared" si="3"/>
        <v>15027.245655698704</v>
      </c>
      <c r="K41" s="36">
        <f t="shared" si="3"/>
        <v>2542.0086771851675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1517.6293143603987</v>
      </c>
      <c r="V41" s="268">
        <f t="shared" si="3"/>
        <v>906.0080344048796</v>
      </c>
      <c r="W41" s="268">
        <f t="shared" si="3"/>
        <v>1331.9209295556716</v>
      </c>
      <c r="X41" s="268">
        <f t="shared" si="3"/>
        <v>795.20142662457909</v>
      </c>
      <c r="Y41" s="268">
        <f t="shared" si="3"/>
        <v>9778.233570791228</v>
      </c>
      <c r="Z41" s="268">
        <f t="shared" si="3"/>
        <v>5836.1129440697505</v>
      </c>
      <c r="AA41" s="272">
        <f t="shared" si="3"/>
        <v>0</v>
      </c>
      <c r="AB41" s="275">
        <f t="shared" si="3"/>
        <v>401.3372840674653</v>
      </c>
      <c r="AC41" s="275">
        <f t="shared" si="3"/>
        <v>0</v>
      </c>
      <c r="AH41" s="278">
        <f t="shared" ref="AH41:AQ41" si="4">AH40*AH39</f>
        <v>535.09773947695408</v>
      </c>
      <c r="AI41" s="278">
        <f t="shared" si="4"/>
        <v>2026.6396014206948</v>
      </c>
      <c r="AJ41" s="278">
        <f t="shared" si="4"/>
        <v>5518.5227037371815</v>
      </c>
      <c r="AK41" s="278">
        <f t="shared" si="4"/>
        <v>801.2166115836842</v>
      </c>
      <c r="AL41" s="278">
        <f t="shared" si="4"/>
        <v>5194.0297965669761</v>
      </c>
      <c r="AM41" s="278">
        <f t="shared" si="4"/>
        <v>4855.8759873724375</v>
      </c>
      <c r="AN41" s="278">
        <f t="shared" si="4"/>
        <v>988.54987594833381</v>
      </c>
      <c r="AO41" s="278">
        <f t="shared" si="4"/>
        <v>3128.7794206390381</v>
      </c>
      <c r="AP41" s="278">
        <f t="shared" si="4"/>
        <v>687.95638485130326</v>
      </c>
      <c r="AQ41" s="278">
        <f t="shared" si="4"/>
        <v>971.69214572270721</v>
      </c>
    </row>
    <row r="42" spans="1:43" ht="49.5" customHeight="1" thickTop="1" thickBot="1" x14ac:dyDescent="0.3">
      <c r="A42" s="576" t="s">
        <v>234</v>
      </c>
      <c r="B42" s="577"/>
      <c r="C42" s="577"/>
      <c r="D42" s="577"/>
      <c r="E42" s="577"/>
      <c r="F42" s="577"/>
      <c r="G42" s="577"/>
      <c r="H42" s="577"/>
      <c r="I42" s="577"/>
      <c r="J42" s="577"/>
      <c r="K42" s="57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6" t="s">
        <v>186</v>
      </c>
      <c r="AH42" s="295">
        <v>1559.75</v>
      </c>
      <c r="AI42" s="278" t="s">
        <v>199</v>
      </c>
      <c r="AJ42" s="278">
        <v>2875.47</v>
      </c>
      <c r="AK42" s="278">
        <v>547.9</v>
      </c>
      <c r="AL42" s="278">
        <v>1760.18</v>
      </c>
      <c r="AM42" s="278">
        <v>7427.5</v>
      </c>
      <c r="AN42" s="278">
        <v>2054.89</v>
      </c>
      <c r="AO42" s="278" t="s">
        <v>199</v>
      </c>
      <c r="AP42" s="278">
        <v>387.91</v>
      </c>
      <c r="AQ42" s="278">
        <v>690.33</v>
      </c>
    </row>
    <row r="43" spans="1:43" ht="38.25" customHeight="1" thickTop="1" thickBot="1" x14ac:dyDescent="0.3">
      <c r="A43" s="608" t="s">
        <v>49</v>
      </c>
      <c r="B43" s="605"/>
      <c r="C43" s="289"/>
      <c r="D43" s="605" t="s">
        <v>47</v>
      </c>
      <c r="E43" s="605"/>
      <c r="F43" s="289"/>
      <c r="G43" s="605" t="s">
        <v>48</v>
      </c>
      <c r="H43" s="605"/>
      <c r="I43" s="290"/>
      <c r="J43" s="605" t="s">
        <v>50</v>
      </c>
      <c r="K43" s="578"/>
      <c r="L43" s="44"/>
      <c r="M43" s="44"/>
      <c r="N43" s="44"/>
      <c r="O43" s="45"/>
      <c r="P43" s="45"/>
      <c r="Q43" s="45"/>
      <c r="R43" s="568" t="s">
        <v>168</v>
      </c>
      <c r="S43" s="569"/>
      <c r="T43" s="569"/>
      <c r="U43" s="570"/>
      <c r="AC43" s="45"/>
    </row>
    <row r="44" spans="1:43" ht="24.75" thickTop="1" thickBot="1" x14ac:dyDescent="0.3">
      <c r="A44" s="282" t="s">
        <v>135</v>
      </c>
      <c r="B44" s="283">
        <f>SUM(B41:AC41)</f>
        <v>95642.861658837341</v>
      </c>
      <c r="C44" s="12"/>
      <c r="D44" s="282" t="s">
        <v>135</v>
      </c>
      <c r="E44" s="283">
        <f>SUM(B41:H41)+P41+R41+T41+V41+X41+Z41</f>
        <v>60950.735809882477</v>
      </c>
      <c r="F44" s="12"/>
      <c r="G44" s="282" t="s">
        <v>135</v>
      </c>
      <c r="H44" s="283">
        <f>SUM(I41:N41)+O41+Q41+S41+U41+W41+Y41</f>
        <v>34290.7885648874</v>
      </c>
      <c r="I44" s="12"/>
      <c r="J44" s="282" t="s">
        <v>200</v>
      </c>
      <c r="K44" s="283">
        <v>185843.25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3" ht="24" thickBot="1" x14ac:dyDescent="0.4">
      <c r="A45" s="284" t="s">
        <v>185</v>
      </c>
      <c r="B45" s="285">
        <f>SUM(AH41:AQ41)</f>
        <v>24708.360267319309</v>
      </c>
      <c r="C45" s="12"/>
      <c r="D45" s="284" t="s">
        <v>185</v>
      </c>
      <c r="E45" s="285">
        <f>AH41*(1-$AG$40)+AI41+AJ41*0.5+AL41+AM41*(1-$AG$40)+AN41*(1-$AG$40)+AO41*(1-$AG$40)+AP41*0.5+AQ41*0.5</f>
        <v>14364.256076242489</v>
      </c>
      <c r="F45" s="24"/>
      <c r="G45" s="284" t="s">
        <v>185</v>
      </c>
      <c r="H45" s="285">
        <f>AH41*AG40+AJ41*0.5+AK41+AM41*AG40+AN41*AG40+AO41*AG40+AP41*0.5+AQ41*0.5</f>
        <v>10344.10419107682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1308.9983730340005</v>
      </c>
      <c r="U45" s="256">
        <f>(T45*8.34*0.895)/27000</f>
        <v>0.36187987243843289</v>
      </c>
    </row>
    <row r="46" spans="1:43" ht="32.25" thickBot="1" x14ac:dyDescent="0.3">
      <c r="A46" s="286" t="s">
        <v>186</v>
      </c>
      <c r="B46" s="287">
        <f>SUM(AH42:AQ42)</f>
        <v>17303.93</v>
      </c>
      <c r="C46" s="12"/>
      <c r="D46" s="286" t="s">
        <v>186</v>
      </c>
      <c r="E46" s="287">
        <f>AH42*(1-$AG$40)+AJ42*0.5+AL42+AM42*(1-$AG$40)+AN42*(1-$AG$40)+AP42*0.5+AQ42*0.5</f>
        <v>7864.9322967165235</v>
      </c>
      <c r="F46" s="23"/>
      <c r="G46" s="286" t="s">
        <v>186</v>
      </c>
      <c r="H46" s="287">
        <f>AH42*AG40+AJ42*0.5+AK42+AM42*AG40+AN42*AG40+AP42*0.5+AQ42*0.5</f>
        <v>9438.9977032834777</v>
      </c>
      <c r="I46" s="12"/>
      <c r="J46" s="606" t="s">
        <v>201</v>
      </c>
      <c r="K46" s="607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37.053008772432797</v>
      </c>
      <c r="U46" s="257">
        <f>(((T46*8.34)*0.005)/(8.34*1.055))/400</f>
        <v>4.3901669161650232E-4</v>
      </c>
    </row>
    <row r="47" spans="1:43" ht="24.75" thickTop="1" thickBot="1" x14ac:dyDescent="0.4">
      <c r="A47" s="286" t="s">
        <v>187</v>
      </c>
      <c r="B47" s="287">
        <f>K44</f>
        <v>185843.25</v>
      </c>
      <c r="C47" s="12"/>
      <c r="D47" s="286" t="s">
        <v>189</v>
      </c>
      <c r="E47" s="287">
        <f>K44*0.5</f>
        <v>92921.625</v>
      </c>
      <c r="F47" s="24"/>
      <c r="G47" s="286" t="s">
        <v>187</v>
      </c>
      <c r="H47" s="287">
        <f>K44*0.5</f>
        <v>92921.625</v>
      </c>
      <c r="I47" s="12"/>
      <c r="J47" s="282" t="s">
        <v>200</v>
      </c>
      <c r="K47" s="283">
        <v>20742.89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49202.377486864592</v>
      </c>
      <c r="U47" s="256">
        <f>T47/40000</f>
        <v>1.2300594371716147</v>
      </c>
    </row>
    <row r="48" spans="1:43" ht="24" thickBot="1" x14ac:dyDescent="0.3">
      <c r="A48" s="286" t="s">
        <v>188</v>
      </c>
      <c r="B48" s="287">
        <f>K47</f>
        <v>20742.89</v>
      </c>
      <c r="C48" s="12"/>
      <c r="D48" s="286" t="s">
        <v>188</v>
      </c>
      <c r="E48" s="287">
        <f>K47*0.5</f>
        <v>10371.445</v>
      </c>
      <c r="F48" s="23"/>
      <c r="G48" s="286" t="s">
        <v>188</v>
      </c>
      <c r="H48" s="287">
        <f>K47*0.5</f>
        <v>10371.445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196</v>
      </c>
      <c r="B49" s="292">
        <f>AD40</f>
        <v>371.3258403812514</v>
      </c>
      <c r="C49" s="12"/>
      <c r="D49" s="291" t="s">
        <v>197</v>
      </c>
      <c r="E49" s="292">
        <f>AF40</f>
        <v>136.88402935537965</v>
      </c>
      <c r="F49" s="23"/>
      <c r="G49" s="291" t="s">
        <v>198</v>
      </c>
      <c r="H49" s="292">
        <f>AE40</f>
        <v>229.28123767016072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1051.108874270717</v>
      </c>
      <c r="U49" s="256">
        <f>(T49*8.34*1.04)/45000</f>
        <v>0.20259773181943314</v>
      </c>
    </row>
    <row r="50" spans="1:25" ht="48" thickTop="1" thickBot="1" x14ac:dyDescent="0.3">
      <c r="A50" s="291" t="s">
        <v>192</v>
      </c>
      <c r="B50" s="293">
        <f>(SUM(B44:B48)/AD40)</f>
        <v>927.05988781366193</v>
      </c>
      <c r="C50" s="12"/>
      <c r="D50" s="291" t="s">
        <v>190</v>
      </c>
      <c r="E50" s="293">
        <f>SUM(E44:E48)/AF40</f>
        <v>1362.2699087759793</v>
      </c>
      <c r="F50" s="23"/>
      <c r="G50" s="291" t="s">
        <v>191</v>
      </c>
      <c r="H50" s="293">
        <f>SUM(H44:H48)/AE40</f>
        <v>686.34905349574467</v>
      </c>
      <c r="I50" s="12"/>
      <c r="J50" s="12"/>
      <c r="K50" s="86"/>
      <c r="L50" s="12"/>
      <c r="M50" s="12"/>
      <c r="N50" s="12"/>
      <c r="O50" s="12"/>
      <c r="P50" s="12"/>
      <c r="Q50" s="12"/>
      <c r="R50" s="318" t="s">
        <v>153</v>
      </c>
      <c r="S50" s="319"/>
      <c r="T50" s="254">
        <f>$U$39+$V$39+$AB$39</f>
        <v>11013.546326833308</v>
      </c>
      <c r="U50" s="256">
        <f>T50/2000/8</f>
        <v>0.68834664542708179</v>
      </c>
    </row>
    <row r="51" spans="1:25" ht="48" thickTop="1" thickBot="1" x14ac:dyDescent="0.3">
      <c r="A51" s="281" t="s">
        <v>193</v>
      </c>
      <c r="B51" s="294">
        <f>B50/1000</f>
        <v>0.92705988781366189</v>
      </c>
      <c r="C51" s="12"/>
      <c r="D51" s="281" t="s">
        <v>194</v>
      </c>
      <c r="E51" s="294">
        <f>E50/1000</f>
        <v>1.3622699087759793</v>
      </c>
      <c r="F51" s="378">
        <f>E44/E49</f>
        <v>445.27280572404527</v>
      </c>
      <c r="G51" s="281" t="s">
        <v>195</v>
      </c>
      <c r="H51" s="294">
        <f>H50/1000</f>
        <v>0.68634905349574471</v>
      </c>
      <c r="I51" s="378">
        <f>H44/H49</f>
        <v>149.55776108561236</v>
      </c>
      <c r="J51" s="12"/>
      <c r="K51" s="86"/>
      <c r="L51" s="12"/>
      <c r="M51" s="12"/>
      <c r="N51" s="12"/>
      <c r="O51" s="12"/>
      <c r="P51" s="12"/>
      <c r="Q51" s="12"/>
      <c r="R51" s="318" t="s">
        <v>154</v>
      </c>
      <c r="S51" s="319"/>
      <c r="T51" s="254">
        <f>$C$39+$J$39+$S$39+$T$39</f>
        <v>13076.558227893125</v>
      </c>
      <c r="U51" s="256">
        <f>(T51*8.34*1.4)/45000</f>
        <v>3.3929309748640026</v>
      </c>
    </row>
    <row r="52" spans="1:25" ht="16.5" thickTop="1" thickBot="1" x14ac:dyDescent="0.3">
      <c r="A52" s="303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155</v>
      </c>
      <c r="S52" s="319"/>
      <c r="T52" s="254">
        <f>$H$39</f>
        <v>699.18337601761016</v>
      </c>
      <c r="U52" s="256">
        <f>(T52*8.34*1.135)/45000</f>
        <v>0.14707555375655768</v>
      </c>
    </row>
    <row r="53" spans="1:25" ht="33" thickTop="1" thickBot="1" x14ac:dyDescent="0.3">
      <c r="A53" s="571" t="s">
        <v>51</v>
      </c>
      <c r="B53" s="572"/>
      <c r="C53" s="572"/>
      <c r="D53" s="572"/>
      <c r="E53" s="573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156</v>
      </c>
      <c r="S53" s="319"/>
      <c r="T53" s="254">
        <f>$B$39+$I$39+$AC$39</f>
        <v>5080.1243614021942</v>
      </c>
      <c r="U53" s="256">
        <f>(T53*8.34*1.029*0.03)/3300</f>
        <v>0.39633560047402755</v>
      </c>
    </row>
    <row r="54" spans="1:25" ht="54.75" customHeight="1" thickBot="1" x14ac:dyDescent="0.3">
      <c r="A54" s="602" t="s">
        <v>202</v>
      </c>
      <c r="B54" s="603"/>
      <c r="C54" s="603"/>
      <c r="D54" s="603"/>
      <c r="E54" s="60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65" t="s">
        <v>158</v>
      </c>
      <c r="S54" s="619"/>
      <c r="T54" s="327">
        <f>$D$39+$Y$39+$Z$39</f>
        <v>27154.177336072935</v>
      </c>
      <c r="U54" s="328">
        <f>(T54*1.54*8.34)/45000</f>
        <v>7.7501642674130293</v>
      </c>
      <c r="V54" s="326"/>
      <c r="W54" s="12"/>
      <c r="X54" s="12"/>
      <c r="Y54" s="12"/>
    </row>
    <row r="55" spans="1:25" ht="15.75" thickTop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330"/>
      <c r="T55" s="567"/>
      <c r="U55" s="567"/>
      <c r="V55" s="324"/>
      <c r="W55" s="325"/>
      <c r="X55" s="323"/>
      <c r="Y55" s="323"/>
    </row>
    <row r="56" spans="1:25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3"/>
      <c r="T56" s="617"/>
      <c r="U56" s="617"/>
      <c r="V56" s="324"/>
      <c r="W56" s="325"/>
      <c r="X56" s="323"/>
      <c r="Y56" s="323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3"/>
      <c r="T57" s="617"/>
      <c r="U57" s="617"/>
      <c r="V57" s="324"/>
      <c r="W57" s="325"/>
      <c r="X57" s="323"/>
      <c r="Y57" s="323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3"/>
      <c r="T58" s="617"/>
      <c r="U58" s="617"/>
      <c r="V58" s="324"/>
      <c r="W58" s="325"/>
      <c r="X58" s="323"/>
      <c r="Y58" s="323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3"/>
      <c r="T59" s="617"/>
      <c r="U59" s="617"/>
      <c r="V59" s="324"/>
      <c r="W59" s="325"/>
      <c r="X59" s="323"/>
      <c r="Y59" s="323"/>
    </row>
    <row r="60" spans="1:25" x14ac:dyDescent="0.25">
      <c r="S60" s="323"/>
      <c r="T60" s="617"/>
      <c r="U60" s="617"/>
      <c r="V60" s="324"/>
      <c r="W60" s="325"/>
      <c r="X60" s="323"/>
      <c r="Y60" s="323"/>
    </row>
    <row r="61" spans="1:25" x14ac:dyDescent="0.25">
      <c r="S61" s="323"/>
      <c r="T61" s="617"/>
      <c r="U61" s="617"/>
      <c r="V61" s="324"/>
      <c r="W61" s="325"/>
      <c r="X61" s="323"/>
      <c r="Y61" s="323"/>
    </row>
    <row r="62" spans="1:25" x14ac:dyDescent="0.25">
      <c r="S62" s="323"/>
      <c r="T62" s="617"/>
      <c r="U62" s="617"/>
      <c r="V62" s="324"/>
      <c r="W62" s="325"/>
      <c r="X62" s="323"/>
      <c r="Y62" s="323"/>
    </row>
    <row r="63" spans="1:25" x14ac:dyDescent="0.25">
      <c r="S63" s="323"/>
      <c r="T63" s="323"/>
      <c r="U63" s="323"/>
      <c r="V63" s="323"/>
      <c r="W63" s="323"/>
      <c r="X63" s="323"/>
      <c r="Y63" s="323"/>
    </row>
    <row r="64" spans="1:25" x14ac:dyDescent="0.25">
      <c r="S64" s="323"/>
      <c r="T64" s="323"/>
      <c r="U64" s="323"/>
      <c r="V64" s="323"/>
      <c r="W64" s="323"/>
      <c r="X64" s="323"/>
      <c r="Y64" s="323"/>
    </row>
    <row r="65" spans="19:25" x14ac:dyDescent="0.25">
      <c r="S65" s="323"/>
      <c r="T65" s="323"/>
      <c r="U65" s="323"/>
      <c r="V65" s="323"/>
      <c r="W65" s="323"/>
      <c r="X65" s="323"/>
      <c r="Y65" s="323"/>
    </row>
  </sheetData>
  <sheetProtection selectLockedCells="1" selectUnlockedCells="1"/>
  <mergeCells count="38">
    <mergeCell ref="T55:U55"/>
    <mergeCell ref="AD4:AD5"/>
    <mergeCell ref="AE4:AE5"/>
    <mergeCell ref="AF4:AF5"/>
    <mergeCell ref="AG4:AG5"/>
    <mergeCell ref="O4:T5"/>
    <mergeCell ref="U4:AA5"/>
    <mergeCell ref="AB4:AB5"/>
    <mergeCell ref="AC4:AC5"/>
    <mergeCell ref="R43:U43"/>
    <mergeCell ref="T61:U61"/>
    <mergeCell ref="T62:U62"/>
    <mergeCell ref="T56:U56"/>
    <mergeCell ref="T57:U57"/>
    <mergeCell ref="T58:U58"/>
    <mergeCell ref="T59:U59"/>
    <mergeCell ref="T60:U60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J46:K46"/>
    <mergeCell ref="A53:E53"/>
    <mergeCell ref="A54:E54"/>
    <mergeCell ref="R54:S54"/>
    <mergeCell ref="AM4:AM5"/>
    <mergeCell ref="A43:B43"/>
    <mergeCell ref="D43:E43"/>
    <mergeCell ref="G43:H43"/>
    <mergeCell ref="B4:H5"/>
    <mergeCell ref="I4:N5"/>
    <mergeCell ref="A42:K42"/>
    <mergeCell ref="J43:K43"/>
  </mergeCells>
  <pageMargins left="0.33" right="0.19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tabSelected="1" topLeftCell="A22" zoomScale="80" zoomScaleNormal="80" workbookViewId="0">
      <selection activeCell="C50" sqref="C50"/>
    </sheetView>
  </sheetViews>
  <sheetFormatPr defaultRowHeight="15" x14ac:dyDescent="0.25"/>
  <cols>
    <col min="1" max="1" width="10.140625" customWidth="1"/>
    <col min="2" max="2" width="25.5703125" bestFit="1" customWidth="1"/>
    <col min="3" max="5" width="9.85546875" bestFit="1" customWidth="1"/>
    <col min="6" max="10" width="8.7109375" customWidth="1"/>
    <col min="11" max="11" width="9.28515625" bestFit="1" customWidth="1"/>
    <col min="12" max="25" width="8.7109375" customWidth="1"/>
    <col min="26" max="26" width="9.28515625" bestFit="1" customWidth="1"/>
    <col min="27" max="34" width="8.7109375" customWidth="1"/>
  </cols>
  <sheetData>
    <row r="1" spans="1:34" ht="28.5" customHeight="1" thickTop="1" thickBot="1" x14ac:dyDescent="0.3">
      <c r="A1" s="411">
        <v>2016</v>
      </c>
      <c r="B1" s="412"/>
      <c r="C1" s="415" t="s">
        <v>89</v>
      </c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7"/>
      <c r="W1" s="417"/>
      <c r="X1" s="417"/>
      <c r="Y1" s="417"/>
      <c r="Z1" s="417"/>
      <c r="AA1" s="417"/>
      <c r="AB1" s="417"/>
      <c r="AC1" s="416"/>
      <c r="AD1" s="416"/>
      <c r="AE1" s="416"/>
      <c r="AF1" s="416"/>
      <c r="AG1" s="416"/>
      <c r="AH1" s="418"/>
    </row>
    <row r="2" spans="1:34" ht="28.5" customHeight="1" thickTop="1" thickBot="1" x14ac:dyDescent="0.3">
      <c r="A2" s="419"/>
      <c r="B2" s="420"/>
      <c r="C2" s="426" t="s">
        <v>66</v>
      </c>
      <c r="D2" s="427"/>
      <c r="E2" s="427"/>
      <c r="F2" s="427"/>
      <c r="G2" s="427"/>
      <c r="H2" s="427"/>
      <c r="I2" s="428"/>
      <c r="J2" s="429" t="s">
        <v>71</v>
      </c>
      <c r="K2" s="430"/>
      <c r="L2" s="430"/>
      <c r="M2" s="430"/>
      <c r="N2" s="430"/>
      <c r="O2" s="431"/>
      <c r="P2" s="432" t="s">
        <v>73</v>
      </c>
      <c r="Q2" s="433"/>
      <c r="R2" s="433"/>
      <c r="S2" s="433"/>
      <c r="T2" s="433"/>
      <c r="U2" s="434"/>
      <c r="V2" s="435" t="s">
        <v>82</v>
      </c>
      <c r="W2" s="436"/>
      <c r="X2" s="436"/>
      <c r="Y2" s="436"/>
      <c r="Z2" s="436"/>
      <c r="AA2" s="436"/>
      <c r="AB2" s="437"/>
      <c r="AC2" s="438" t="s">
        <v>83</v>
      </c>
      <c r="AD2" s="439"/>
      <c r="AE2" s="423" t="s">
        <v>85</v>
      </c>
      <c r="AF2" s="424"/>
      <c r="AG2" s="424"/>
      <c r="AH2" s="425"/>
    </row>
    <row r="3" spans="1:34" ht="119.25" customHeight="1" thickBot="1" x14ac:dyDescent="0.3">
      <c r="A3" s="421"/>
      <c r="B3" s="422"/>
      <c r="C3" s="228" t="s">
        <v>67</v>
      </c>
      <c r="D3" s="228" t="s">
        <v>68</v>
      </c>
      <c r="E3" s="228" t="s">
        <v>11</v>
      </c>
      <c r="F3" s="228" t="s">
        <v>12</v>
      </c>
      <c r="G3" s="228" t="s">
        <v>13</v>
      </c>
      <c r="H3" s="228" t="s">
        <v>69</v>
      </c>
      <c r="I3" s="229" t="s">
        <v>70</v>
      </c>
      <c r="J3" s="230" t="s">
        <v>67</v>
      </c>
      <c r="K3" s="230" t="s">
        <v>72</v>
      </c>
      <c r="L3" s="231" t="s">
        <v>17</v>
      </c>
      <c r="M3" s="230" t="s">
        <v>18</v>
      </c>
      <c r="N3" s="230" t="s">
        <v>19</v>
      </c>
      <c r="O3" s="230" t="s">
        <v>13</v>
      </c>
      <c r="P3" s="232" t="s">
        <v>35</v>
      </c>
      <c r="Q3" s="233" t="s">
        <v>36</v>
      </c>
      <c r="R3" s="232" t="s">
        <v>74</v>
      </c>
      <c r="S3" s="232" t="s">
        <v>75</v>
      </c>
      <c r="T3" s="232" t="s">
        <v>76</v>
      </c>
      <c r="U3" s="232" t="s">
        <v>77</v>
      </c>
      <c r="V3" s="234" t="s">
        <v>78</v>
      </c>
      <c r="W3" s="234" t="s">
        <v>79</v>
      </c>
      <c r="X3" s="234" t="s">
        <v>80</v>
      </c>
      <c r="Y3" s="234" t="s">
        <v>81</v>
      </c>
      <c r="Z3" s="234" t="s">
        <v>45</v>
      </c>
      <c r="AA3" s="234" t="s">
        <v>46</v>
      </c>
      <c r="AB3" s="234" t="s">
        <v>20</v>
      </c>
      <c r="AC3" s="235" t="s">
        <v>7</v>
      </c>
      <c r="AD3" s="236" t="s">
        <v>84</v>
      </c>
      <c r="AE3" s="237" t="s">
        <v>27</v>
      </c>
      <c r="AF3" s="237" t="s">
        <v>31</v>
      </c>
      <c r="AG3" s="237" t="s">
        <v>32</v>
      </c>
      <c r="AH3" s="238" t="s">
        <v>33</v>
      </c>
    </row>
    <row r="4" spans="1:34" ht="15.75" customHeight="1" thickTop="1" x14ac:dyDescent="0.25">
      <c r="A4" s="408" t="s">
        <v>86</v>
      </c>
      <c r="B4" s="89" t="s">
        <v>52</v>
      </c>
      <c r="C4" s="101">
        <f>JANUARY!B39</f>
        <v>0</v>
      </c>
      <c r="D4" s="101">
        <f>JANUARY!C39</f>
        <v>0</v>
      </c>
      <c r="E4" s="101">
        <f>JANUARY!D39</f>
        <v>1.5311390161514282E-2</v>
      </c>
      <c r="F4" s="101">
        <f>JANUARY!E39</f>
        <v>0</v>
      </c>
      <c r="G4" s="101">
        <f>JANUARY!F39</f>
        <v>0.6249561190605164</v>
      </c>
      <c r="H4" s="101">
        <f>JANUARY!G39</f>
        <v>0</v>
      </c>
      <c r="I4" s="101">
        <f>JANUARY!H39</f>
        <v>0</v>
      </c>
      <c r="J4" s="101">
        <f>JANUARY!I39</f>
        <v>0</v>
      </c>
      <c r="K4" s="101">
        <f>JANUARY!J39</f>
        <v>0</v>
      </c>
      <c r="L4" s="239">
        <f>JANUARY!K39</f>
        <v>0</v>
      </c>
      <c r="M4" s="101">
        <f>JANUARY!L39</f>
        <v>0</v>
      </c>
      <c r="N4" s="101">
        <f>JANUARY!M39</f>
        <v>0</v>
      </c>
      <c r="O4" s="101">
        <f>JANUARY!N39</f>
        <v>0.68754923343658447</v>
      </c>
      <c r="P4" s="101">
        <f>JANUARY!O39</f>
        <v>0</v>
      </c>
      <c r="Q4" s="101">
        <f>JANUARY!P39</f>
        <v>0</v>
      </c>
      <c r="R4" s="101">
        <f>JANUARY!Q39</f>
        <v>0</v>
      </c>
      <c r="S4" s="101">
        <f>JANUARY!R39</f>
        <v>0</v>
      </c>
      <c r="T4" s="101">
        <f>JANUARY!S39</f>
        <v>0</v>
      </c>
      <c r="U4" s="101">
        <f>JANUARY!T39</f>
        <v>0</v>
      </c>
      <c r="V4" s="101">
        <f>JANUARY!U39</f>
        <v>0</v>
      </c>
      <c r="W4" s="101">
        <f>JANUARY!V39</f>
        <v>0</v>
      </c>
      <c r="X4" s="101">
        <f>JANUARY!W39</f>
        <v>0</v>
      </c>
      <c r="Y4" s="101">
        <f>JANUARY!X39</f>
        <v>0</v>
      </c>
      <c r="Z4" s="101">
        <f>JANUARY!Y39</f>
        <v>0</v>
      </c>
      <c r="AA4" s="101">
        <f>JANUARY!Z39</f>
        <v>0</v>
      </c>
      <c r="AB4" s="101">
        <f>JANUARY!AA39</f>
        <v>0</v>
      </c>
      <c r="AC4" s="102">
        <f>JANUARY!AB39</f>
        <v>0</v>
      </c>
      <c r="AD4" s="102">
        <f>JANUARY!AC39</f>
        <v>0</v>
      </c>
      <c r="AE4" s="240">
        <f>JANUARY!AD40</f>
        <v>0</v>
      </c>
      <c r="AF4" s="240">
        <f>JANUARY!AE40</f>
        <v>0</v>
      </c>
      <c r="AG4" s="240">
        <f>JANUARY!AF40</f>
        <v>0</v>
      </c>
      <c r="AH4" s="241">
        <f>JANUARY!AG40</f>
        <v>0</v>
      </c>
    </row>
    <row r="5" spans="1:34" ht="15.75" customHeight="1" x14ac:dyDescent="0.25">
      <c r="A5" s="409"/>
      <c r="B5" s="90" t="s">
        <v>53</v>
      </c>
      <c r="C5" s="103">
        <f>FEBRUARY!B38</f>
        <v>0</v>
      </c>
      <c r="D5" s="103">
        <f>FEBRUARY!C38</f>
        <v>0</v>
      </c>
      <c r="E5" s="103">
        <f>FEBRUARY!D38</f>
        <v>0</v>
      </c>
      <c r="F5" s="103">
        <f>FEBRUARY!E38</f>
        <v>0</v>
      </c>
      <c r="G5" s="103">
        <f>FEBRUARY!F38</f>
        <v>0</v>
      </c>
      <c r="H5" s="103">
        <f>FEBRUARY!G38</f>
        <v>0</v>
      </c>
      <c r="I5" s="103">
        <f>FEBRUARY!H38</f>
        <v>0</v>
      </c>
      <c r="J5" s="103">
        <f>FEBRUARY!I38</f>
        <v>0</v>
      </c>
      <c r="K5" s="103">
        <f>FEBRUARY!J38</f>
        <v>0</v>
      </c>
      <c r="L5" s="104">
        <f>FEBRUARY!K38</f>
        <v>0</v>
      </c>
      <c r="M5" s="103">
        <f>FEBRUARY!L38</f>
        <v>0</v>
      </c>
      <c r="N5" s="103">
        <f>FEBRUARY!M38</f>
        <v>0</v>
      </c>
      <c r="O5" s="103">
        <f>FEBRUARY!N38</f>
        <v>0</v>
      </c>
      <c r="P5" s="103">
        <f>FEBRUARY!O38</f>
        <v>0</v>
      </c>
      <c r="Q5" s="103">
        <f>FEBRUARY!P38</f>
        <v>0</v>
      </c>
      <c r="R5" s="103">
        <f>FEBRUARY!Q38</f>
        <v>0</v>
      </c>
      <c r="S5" s="103">
        <f>FEBRUARY!R38</f>
        <v>0</v>
      </c>
      <c r="T5" s="103">
        <f>FEBRUARY!S38</f>
        <v>0</v>
      </c>
      <c r="U5" s="103">
        <f>FEBRUARY!T38</f>
        <v>0</v>
      </c>
      <c r="V5" s="103">
        <f>FEBRUARY!U38</f>
        <v>0</v>
      </c>
      <c r="W5" s="103">
        <f>FEBRUARY!V38</f>
        <v>0</v>
      </c>
      <c r="X5" s="103">
        <f>FEBRUARY!W38</f>
        <v>0</v>
      </c>
      <c r="Y5" s="103">
        <f>FEBRUARY!X38</f>
        <v>0</v>
      </c>
      <c r="Z5" s="103">
        <f>FEBRUARY!Y38</f>
        <v>0</v>
      </c>
      <c r="AA5" s="103">
        <f>FEBRUARY!Z38</f>
        <v>0</v>
      </c>
      <c r="AB5" s="103">
        <f>FEBRUARY!AA38</f>
        <v>0</v>
      </c>
      <c r="AC5" s="105">
        <f>FEBRUARY!AB38</f>
        <v>0</v>
      </c>
      <c r="AD5" s="105">
        <f>FEBRUARY!AC38</f>
        <v>0</v>
      </c>
      <c r="AE5" s="99">
        <f>FEBRUARY!AD39</f>
        <v>0</v>
      </c>
      <c r="AF5" s="99">
        <f>FEBRUARY!AE39</f>
        <v>0</v>
      </c>
      <c r="AG5" s="99">
        <f>FEBRUARY!AF39</f>
        <v>0</v>
      </c>
      <c r="AH5" s="91">
        <f>FEBRUARY!AG39</f>
        <v>0</v>
      </c>
    </row>
    <row r="6" spans="1:34" ht="15.75" customHeight="1" x14ac:dyDescent="0.25">
      <c r="A6" s="409"/>
      <c r="B6" s="90" t="s">
        <v>54</v>
      </c>
      <c r="C6" s="103">
        <f>MARCH!B39</f>
        <v>0</v>
      </c>
      <c r="D6" s="103">
        <f>MARCH!C39</f>
        <v>0</v>
      </c>
      <c r="E6" s="103">
        <f>MARCH!D39</f>
        <v>0</v>
      </c>
      <c r="F6" s="103">
        <f>MARCH!E39</f>
        <v>0</v>
      </c>
      <c r="G6" s="103">
        <f>MARCH!F39</f>
        <v>0</v>
      </c>
      <c r="H6" s="103">
        <f>MARCH!G39</f>
        <v>0</v>
      </c>
      <c r="I6" s="103">
        <f>MARCH!H39</f>
        <v>0</v>
      </c>
      <c r="J6" s="103">
        <f>MARCH!I39</f>
        <v>0</v>
      </c>
      <c r="K6" s="103">
        <f>MARCH!J39</f>
        <v>0</v>
      </c>
      <c r="L6" s="104">
        <f>MARCH!K39</f>
        <v>0</v>
      </c>
      <c r="M6" s="103">
        <f>MARCH!L39</f>
        <v>0</v>
      </c>
      <c r="N6" s="103">
        <f>MARCH!M39</f>
        <v>0</v>
      </c>
      <c r="O6" s="103">
        <f>MARCH!N39</f>
        <v>0</v>
      </c>
      <c r="P6" s="103">
        <f>MARCH!O39</f>
        <v>0</v>
      </c>
      <c r="Q6" s="103">
        <f>MARCH!P39</f>
        <v>0</v>
      </c>
      <c r="R6" s="103">
        <f>MARCH!Q39</f>
        <v>0</v>
      </c>
      <c r="S6" s="103">
        <f>MARCH!R39</f>
        <v>0</v>
      </c>
      <c r="T6" s="103">
        <f>MARCH!S39</f>
        <v>0</v>
      </c>
      <c r="U6" s="103">
        <f>MARCH!T39</f>
        <v>0</v>
      </c>
      <c r="V6" s="103">
        <f>MARCH!U39</f>
        <v>0</v>
      </c>
      <c r="W6" s="103">
        <f>MARCH!V39</f>
        <v>0</v>
      </c>
      <c r="X6" s="103">
        <f>MARCH!W39</f>
        <v>0</v>
      </c>
      <c r="Y6" s="103">
        <f>MARCH!X39</f>
        <v>0</v>
      </c>
      <c r="Z6" s="103">
        <f>MARCH!Y39</f>
        <v>0</v>
      </c>
      <c r="AA6" s="103">
        <f>MARCH!Z39</f>
        <v>0</v>
      </c>
      <c r="AB6" s="103">
        <f>MARCH!AA39</f>
        <v>0</v>
      </c>
      <c r="AC6" s="105">
        <f>MARCH!AB39</f>
        <v>0</v>
      </c>
      <c r="AD6" s="105">
        <f>MARCH!AC39</f>
        <v>0</v>
      </c>
      <c r="AE6" s="99">
        <f>MARCH!AD40</f>
        <v>0</v>
      </c>
      <c r="AF6" s="99">
        <f>MARCH!AE40</f>
        <v>0</v>
      </c>
      <c r="AG6" s="99">
        <f>MARCH!AF40</f>
        <v>0</v>
      </c>
      <c r="AH6" s="91">
        <f>MARCH!AG40</f>
        <v>0</v>
      </c>
    </row>
    <row r="7" spans="1:34" ht="15.75" customHeight="1" x14ac:dyDescent="0.25">
      <c r="A7" s="409"/>
      <c r="B7" s="90" t="s">
        <v>55</v>
      </c>
      <c r="C7" s="103">
        <f>APRIL!B39</f>
        <v>0</v>
      </c>
      <c r="D7" s="103">
        <f>APRIL!C39</f>
        <v>0</v>
      </c>
      <c r="E7" s="103">
        <f>APRIL!D39</f>
        <v>0</v>
      </c>
      <c r="F7" s="103">
        <f>APRIL!E39</f>
        <v>0</v>
      </c>
      <c r="G7" s="103">
        <f>APRIL!F39</f>
        <v>0</v>
      </c>
      <c r="H7" s="103">
        <f>APRIL!G39</f>
        <v>0</v>
      </c>
      <c r="I7" s="103">
        <f>APRIL!H39</f>
        <v>0</v>
      </c>
      <c r="J7" s="103">
        <f>APRIL!I39</f>
        <v>0</v>
      </c>
      <c r="K7" s="103">
        <f>APRIL!J39</f>
        <v>0</v>
      </c>
      <c r="L7" s="104">
        <f>APRIL!K39</f>
        <v>0</v>
      </c>
      <c r="M7" s="103">
        <f>APRIL!L39</f>
        <v>0</v>
      </c>
      <c r="N7" s="103">
        <f>APRIL!M39</f>
        <v>0</v>
      </c>
      <c r="O7" s="103">
        <f>APRIL!N39</f>
        <v>0</v>
      </c>
      <c r="P7" s="103">
        <f>APRIL!O39</f>
        <v>0</v>
      </c>
      <c r="Q7" s="103">
        <f>APRIL!P39</f>
        <v>0</v>
      </c>
      <c r="R7" s="103">
        <f>APRIL!Q39</f>
        <v>0</v>
      </c>
      <c r="S7" s="103">
        <f>APRIL!R39</f>
        <v>0</v>
      </c>
      <c r="T7" s="103">
        <f>APRIL!S39</f>
        <v>0</v>
      </c>
      <c r="U7" s="103">
        <f>APRIL!T39</f>
        <v>0</v>
      </c>
      <c r="V7" s="103">
        <f>APRIL!U39</f>
        <v>0</v>
      </c>
      <c r="W7" s="103">
        <f>APRIL!V39</f>
        <v>0</v>
      </c>
      <c r="X7" s="103">
        <f>APRIL!W39</f>
        <v>0</v>
      </c>
      <c r="Y7" s="103">
        <f>APRIL!X39</f>
        <v>0</v>
      </c>
      <c r="Z7" s="103">
        <f>APRIL!Y39</f>
        <v>0</v>
      </c>
      <c r="AA7" s="103">
        <f>APRIL!Z39</f>
        <v>0</v>
      </c>
      <c r="AB7" s="103">
        <f>APRIL!AA39</f>
        <v>0</v>
      </c>
      <c r="AC7" s="105">
        <f>APRIL!AB39</f>
        <v>0</v>
      </c>
      <c r="AD7" s="105">
        <f>APRIL!AC39</f>
        <v>0</v>
      </c>
      <c r="AE7" s="99">
        <f>APRIL!AD40</f>
        <v>0</v>
      </c>
      <c r="AF7" s="99">
        <f>APRIL!AE40</f>
        <v>0</v>
      </c>
      <c r="AG7" s="99">
        <f>APRIL!AF40</f>
        <v>0</v>
      </c>
      <c r="AH7" s="91">
        <f>APRIL!AG40</f>
        <v>0</v>
      </c>
    </row>
    <row r="8" spans="1:34" ht="15.75" customHeight="1" x14ac:dyDescent="0.25">
      <c r="A8" s="409"/>
      <c r="B8" s="90" t="s">
        <v>56</v>
      </c>
      <c r="C8" s="103">
        <f>MAY!B39</f>
        <v>0</v>
      </c>
      <c r="D8" s="103">
        <f>MAY!C39</f>
        <v>0</v>
      </c>
      <c r="E8" s="103">
        <f>MAY!D39</f>
        <v>0</v>
      </c>
      <c r="F8" s="103">
        <f>MAY!E39</f>
        <v>0</v>
      </c>
      <c r="G8" s="103">
        <f>MAY!F39</f>
        <v>0</v>
      </c>
      <c r="H8" s="103">
        <f>MAY!G39</f>
        <v>0</v>
      </c>
      <c r="I8" s="103">
        <f>MAY!H39</f>
        <v>0</v>
      </c>
      <c r="J8" s="103">
        <f>MAY!I39</f>
        <v>4860.9685609062517</v>
      </c>
      <c r="K8" s="103">
        <f>MAY!J39</f>
        <v>12864.304903034365</v>
      </c>
      <c r="L8" s="104">
        <f>MAY!K39</f>
        <v>660.79963228901272</v>
      </c>
      <c r="M8" s="103">
        <f>MAY!L39</f>
        <v>0</v>
      </c>
      <c r="N8" s="103">
        <f>MAY!M39</f>
        <v>0</v>
      </c>
      <c r="O8" s="103">
        <f>MAY!N39</f>
        <v>0</v>
      </c>
      <c r="P8" s="103">
        <f>MAY!O39</f>
        <v>0</v>
      </c>
      <c r="Q8" s="103">
        <f>MAY!P39</f>
        <v>0</v>
      </c>
      <c r="R8" s="103">
        <f>MAY!Q39</f>
        <v>0</v>
      </c>
      <c r="S8" s="103">
        <f>MAY!R39</f>
        <v>0</v>
      </c>
      <c r="T8" s="103">
        <f>MAY!S39</f>
        <v>0</v>
      </c>
      <c r="U8" s="103">
        <f>MAY!T39</f>
        <v>0</v>
      </c>
      <c r="V8" s="103">
        <f>MAY!U39</f>
        <v>5548.2894531554603</v>
      </c>
      <c r="W8" s="103">
        <f>MAY!V39</f>
        <v>0</v>
      </c>
      <c r="X8" s="103">
        <f>MAY!W39</f>
        <v>394.923235177994</v>
      </c>
      <c r="Y8" s="103">
        <f>MAY!X39</f>
        <v>0</v>
      </c>
      <c r="Z8" s="103">
        <f>MAY!Y39</f>
        <v>3910.4297780036918</v>
      </c>
      <c r="AA8" s="103">
        <f>MAY!Z39</f>
        <v>0</v>
      </c>
      <c r="AB8" s="103">
        <f>MAY!AA39</f>
        <v>0</v>
      </c>
      <c r="AC8" s="105">
        <f>MAY!AB39</f>
        <v>1026.6380767438166</v>
      </c>
      <c r="AD8" s="105">
        <f>MAY!AC39</f>
        <v>0</v>
      </c>
      <c r="AE8" s="99">
        <f>MAY!AD40</f>
        <v>121.08093644314339</v>
      </c>
      <c r="AF8" s="99">
        <f>MAY!AE40</f>
        <v>135.72803796197445</v>
      </c>
      <c r="AG8" s="99">
        <f>MAY!AF40</f>
        <v>0</v>
      </c>
      <c r="AH8" s="91">
        <f>MAY!AG40</f>
        <v>1</v>
      </c>
    </row>
    <row r="9" spans="1:34" ht="15.75" customHeight="1" x14ac:dyDescent="0.25">
      <c r="A9" s="409"/>
      <c r="B9" s="90" t="s">
        <v>57</v>
      </c>
      <c r="C9" s="103">
        <f>JUNE!B39</f>
        <v>0</v>
      </c>
      <c r="D9" s="103">
        <f>JUNE!C39</f>
        <v>848.23955988089267</v>
      </c>
      <c r="E9" s="103">
        <f>JUNE!D39</f>
        <v>10834.320578048626</v>
      </c>
      <c r="F9" s="103">
        <f>JUNE!E39</f>
        <v>217.30182343373698</v>
      </c>
      <c r="G9" s="103">
        <f>JUNE!F39</f>
        <v>0</v>
      </c>
      <c r="H9" s="103">
        <f>JUNE!G39</f>
        <v>36259.933512496944</v>
      </c>
      <c r="I9" s="103">
        <f>JUNE!H39</f>
        <v>558.7434096713871</v>
      </c>
      <c r="J9" s="103">
        <f>JUNE!I39</f>
        <v>15237.940404315788</v>
      </c>
      <c r="K9" s="103">
        <f>JUNE!J39</f>
        <v>39863.613626098639</v>
      </c>
      <c r="L9" s="104">
        <f>JUNE!K39</f>
        <v>2038.315818883975</v>
      </c>
      <c r="M9" s="103">
        <f>JUNE!L39</f>
        <v>0</v>
      </c>
      <c r="N9" s="103">
        <f>JUNE!M39</f>
        <v>0</v>
      </c>
      <c r="O9" s="103">
        <f>JUNE!N39</f>
        <v>0</v>
      </c>
      <c r="P9" s="103">
        <f>JUNE!O39</f>
        <v>0</v>
      </c>
      <c r="Q9" s="103">
        <f>JUNE!P39</f>
        <v>0</v>
      </c>
      <c r="R9" s="103">
        <f>JUNE!Q39</f>
        <v>0</v>
      </c>
      <c r="S9" s="103">
        <f>JUNE!R39</f>
        <v>0</v>
      </c>
      <c r="T9" s="103">
        <f>JUNE!S39</f>
        <v>0</v>
      </c>
      <c r="U9" s="103">
        <f>JUNE!T39</f>
        <v>0</v>
      </c>
      <c r="V9" s="103">
        <f>JUNE!U39</f>
        <v>22550.305189361832</v>
      </c>
      <c r="W9" s="103">
        <f>JUNE!V39</f>
        <v>2507.5604580284216</v>
      </c>
      <c r="X9" s="103">
        <f>JUNE!W39</f>
        <v>1604.4455908131497</v>
      </c>
      <c r="Y9" s="103">
        <f>JUNE!X39</f>
        <v>178.44135412172636</v>
      </c>
      <c r="Z9" s="103">
        <f>JUNE!Y39</f>
        <v>19407.442015949517</v>
      </c>
      <c r="AA9" s="103">
        <f>JUNE!Z39</f>
        <v>2170.854361938731</v>
      </c>
      <c r="AB9" s="103">
        <f>JUNE!AA39</f>
        <v>0</v>
      </c>
      <c r="AC9" s="105">
        <f>JUNE!AB39</f>
        <v>1818.5900726728989</v>
      </c>
      <c r="AD9" s="105">
        <f>JUNE!AC39</f>
        <v>0</v>
      </c>
      <c r="AE9" s="99">
        <f>JUNE!AD40</f>
        <v>702.9456189033059</v>
      </c>
      <c r="AF9" s="99">
        <f>JUNE!AE40</f>
        <v>623.98447537888649</v>
      </c>
      <c r="AG9" s="99">
        <f>JUNE!AF40</f>
        <v>69.671593310871401</v>
      </c>
      <c r="AH9" s="91">
        <f>JUNE!AG40</f>
        <v>0.89955887873586471</v>
      </c>
    </row>
    <row r="10" spans="1:34" ht="15.75" customHeight="1" x14ac:dyDescent="0.25">
      <c r="A10" s="409"/>
      <c r="B10" s="90" t="s">
        <v>58</v>
      </c>
      <c r="C10" s="103">
        <f>JULY!B39</f>
        <v>0</v>
      </c>
      <c r="D10" s="103">
        <f>JULY!C39</f>
        <v>2540.8585479338994</v>
      </c>
      <c r="E10" s="103">
        <f>JULY!D39</f>
        <v>36568.549670561122</v>
      </c>
      <c r="F10" s="103">
        <f>JULY!E39</f>
        <v>647.74540631771083</v>
      </c>
      <c r="G10" s="103">
        <f>JULY!F39</f>
        <v>0</v>
      </c>
      <c r="H10" s="103">
        <f>JULY!G39</f>
        <v>112601.56717669166</v>
      </c>
      <c r="I10" s="103">
        <f>JULY!H39</f>
        <v>1437.9143867423154</v>
      </c>
      <c r="J10" s="103">
        <f>JULY!I39</f>
        <v>15802.834570896628</v>
      </c>
      <c r="K10" s="103">
        <f>JULY!J39</f>
        <v>27242.8433945338</v>
      </c>
      <c r="L10" s="104">
        <f>JULY!K39</f>
        <v>1473.8537234028181</v>
      </c>
      <c r="M10" s="103">
        <f>JULY!L39</f>
        <v>0</v>
      </c>
      <c r="N10" s="103">
        <f>JULY!M39</f>
        <v>0</v>
      </c>
      <c r="O10" s="103">
        <f>JULY!N39</f>
        <v>0</v>
      </c>
      <c r="P10" s="103">
        <f>JULY!O39</f>
        <v>0</v>
      </c>
      <c r="Q10" s="103">
        <f>JULY!P39</f>
        <v>0</v>
      </c>
      <c r="R10" s="103">
        <f>JULY!Q39</f>
        <v>0</v>
      </c>
      <c r="S10" s="103">
        <f>JULY!R39</f>
        <v>0</v>
      </c>
      <c r="T10" s="103">
        <f>JULY!S39</f>
        <v>0</v>
      </c>
      <c r="U10" s="103">
        <f>JULY!T39</f>
        <v>0</v>
      </c>
      <c r="V10" s="103">
        <f>JULY!U39</f>
        <v>21652.246034250875</v>
      </c>
      <c r="W10" s="103">
        <f>JULY!V39</f>
        <v>7965.0521941613642</v>
      </c>
      <c r="X10" s="103">
        <f>JULY!W39</f>
        <v>1439.7533531402401</v>
      </c>
      <c r="Y10" s="103">
        <f>JULY!X39</f>
        <v>530.06121829998006</v>
      </c>
      <c r="Z10" s="103">
        <f>JULY!Y39</f>
        <v>15593.289987877304</v>
      </c>
      <c r="AA10" s="103">
        <f>JULY!Z39</f>
        <v>5756.5974087444019</v>
      </c>
      <c r="AB10" s="103">
        <f>JULY!AA39</f>
        <v>0</v>
      </c>
      <c r="AC10" s="105">
        <f>JULY!AB39</f>
        <v>2135.0263722446361</v>
      </c>
      <c r="AD10" s="105">
        <f>JULY!AC39</f>
        <v>0</v>
      </c>
      <c r="AE10" s="99">
        <f>JULY!AD40</f>
        <v>777.14819158977957</v>
      </c>
      <c r="AF10" s="99">
        <f>JULY!AE40</f>
        <v>560.42609113786671</v>
      </c>
      <c r="AG10" s="99">
        <f>JULY!AF40</f>
        <v>206.24278143404885</v>
      </c>
      <c r="AH10" s="91">
        <f>JULY!AG40</f>
        <v>0.73098845040861793</v>
      </c>
    </row>
    <row r="11" spans="1:34" ht="15.75" customHeight="1" x14ac:dyDescent="0.25">
      <c r="A11" s="409"/>
      <c r="B11" s="90" t="s">
        <v>59</v>
      </c>
      <c r="C11" s="103">
        <f>AUGUST!B39</f>
        <v>0</v>
      </c>
      <c r="D11" s="103">
        <f>AUGUST!C39</f>
        <v>3909.7074962218608</v>
      </c>
      <c r="E11" s="103">
        <f>AUGUST!D39</f>
        <v>47764.012453333526</v>
      </c>
      <c r="F11" s="103">
        <f>AUGUST!E39</f>
        <v>1017.0229255378252</v>
      </c>
      <c r="G11" s="103">
        <f>AUGUST!F39</f>
        <v>0</v>
      </c>
      <c r="H11" s="103">
        <f>AUGUST!G39</f>
        <v>141138.18187141421</v>
      </c>
      <c r="I11" s="103">
        <f>AUGUST!H39</f>
        <v>1674.9440702696647</v>
      </c>
      <c r="J11" s="103">
        <f>AUGUST!I39</f>
        <v>13152.834356598061</v>
      </c>
      <c r="K11" s="103">
        <f>AUGUST!J39</f>
        <v>18608.762524445854</v>
      </c>
      <c r="L11" s="104">
        <f>AUGUST!K39</f>
        <v>1076.9157633901639</v>
      </c>
      <c r="M11" s="103">
        <f>AUGUST!L39</f>
        <v>0</v>
      </c>
      <c r="N11" s="103">
        <f>AUGUST!M39</f>
        <v>0</v>
      </c>
      <c r="O11" s="103">
        <f>AUGUST!N39</f>
        <v>0</v>
      </c>
      <c r="P11" s="103">
        <f>AUGUST!O39</f>
        <v>0</v>
      </c>
      <c r="Q11" s="103">
        <f>AUGUST!P39</f>
        <v>0</v>
      </c>
      <c r="R11" s="103">
        <f>AUGUST!Q39</f>
        <v>0</v>
      </c>
      <c r="S11" s="103">
        <f>AUGUST!R39</f>
        <v>0</v>
      </c>
      <c r="T11" s="103">
        <f>AUGUST!S39</f>
        <v>0</v>
      </c>
      <c r="U11" s="103">
        <f>AUGUST!T39</f>
        <v>0</v>
      </c>
      <c r="V11" s="103">
        <f>AUGUST!U39</f>
        <v>14439.746905481052</v>
      </c>
      <c r="W11" s="103">
        <f>AUGUST!V39</f>
        <v>8232.4554892375199</v>
      </c>
      <c r="X11" s="103">
        <f>AUGUST!W39</f>
        <v>1643.2337530929904</v>
      </c>
      <c r="Y11" s="103">
        <f>AUGUST!X39</f>
        <v>964.63267639884714</v>
      </c>
      <c r="Z11" s="103">
        <f>AUGUST!Y39</f>
        <v>13298.241944019388</v>
      </c>
      <c r="AA11" s="103">
        <f>AUGUST!Z39</f>
        <v>7672.6888651923355</v>
      </c>
      <c r="AB11" s="103">
        <f>AUGUST!AA39</f>
        <v>0</v>
      </c>
      <c r="AC11" s="105">
        <f>AUGUST!AB39</f>
        <v>2240.5917885144631</v>
      </c>
      <c r="AD11" s="105">
        <f>AUGUST!AC39</f>
        <v>0</v>
      </c>
      <c r="AE11" s="99">
        <f>AUGUST!AD40</f>
        <v>804.10479842821792</v>
      </c>
      <c r="AF11" s="99">
        <f>AUGUST!AE40</f>
        <v>502.62829776589274</v>
      </c>
      <c r="AG11" s="99">
        <f>AUGUST!AF40</f>
        <v>291.05044121437322</v>
      </c>
      <c r="AH11" s="91">
        <f>AUGUST!AG40</f>
        <v>0.63328935636058414</v>
      </c>
    </row>
    <row r="12" spans="1:34" ht="15.75" customHeight="1" x14ac:dyDescent="0.25">
      <c r="A12" s="409"/>
      <c r="B12" s="90" t="s">
        <v>60</v>
      </c>
      <c r="C12" s="103">
        <f>SEPTEMBER!B38</f>
        <v>0</v>
      </c>
      <c r="D12" s="103">
        <f>SEPTEMBER!C38</f>
        <v>2673.4106005489916</v>
      </c>
      <c r="E12" s="103">
        <f>SEPTEMBER!D38</f>
        <v>33459.868382420151</v>
      </c>
      <c r="F12" s="103">
        <f>SEPTEMBER!E38</f>
        <v>752.60634781618921</v>
      </c>
      <c r="G12" s="103">
        <f>SEPTEMBER!F38</f>
        <v>0</v>
      </c>
      <c r="H12" s="103">
        <f>SEPTEMBER!G38</f>
        <v>110158.4648043315</v>
      </c>
      <c r="I12" s="103">
        <f>SEPTEMBER!H38</f>
        <v>1084.039127410452</v>
      </c>
      <c r="J12" s="103">
        <f>SEPTEMBER!I38</f>
        <v>12339.827729618546</v>
      </c>
      <c r="K12" s="103">
        <f>SEPTEMBER!J38</f>
        <v>15528.60905489922</v>
      </c>
      <c r="L12" s="104">
        <f>SEPTEMBER!K38</f>
        <v>827.70691231042179</v>
      </c>
      <c r="M12" s="103">
        <f>SEPTEMBER!L38</f>
        <v>0</v>
      </c>
      <c r="N12" s="103">
        <f>SEPTEMBER!M38</f>
        <v>0</v>
      </c>
      <c r="O12" s="103">
        <f>SEPTEMBER!N38</f>
        <v>0</v>
      </c>
      <c r="P12" s="103">
        <f>SEPTEMBER!O38</f>
        <v>0</v>
      </c>
      <c r="Q12" s="103">
        <f>SEPTEMBER!P38</f>
        <v>0</v>
      </c>
      <c r="R12" s="103">
        <f>SEPTEMBER!Q38</f>
        <v>0</v>
      </c>
      <c r="S12" s="103">
        <f>SEPTEMBER!R38</f>
        <v>0</v>
      </c>
      <c r="T12" s="103">
        <f>SEPTEMBER!S38</f>
        <v>0</v>
      </c>
      <c r="U12" s="103">
        <f>SEPTEMBER!T38</f>
        <v>0</v>
      </c>
      <c r="V12" s="103">
        <f>SEPTEMBER!U38</f>
        <v>11323.218653634292</v>
      </c>
      <c r="W12" s="103">
        <f>SEPTEMBER!V38</f>
        <v>5347.4688324420895</v>
      </c>
      <c r="X12" s="103">
        <f>SEPTEMBER!W38</f>
        <v>1409.310343547492</v>
      </c>
      <c r="Y12" s="103">
        <f>SEPTEMBER!X38</f>
        <v>666.28758562025473</v>
      </c>
      <c r="Z12" s="103">
        <f>SEPTEMBER!Y38</f>
        <v>12441.084224116938</v>
      </c>
      <c r="AA12" s="103">
        <f>SEPTEMBER!Z38</f>
        <v>5980.4944573997109</v>
      </c>
      <c r="AB12" s="103">
        <f>SEPTEMBER!AA38</f>
        <v>0</v>
      </c>
      <c r="AC12" s="105">
        <f>SEPTEMBER!AB38</f>
        <v>1822.2330458237152</v>
      </c>
      <c r="AD12" s="105">
        <f>SEPTEMBER!AC38</f>
        <v>0</v>
      </c>
      <c r="AE12" s="99">
        <f>SEPTEMBER!AD39</f>
        <v>666.15953412850718</v>
      </c>
      <c r="AF12" s="99">
        <f>SEPTEMBER!AE39</f>
        <v>446.41611333698353</v>
      </c>
      <c r="AG12" s="99">
        <f>SEPTEMBER!AF39</f>
        <v>210.65956017427317</v>
      </c>
      <c r="AH12" s="91">
        <f>SEPTEMBER!AG39</f>
        <v>0.67939832706245473</v>
      </c>
    </row>
    <row r="13" spans="1:34" ht="15.75" customHeight="1" x14ac:dyDescent="0.25">
      <c r="A13" s="409"/>
      <c r="B13" s="90" t="s">
        <v>61</v>
      </c>
      <c r="C13" s="103">
        <f>OCTOBER!B39</f>
        <v>0</v>
      </c>
      <c r="D13" s="103">
        <f>OCTOBER!C39</f>
        <v>1619.6344080825695</v>
      </c>
      <c r="E13" s="103">
        <f>OCTOBER!D39</f>
        <v>19560.396517517151</v>
      </c>
      <c r="F13" s="103">
        <f>OCTOBER!E39</f>
        <v>461.6783118565877</v>
      </c>
      <c r="G13" s="103">
        <f>OCTOBER!F39</f>
        <v>0</v>
      </c>
      <c r="H13" s="103">
        <f>OCTOBER!G39</f>
        <v>60985.767662429804</v>
      </c>
      <c r="I13" s="103">
        <f>OCTOBER!H39</f>
        <v>659.69780508776523</v>
      </c>
      <c r="J13" s="103">
        <f>OCTOBER!I39</f>
        <v>11673.438107442862</v>
      </c>
      <c r="K13" s="103">
        <f>OCTOBER!J39</f>
        <v>20821.260618400582</v>
      </c>
      <c r="L13" s="104">
        <f>OCTOBER!K39</f>
        <v>943.37534910082729</v>
      </c>
      <c r="M13" s="103">
        <f>OCTOBER!L39</f>
        <v>0</v>
      </c>
      <c r="N13" s="103">
        <f>OCTOBER!M39</f>
        <v>0</v>
      </c>
      <c r="O13" s="103">
        <f>OCTOBER!N39</f>
        <v>0</v>
      </c>
      <c r="P13" s="103">
        <f>OCTOBER!O39</f>
        <v>0</v>
      </c>
      <c r="Q13" s="103">
        <f>OCTOBER!P39</f>
        <v>0</v>
      </c>
      <c r="R13" s="103">
        <f>OCTOBER!Q39</f>
        <v>0</v>
      </c>
      <c r="S13" s="103">
        <f>OCTOBER!R39</f>
        <v>0</v>
      </c>
      <c r="T13" s="103">
        <f>OCTOBER!S39</f>
        <v>0</v>
      </c>
      <c r="U13" s="103">
        <f>OCTOBER!T39</f>
        <v>0</v>
      </c>
      <c r="V13" s="103">
        <f>OCTOBER!U39</f>
        <v>9909.849578736912</v>
      </c>
      <c r="W13" s="103">
        <f>OCTOBER!V39</f>
        <v>3176.4492073310016</v>
      </c>
      <c r="X13" s="103">
        <f>OCTOBER!W39</f>
        <v>1113.2784496140271</v>
      </c>
      <c r="Y13" s="103">
        <f>OCTOBER!X39</f>
        <v>353.46230852288107</v>
      </c>
      <c r="Z13" s="103">
        <f>OCTOBER!Y39</f>
        <v>9013.3004554263134</v>
      </c>
      <c r="AA13" s="103">
        <f>OCTOBER!Z39</f>
        <v>3037.1813666431722</v>
      </c>
      <c r="AB13" s="103">
        <f>OCTOBER!AA39</f>
        <v>0</v>
      </c>
      <c r="AC13" s="105">
        <f>OCTOBER!AB39</f>
        <v>1485.6045420487751</v>
      </c>
      <c r="AD13" s="105">
        <f>OCTOBER!AC39</f>
        <v>0</v>
      </c>
      <c r="AE13" s="99">
        <f>OCTOBER!AD40</f>
        <v>523.16584916743966</v>
      </c>
      <c r="AF13" s="99">
        <f>OCTOBER!AE40</f>
        <v>389.96641216624226</v>
      </c>
      <c r="AG13" s="99">
        <f>OCTOBER!AF40</f>
        <v>125.44066130376025</v>
      </c>
      <c r="AH13" s="91">
        <f>OCTOBER!AG40</f>
        <v>0.75661827755054845</v>
      </c>
    </row>
    <row r="14" spans="1:34" ht="15.75" customHeight="1" x14ac:dyDescent="0.25">
      <c r="A14" s="409"/>
      <c r="B14" s="90" t="s">
        <v>62</v>
      </c>
      <c r="C14" s="103">
        <f>NOVEMBER!B39</f>
        <v>0</v>
      </c>
      <c r="D14" s="103">
        <f>NOVEMBER!C39</f>
        <v>1759.1490919450966</v>
      </c>
      <c r="E14" s="103">
        <f>NOVEMBER!D39</f>
        <v>20443.606975905102</v>
      </c>
      <c r="F14" s="103">
        <f>NOVEMBER!E39</f>
        <v>489.38758995284587</v>
      </c>
      <c r="G14" s="103">
        <f>NOVEMBER!F39</f>
        <v>0</v>
      </c>
      <c r="H14" s="103">
        <f>NOVEMBER!G39</f>
        <v>70222.399426269549</v>
      </c>
      <c r="I14" s="103">
        <f>NOVEMBER!H39</f>
        <v>718.5985792756079</v>
      </c>
      <c r="J14" s="103">
        <f>NOVEMBER!I39</f>
        <v>6308.3747790614734</v>
      </c>
      <c r="K14" s="103">
        <f>NOVEMBER!J39</f>
        <v>11717.441116635007</v>
      </c>
      <c r="L14" s="104">
        <f>NOVEMBER!K39</f>
        <v>635.69469137668602</v>
      </c>
      <c r="M14" s="103">
        <f>NOVEMBER!L39</f>
        <v>0</v>
      </c>
      <c r="N14" s="103">
        <f>NOVEMBER!M39</f>
        <v>0</v>
      </c>
      <c r="O14" s="103">
        <f>NOVEMBER!N39</f>
        <v>0</v>
      </c>
      <c r="P14" s="103">
        <f>NOVEMBER!O39</f>
        <v>0</v>
      </c>
      <c r="Q14" s="103">
        <f>NOVEMBER!P39</f>
        <v>0</v>
      </c>
      <c r="R14" s="103">
        <f>NOVEMBER!Q39</f>
        <v>0</v>
      </c>
      <c r="S14" s="103">
        <f>NOVEMBER!R39</f>
        <v>0</v>
      </c>
      <c r="T14" s="103">
        <f>NOVEMBER!S39</f>
        <v>0</v>
      </c>
      <c r="U14" s="103">
        <f>NOVEMBER!T39</f>
        <v>0</v>
      </c>
      <c r="V14" s="103">
        <f>NOVEMBER!U39</f>
        <v>6628.485015993323</v>
      </c>
      <c r="W14" s="103">
        <f>NOVEMBER!V39</f>
        <v>3713.0542509479651</v>
      </c>
      <c r="X14" s="103">
        <f>NOVEMBER!W39</f>
        <v>834.31190890675077</v>
      </c>
      <c r="Y14" s="103">
        <f>NOVEMBER!X39</f>
        <v>468.11712355409821</v>
      </c>
      <c r="Z14" s="103">
        <f>NOVEMBER!Y39</f>
        <v>6357.058698196638</v>
      </c>
      <c r="AA14" s="103">
        <f>NOVEMBER!Z39</f>
        <v>3561.82376505193</v>
      </c>
      <c r="AB14" s="103">
        <f>NOVEMBER!AA39</f>
        <v>0</v>
      </c>
      <c r="AC14" s="105">
        <f>NOVEMBER!AB39</f>
        <v>1575.8359206544008</v>
      </c>
      <c r="AD14" s="105">
        <f>NOVEMBER!AC39</f>
        <v>0</v>
      </c>
      <c r="AE14" s="99">
        <f>NOVEMBER!AD40</f>
        <v>397.44363604618445</v>
      </c>
      <c r="AF14" s="99">
        <f>NOVEMBER!AE40</f>
        <v>250.78101061571985</v>
      </c>
      <c r="AG14" s="99">
        <f>NOVEMBER!AF40</f>
        <v>140.47805342192225</v>
      </c>
      <c r="AH14" s="91">
        <f>NOVEMBER!AG40</f>
        <v>0.6409589800367993</v>
      </c>
    </row>
    <row r="15" spans="1:34" ht="15.75" customHeight="1" x14ac:dyDescent="0.25">
      <c r="A15" s="410"/>
      <c r="B15" s="92" t="s">
        <v>63</v>
      </c>
      <c r="C15" s="106">
        <f>DECEMBER!B39</f>
        <v>0</v>
      </c>
      <c r="D15" s="106">
        <f>DECEMBER!C39</f>
        <v>1711.1395452543052</v>
      </c>
      <c r="E15" s="106">
        <f>DECEMBER!D39</f>
        <v>20044.646680870064</v>
      </c>
      <c r="F15" s="106">
        <f>DECEMBER!E39</f>
        <v>464.96040600260073</v>
      </c>
      <c r="G15" s="106">
        <f>DECEMBER!F39</f>
        <v>0</v>
      </c>
      <c r="H15" s="106">
        <f>DECEMBER!G39</f>
        <v>49202.377486864592</v>
      </c>
      <c r="I15" s="106">
        <f>DECEMBER!H39</f>
        <v>699.18337601761016</v>
      </c>
      <c r="J15" s="106">
        <f>DECEMBER!I39</f>
        <v>5080.1243614021942</v>
      </c>
      <c r="K15" s="106">
        <f>DECEMBER!J39</f>
        <v>11365.41868263882</v>
      </c>
      <c r="L15" s="107">
        <f>DECEMBER!K39</f>
        <v>586.1484682681164</v>
      </c>
      <c r="M15" s="106">
        <f>DECEMBER!L39</f>
        <v>0</v>
      </c>
      <c r="N15" s="106">
        <f>DECEMBER!M39</f>
        <v>37.053008772432797</v>
      </c>
      <c r="O15" s="106">
        <f>DECEMBER!N39</f>
        <v>0</v>
      </c>
      <c r="P15" s="106">
        <f>DECEMBER!O39</f>
        <v>0</v>
      </c>
      <c r="Q15" s="106">
        <f>DECEMBER!P39</f>
        <v>0</v>
      </c>
      <c r="R15" s="106">
        <f>DECEMBER!Q39</f>
        <v>0</v>
      </c>
      <c r="S15" s="106">
        <f>DECEMBER!R39</f>
        <v>0</v>
      </c>
      <c r="T15" s="106">
        <f>DECEMBER!S39</f>
        <v>0</v>
      </c>
      <c r="U15" s="106">
        <f>DECEMBER!T39</f>
        <v>0</v>
      </c>
      <c r="V15" s="106">
        <f>DECEMBER!U39</f>
        <v>5916.6834867851794</v>
      </c>
      <c r="W15" s="106">
        <f>DECEMBER!V39</f>
        <v>3532.1950659059635</v>
      </c>
      <c r="X15" s="106">
        <f>DECEMBER!W39</f>
        <v>819.64364895733638</v>
      </c>
      <c r="Y15" s="106">
        <f>DECEMBER!X39</f>
        <v>489.35472407666407</v>
      </c>
      <c r="Z15" s="106">
        <f>DECEMBER!Y39</f>
        <v>4452.2293173851112</v>
      </c>
      <c r="AA15" s="106">
        <f>DECEMBER!Z39</f>
        <v>2657.3013378177611</v>
      </c>
      <c r="AB15" s="106">
        <f>DECEMBER!AA39</f>
        <v>0</v>
      </c>
      <c r="AC15" s="108">
        <f>DECEMBER!AB39</f>
        <v>1564.6677741421649</v>
      </c>
      <c r="AD15" s="108">
        <f>DECEMBER!AC39</f>
        <v>0</v>
      </c>
      <c r="AE15" s="100">
        <f>DECEMBER!AD40</f>
        <v>371.3258403812514</v>
      </c>
      <c r="AF15" s="100">
        <f>DECEMBER!AE40</f>
        <v>229.28123767016072</v>
      </c>
      <c r="AG15" s="100">
        <f>DECEMBER!AF40</f>
        <v>136.88402935537965</v>
      </c>
      <c r="AH15" s="93">
        <f>DECEMBER!AG40</f>
        <v>0.62616872302682958</v>
      </c>
    </row>
    <row r="16" spans="1:34" ht="15.75" customHeight="1" x14ac:dyDescent="0.25">
      <c r="A16" s="413" t="s">
        <v>162</v>
      </c>
      <c r="B16" s="414"/>
      <c r="C16" s="142" t="s">
        <v>100</v>
      </c>
      <c r="D16" s="142" t="s">
        <v>100</v>
      </c>
      <c r="E16" s="142" t="s">
        <v>100</v>
      </c>
      <c r="F16" s="142" t="s">
        <v>100</v>
      </c>
      <c r="G16" s="142" t="s">
        <v>100</v>
      </c>
      <c r="H16" s="142" t="s">
        <v>101</v>
      </c>
      <c r="I16" s="142" t="s">
        <v>100</v>
      </c>
      <c r="J16" s="142" t="s">
        <v>100</v>
      </c>
      <c r="K16" s="142" t="s">
        <v>100</v>
      </c>
      <c r="L16" s="144" t="s">
        <v>100</v>
      </c>
      <c r="M16" s="144" t="s">
        <v>100</v>
      </c>
      <c r="N16" s="144" t="s">
        <v>100</v>
      </c>
      <c r="O16" s="144" t="s">
        <v>100</v>
      </c>
      <c r="P16" s="144" t="s">
        <v>100</v>
      </c>
      <c r="Q16" s="144" t="s">
        <v>100</v>
      </c>
      <c r="R16" s="144" t="s">
        <v>100</v>
      </c>
      <c r="S16" s="144" t="s">
        <v>100</v>
      </c>
      <c r="T16" s="144" t="s">
        <v>100</v>
      </c>
      <c r="U16" s="144" t="s">
        <v>100</v>
      </c>
      <c r="V16" s="142" t="s">
        <v>101</v>
      </c>
      <c r="W16" s="142" t="s">
        <v>101</v>
      </c>
      <c r="X16" s="144" t="s">
        <v>100</v>
      </c>
      <c r="Y16" s="144" t="s">
        <v>100</v>
      </c>
      <c r="Z16" s="144" t="s">
        <v>100</v>
      </c>
      <c r="AA16" s="144" t="s">
        <v>100</v>
      </c>
      <c r="AB16" s="144" t="s">
        <v>100</v>
      </c>
      <c r="AC16" s="142" t="s">
        <v>101</v>
      </c>
      <c r="AD16" s="173" t="s">
        <v>100</v>
      </c>
      <c r="AE16" s="242" t="s">
        <v>28</v>
      </c>
      <c r="AF16" s="242" t="s">
        <v>28</v>
      </c>
      <c r="AG16" s="242" t="s">
        <v>28</v>
      </c>
      <c r="AH16" s="243" t="s">
        <v>34</v>
      </c>
    </row>
    <row r="17" spans="1:34" ht="15.75" customHeight="1" thickBot="1" x14ac:dyDescent="0.3">
      <c r="A17" s="94" t="s">
        <v>65</v>
      </c>
      <c r="B17" s="95" t="s">
        <v>64</v>
      </c>
      <c r="C17" s="109">
        <f>SUM(C4:C15)</f>
        <v>0</v>
      </c>
      <c r="D17" s="109">
        <f t="shared" ref="D17:AG17" si="0">SUM(D4:D15)</f>
        <v>15062.139249867616</v>
      </c>
      <c r="E17" s="109">
        <f t="shared" si="0"/>
        <v>188675.41657004593</v>
      </c>
      <c r="F17" s="109">
        <f t="shared" si="0"/>
        <v>4050.7028109174967</v>
      </c>
      <c r="G17" s="109">
        <f t="shared" si="0"/>
        <v>0.6249561190605164</v>
      </c>
      <c r="H17" s="109">
        <f t="shared" si="0"/>
        <v>580568.69194049819</v>
      </c>
      <c r="I17" s="109">
        <f t="shared" si="0"/>
        <v>6833.1207544748031</v>
      </c>
      <c r="J17" s="109">
        <f t="shared" si="0"/>
        <v>84456.342870241802</v>
      </c>
      <c r="K17" s="109">
        <f t="shared" si="0"/>
        <v>158012.25392068631</v>
      </c>
      <c r="L17" s="109">
        <f t="shared" si="0"/>
        <v>8242.8103590220217</v>
      </c>
      <c r="M17" s="109">
        <f t="shared" si="0"/>
        <v>0</v>
      </c>
      <c r="N17" s="109">
        <f t="shared" si="0"/>
        <v>37.053008772432797</v>
      </c>
      <c r="O17" s="109">
        <f t="shared" si="0"/>
        <v>0.68754923343658447</v>
      </c>
      <c r="P17" s="109">
        <f t="shared" si="0"/>
        <v>0</v>
      </c>
      <c r="Q17" s="109">
        <f t="shared" si="0"/>
        <v>0</v>
      </c>
      <c r="R17" s="109">
        <f t="shared" si="0"/>
        <v>0</v>
      </c>
      <c r="S17" s="109">
        <f t="shared" si="0"/>
        <v>0</v>
      </c>
      <c r="T17" s="109">
        <f t="shared" si="0"/>
        <v>0</v>
      </c>
      <c r="U17" s="109">
        <f t="shared" si="0"/>
        <v>0</v>
      </c>
      <c r="V17" s="109">
        <f t="shared" si="0"/>
        <v>97968.824317398918</v>
      </c>
      <c r="W17" s="109">
        <f t="shared" si="0"/>
        <v>34474.235498054324</v>
      </c>
      <c r="X17" s="109">
        <f t="shared" si="0"/>
        <v>9258.9002832499827</v>
      </c>
      <c r="Y17" s="109">
        <f t="shared" si="0"/>
        <v>3650.3569905944514</v>
      </c>
      <c r="Z17" s="109">
        <f t="shared" si="0"/>
        <v>84473.076420974889</v>
      </c>
      <c r="AA17" s="109">
        <f t="shared" si="0"/>
        <v>30836.941562788044</v>
      </c>
      <c r="AB17" s="109">
        <f t="shared" si="0"/>
        <v>0</v>
      </c>
      <c r="AC17" s="109">
        <f t="shared" si="0"/>
        <v>13669.187592844872</v>
      </c>
      <c r="AD17" s="109">
        <f t="shared" si="0"/>
        <v>0</v>
      </c>
      <c r="AE17" s="96">
        <f t="shared" si="0"/>
        <v>4363.3744050878295</v>
      </c>
      <c r="AF17" s="96">
        <f t="shared" si="0"/>
        <v>3139.2116760337271</v>
      </c>
      <c r="AG17" s="96">
        <f t="shared" si="0"/>
        <v>1180.4271202146288</v>
      </c>
      <c r="AH17" s="226">
        <f>IF(SUM(AF17:AG17)&gt;0, AF17/(AF17+AG17), "")</f>
        <v>0.72673013279725152</v>
      </c>
    </row>
    <row r="18" spans="1:34" ht="15.75" customHeight="1" thickTop="1" x14ac:dyDescent="0.25">
      <c r="A18" s="408" t="s">
        <v>87</v>
      </c>
      <c r="B18" s="89" t="s">
        <v>52</v>
      </c>
      <c r="C18" s="110">
        <f>JANUARY!B41</f>
        <v>0</v>
      </c>
      <c r="D18" s="110">
        <f>JANUARY!C41</f>
        <v>0</v>
      </c>
      <c r="E18" s="110">
        <f>JANUARY!D41</f>
        <v>3.3627726386010651E-2</v>
      </c>
      <c r="F18" s="110">
        <f>JANUARY!E41</f>
        <v>0</v>
      </c>
      <c r="G18" s="110">
        <f>JANUARY!F41</f>
        <v>0</v>
      </c>
      <c r="H18" s="110">
        <f>JANUARY!G41</f>
        <v>0</v>
      </c>
      <c r="I18" s="110">
        <f>JANUARY!H41</f>
        <v>0</v>
      </c>
      <c r="J18" s="110">
        <f>JANUARY!I41</f>
        <v>0</v>
      </c>
      <c r="K18" s="110">
        <f>JANUARY!J41</f>
        <v>0</v>
      </c>
      <c r="L18" s="111">
        <f>JANUARY!K41</f>
        <v>0</v>
      </c>
      <c r="M18" s="110">
        <f>JANUARY!L41</f>
        <v>0</v>
      </c>
      <c r="N18" s="110">
        <f>JANUARY!M41</f>
        <v>0</v>
      </c>
      <c r="O18" s="112">
        <f>JANUARY!N41</f>
        <v>0</v>
      </c>
      <c r="P18" s="112">
        <f>JANUARY!O41</f>
        <v>0</v>
      </c>
      <c r="Q18" s="110">
        <f>JANUARY!P41</f>
        <v>0</v>
      </c>
      <c r="R18" s="110">
        <f>JANUARY!Q41</f>
        <v>0</v>
      </c>
      <c r="S18" s="110">
        <f>JANUARY!R41</f>
        <v>0</v>
      </c>
      <c r="T18" s="110">
        <f>JANUARY!S41</f>
        <v>0</v>
      </c>
      <c r="U18" s="110">
        <f>JANUARY!T41</f>
        <v>0</v>
      </c>
      <c r="V18" s="110">
        <f>JANUARY!U41</f>
        <v>0</v>
      </c>
      <c r="W18" s="110">
        <f>JANUARY!V41</f>
        <v>0</v>
      </c>
      <c r="X18" s="110">
        <f>JANUARY!W41</f>
        <v>0</v>
      </c>
      <c r="Y18" s="110">
        <f>JANUARY!X41</f>
        <v>0</v>
      </c>
      <c r="Z18" s="110">
        <f>JANUARY!Y41</f>
        <v>0</v>
      </c>
      <c r="AA18" s="110">
        <f>JANUARY!Z41</f>
        <v>0</v>
      </c>
      <c r="AB18" s="110">
        <f>JANUARY!AA41</f>
        <v>0</v>
      </c>
      <c r="AC18" s="113">
        <f>JANUARY!AB41</f>
        <v>0</v>
      </c>
      <c r="AD18" s="113">
        <f>JANUARY!AC41</f>
        <v>0</v>
      </c>
      <c r="AE18" s="123"/>
      <c r="AF18" s="123"/>
      <c r="AG18" s="123"/>
      <c r="AH18" s="124"/>
    </row>
    <row r="19" spans="1:34" ht="15.75" customHeight="1" x14ac:dyDescent="0.25">
      <c r="A19" s="409"/>
      <c r="B19" s="90" t="s">
        <v>53</v>
      </c>
      <c r="C19" s="114">
        <f>FEBRUARY!B40</f>
        <v>0</v>
      </c>
      <c r="D19" s="114">
        <f>FEBRUARY!C40</f>
        <v>0</v>
      </c>
      <c r="E19" s="114">
        <f>FEBRUARY!D40</f>
        <v>0</v>
      </c>
      <c r="F19" s="114">
        <f>FEBRUARY!E40</f>
        <v>0</v>
      </c>
      <c r="G19" s="114">
        <f>FEBRUARY!F40</f>
        <v>0</v>
      </c>
      <c r="H19" s="114">
        <f>FEBRUARY!G40</f>
        <v>0</v>
      </c>
      <c r="I19" s="114">
        <f>FEBRUARY!H40</f>
        <v>0</v>
      </c>
      <c r="J19" s="114">
        <f>FEBRUARY!I40</f>
        <v>0</v>
      </c>
      <c r="K19" s="114">
        <f>FEBRUARY!J40</f>
        <v>0</v>
      </c>
      <c r="L19" s="115">
        <f>FEBRUARY!K40</f>
        <v>0</v>
      </c>
      <c r="M19" s="114">
        <f>FEBRUARY!L40</f>
        <v>0</v>
      </c>
      <c r="N19" s="114">
        <f>FEBRUARY!M40</f>
        <v>0</v>
      </c>
      <c r="O19" s="116">
        <f>FEBRUARY!N40</f>
        <v>0</v>
      </c>
      <c r="P19" s="116">
        <f>FEBRUARY!O40</f>
        <v>0</v>
      </c>
      <c r="Q19" s="114">
        <f>FEBRUARY!P40</f>
        <v>0</v>
      </c>
      <c r="R19" s="114">
        <f>FEBRUARY!Q40</f>
        <v>0</v>
      </c>
      <c r="S19" s="114">
        <f>FEBRUARY!R40</f>
        <v>0</v>
      </c>
      <c r="T19" s="114">
        <f>FEBRUARY!S40</f>
        <v>0</v>
      </c>
      <c r="U19" s="114">
        <f>FEBRUARY!T40</f>
        <v>0</v>
      </c>
      <c r="V19" s="114">
        <f>FEBRUARY!U40</f>
        <v>0</v>
      </c>
      <c r="W19" s="114">
        <f>FEBRUARY!V40</f>
        <v>0</v>
      </c>
      <c r="X19" s="114">
        <f>FEBRUARY!W40</f>
        <v>0</v>
      </c>
      <c r="Y19" s="114">
        <f>FEBRUARY!X40</f>
        <v>0</v>
      </c>
      <c r="Z19" s="114">
        <f>FEBRUARY!Y40</f>
        <v>0</v>
      </c>
      <c r="AA19" s="114">
        <f>FEBRUARY!Z40</f>
        <v>0</v>
      </c>
      <c r="AB19" s="114">
        <f>FEBRUARY!AA40</f>
        <v>0</v>
      </c>
      <c r="AC19" s="117">
        <f>FEBRUARY!AB40</f>
        <v>0</v>
      </c>
      <c r="AD19" s="117">
        <f>FEBRUARY!AC40</f>
        <v>0</v>
      </c>
      <c r="AE19" s="125"/>
      <c r="AF19" s="125"/>
      <c r="AG19" s="125"/>
      <c r="AH19" s="126"/>
    </row>
    <row r="20" spans="1:34" ht="15.75" customHeight="1" x14ac:dyDescent="0.25">
      <c r="A20" s="409"/>
      <c r="B20" s="90" t="s">
        <v>54</v>
      </c>
      <c r="C20" s="114">
        <f>MARCH!B41</f>
        <v>0</v>
      </c>
      <c r="D20" s="114">
        <f>MARCH!C41</f>
        <v>0</v>
      </c>
      <c r="E20" s="114">
        <f>MARCH!D41</f>
        <v>0</v>
      </c>
      <c r="F20" s="114">
        <f>MARCH!E41</f>
        <v>0</v>
      </c>
      <c r="G20" s="114">
        <f>MARCH!F41</f>
        <v>0</v>
      </c>
      <c r="H20" s="114">
        <f>MARCH!G41</f>
        <v>0</v>
      </c>
      <c r="I20" s="114">
        <f>MARCH!H41</f>
        <v>0</v>
      </c>
      <c r="J20" s="114">
        <f>MARCH!I41</f>
        <v>0</v>
      </c>
      <c r="K20" s="114">
        <f>MARCH!J41</f>
        <v>0</v>
      </c>
      <c r="L20" s="115">
        <f>MARCH!K41</f>
        <v>0</v>
      </c>
      <c r="M20" s="114">
        <f>MARCH!L41</f>
        <v>0</v>
      </c>
      <c r="N20" s="114">
        <f>MARCH!M41</f>
        <v>0</v>
      </c>
      <c r="O20" s="116">
        <f>MARCH!N41</f>
        <v>0</v>
      </c>
      <c r="P20" s="116">
        <f>MARCH!O41</f>
        <v>0</v>
      </c>
      <c r="Q20" s="114">
        <f>MARCH!P41</f>
        <v>0</v>
      </c>
      <c r="R20" s="114">
        <f>MARCH!Q41</f>
        <v>0</v>
      </c>
      <c r="S20" s="114">
        <f>MARCH!R41</f>
        <v>0</v>
      </c>
      <c r="T20" s="114">
        <f>MARCH!S41</f>
        <v>0</v>
      </c>
      <c r="U20" s="114">
        <f>MARCH!T41</f>
        <v>0</v>
      </c>
      <c r="V20" s="114">
        <f>MARCH!U41</f>
        <v>0</v>
      </c>
      <c r="W20" s="114">
        <f>MARCH!V41</f>
        <v>0</v>
      </c>
      <c r="X20" s="114">
        <f>MARCH!W41</f>
        <v>0</v>
      </c>
      <c r="Y20" s="114">
        <f>MARCH!X41</f>
        <v>0</v>
      </c>
      <c r="Z20" s="114">
        <f>MARCH!Y41</f>
        <v>0</v>
      </c>
      <c r="AA20" s="114">
        <f>MARCH!Z41</f>
        <v>0</v>
      </c>
      <c r="AB20" s="114">
        <f>MARCH!AA41</f>
        <v>0</v>
      </c>
      <c r="AC20" s="117">
        <f>MARCH!AB41</f>
        <v>0</v>
      </c>
      <c r="AD20" s="117">
        <f>MARCH!AC41</f>
        <v>0</v>
      </c>
      <c r="AE20" s="125"/>
      <c r="AF20" s="125"/>
      <c r="AG20" s="125"/>
      <c r="AH20" s="126"/>
    </row>
    <row r="21" spans="1:34" ht="15.75" customHeight="1" x14ac:dyDescent="0.25">
      <c r="A21" s="409"/>
      <c r="B21" s="90" t="s">
        <v>55</v>
      </c>
      <c r="C21" s="114">
        <f>APRIL!B41</f>
        <v>0</v>
      </c>
      <c r="D21" s="114">
        <f>APRIL!C41</f>
        <v>0</v>
      </c>
      <c r="E21" s="114">
        <f>APRIL!D41</f>
        <v>0</v>
      </c>
      <c r="F21" s="114">
        <f>APRIL!E41</f>
        <v>0</v>
      </c>
      <c r="G21" s="114">
        <f>APRIL!F41</f>
        <v>0</v>
      </c>
      <c r="H21" s="114">
        <f>APRIL!G41</f>
        <v>0</v>
      </c>
      <c r="I21" s="114">
        <f>APRIL!H41</f>
        <v>0</v>
      </c>
      <c r="J21" s="114">
        <f>APRIL!I41</f>
        <v>0</v>
      </c>
      <c r="K21" s="114">
        <f>APRIL!J41</f>
        <v>0</v>
      </c>
      <c r="L21" s="115">
        <f>APRIL!K41</f>
        <v>0</v>
      </c>
      <c r="M21" s="114">
        <f>APRIL!L41</f>
        <v>0</v>
      </c>
      <c r="N21" s="114">
        <f>APRIL!M41</f>
        <v>0</v>
      </c>
      <c r="O21" s="116">
        <f>APRIL!N41</f>
        <v>0</v>
      </c>
      <c r="P21" s="116">
        <f>APRIL!O41</f>
        <v>0</v>
      </c>
      <c r="Q21" s="114">
        <f>APRIL!P41</f>
        <v>0</v>
      </c>
      <c r="R21" s="114">
        <f>APRIL!Q41</f>
        <v>0</v>
      </c>
      <c r="S21" s="114">
        <f>APRIL!R41</f>
        <v>0</v>
      </c>
      <c r="T21" s="114">
        <f>APRIL!S41</f>
        <v>0</v>
      </c>
      <c r="U21" s="114">
        <f>APRIL!T41</f>
        <v>0</v>
      </c>
      <c r="V21" s="114">
        <f>APRIL!U41</f>
        <v>0</v>
      </c>
      <c r="W21" s="114">
        <f>APRIL!V41</f>
        <v>0</v>
      </c>
      <c r="X21" s="114">
        <f>APRIL!W41</f>
        <v>0</v>
      </c>
      <c r="Y21" s="114">
        <f>APRIL!X41</f>
        <v>0</v>
      </c>
      <c r="Z21" s="114">
        <f>APRIL!Y41</f>
        <v>0</v>
      </c>
      <c r="AA21" s="114">
        <f>APRIL!Z41</f>
        <v>0</v>
      </c>
      <c r="AB21" s="114">
        <f>APRIL!AA41</f>
        <v>0</v>
      </c>
      <c r="AC21" s="117">
        <f>APRIL!AB41</f>
        <v>0</v>
      </c>
      <c r="AD21" s="117">
        <f>APRIL!AC41</f>
        <v>0</v>
      </c>
      <c r="AE21" s="125"/>
      <c r="AF21" s="125"/>
      <c r="AG21" s="125"/>
      <c r="AH21" s="126"/>
    </row>
    <row r="22" spans="1:34" ht="15.75" customHeight="1" x14ac:dyDescent="0.25">
      <c r="A22" s="409"/>
      <c r="B22" s="90" t="s">
        <v>56</v>
      </c>
      <c r="C22" s="114">
        <f>MAY!B41</f>
        <v>0</v>
      </c>
      <c r="D22" s="114">
        <f>MAY!C41</f>
        <v>0</v>
      </c>
      <c r="E22" s="114">
        <f>MAY!D41</f>
        <v>0</v>
      </c>
      <c r="F22" s="114">
        <f>MAY!E41</f>
        <v>0</v>
      </c>
      <c r="G22" s="114">
        <f>MAY!F41</f>
        <v>0</v>
      </c>
      <c r="H22" s="114">
        <f>MAY!G41</f>
        <v>0</v>
      </c>
      <c r="I22" s="114">
        <f>MAY!H41</f>
        <v>0</v>
      </c>
      <c r="J22" s="114">
        <f>MAY!I41</f>
        <v>3917.1466403198883</v>
      </c>
      <c r="K22" s="114">
        <f>MAY!J41</f>
        <v>17009.058387176181</v>
      </c>
      <c r="L22" s="115">
        <f>MAY!K41</f>
        <v>2865.7558453109905</v>
      </c>
      <c r="M22" s="114">
        <f>MAY!L41</f>
        <v>0</v>
      </c>
      <c r="N22" s="114">
        <f>MAY!M41</f>
        <v>0</v>
      </c>
      <c r="O22" s="116">
        <f>MAY!N41</f>
        <v>0</v>
      </c>
      <c r="P22" s="116">
        <f>MAY!O41</f>
        <v>0</v>
      </c>
      <c r="Q22" s="114">
        <f>MAY!P41</f>
        <v>0</v>
      </c>
      <c r="R22" s="114">
        <f>MAY!Q41</f>
        <v>0</v>
      </c>
      <c r="S22" s="114">
        <f>MAY!R41</f>
        <v>0</v>
      </c>
      <c r="T22" s="114">
        <f>MAY!S41</f>
        <v>0</v>
      </c>
      <c r="U22" s="114">
        <f>MAY!T41</f>
        <v>0</v>
      </c>
      <c r="V22" s="114">
        <f>MAY!U41</f>
        <v>1423.1362447343756</v>
      </c>
      <c r="W22" s="114">
        <f>MAY!V41</f>
        <v>0</v>
      </c>
      <c r="X22" s="114">
        <f>MAY!W41</f>
        <v>641.75025716424022</v>
      </c>
      <c r="Y22" s="114">
        <f>MAY!X41</f>
        <v>0</v>
      </c>
      <c r="Z22" s="114">
        <f>MAY!Y41</f>
        <v>8588.3032983473659</v>
      </c>
      <c r="AA22" s="114">
        <f>MAY!Z41</f>
        <v>0</v>
      </c>
      <c r="AB22" s="114">
        <f>MAY!AA41</f>
        <v>0</v>
      </c>
      <c r="AC22" s="117">
        <f>MAY!AB41</f>
        <v>263.33266668478893</v>
      </c>
      <c r="AD22" s="117">
        <f>MAY!AC41</f>
        <v>0</v>
      </c>
      <c r="AE22" s="125"/>
      <c r="AF22" s="125"/>
      <c r="AG22" s="125"/>
      <c r="AH22" s="126"/>
    </row>
    <row r="23" spans="1:34" ht="15.75" customHeight="1" x14ac:dyDescent="0.25">
      <c r="A23" s="409"/>
      <c r="B23" s="90" t="s">
        <v>57</v>
      </c>
      <c r="C23" s="114">
        <f>JUNE!B41</f>
        <v>0</v>
      </c>
      <c r="D23" s="114">
        <f>JUNE!C41</f>
        <v>1121.5340672564116</v>
      </c>
      <c r="E23" s="114">
        <f>JUNE!D41</f>
        <v>23794.937241734533</v>
      </c>
      <c r="F23" s="114">
        <f>JUNE!E41</f>
        <v>942.39454786743056</v>
      </c>
      <c r="G23" s="114">
        <f>JUNE!F41</f>
        <v>0</v>
      </c>
      <c r="H23" s="114">
        <f>JUNE!G41</f>
        <v>1903.6465094060895</v>
      </c>
      <c r="I23" s="114">
        <f>JUNE!H41</f>
        <v>2020.4015302944024</v>
      </c>
      <c r="J23" s="114">
        <f>JUNE!I41</f>
        <v>12279.290909265239</v>
      </c>
      <c r="K23" s="114">
        <f>JUNE!J41</f>
        <v>52707.28086755862</v>
      </c>
      <c r="L23" s="115">
        <f>JUNE!K41</f>
        <v>8839.7680433360238</v>
      </c>
      <c r="M23" s="114">
        <f>JUNE!L41</f>
        <v>0</v>
      </c>
      <c r="N23" s="114">
        <f>JUNE!M41</f>
        <v>0</v>
      </c>
      <c r="O23" s="116">
        <f>JUNE!N41</f>
        <v>0</v>
      </c>
      <c r="P23" s="116">
        <f>JUNE!O41</f>
        <v>0</v>
      </c>
      <c r="Q23" s="114">
        <f>JUNE!P41</f>
        <v>0</v>
      </c>
      <c r="R23" s="114">
        <f>JUNE!Q41</f>
        <v>0</v>
      </c>
      <c r="S23" s="114">
        <f>JUNE!R41</f>
        <v>0</v>
      </c>
      <c r="T23" s="114">
        <f>JUNE!S41</f>
        <v>0</v>
      </c>
      <c r="U23" s="114">
        <f>JUNE!T41</f>
        <v>0</v>
      </c>
      <c r="V23" s="114">
        <f>JUNE!U41</f>
        <v>5784.1532810713097</v>
      </c>
      <c r="W23" s="114">
        <f>JUNE!V41</f>
        <v>643.18925748429012</v>
      </c>
      <c r="X23" s="114">
        <f>JUNE!W41</f>
        <v>2607.2240850713683</v>
      </c>
      <c r="Y23" s="114">
        <f>JUNE!X41</f>
        <v>289.96720044780534</v>
      </c>
      <c r="Z23" s="114">
        <f>JUNE!Y41</f>
        <v>42623.703209204417</v>
      </c>
      <c r="AA23" s="114">
        <f>JUNE!Z41</f>
        <v>4767.7510491923649</v>
      </c>
      <c r="AB23" s="114">
        <f>JUNE!AA41</f>
        <v>0</v>
      </c>
      <c r="AC23" s="117">
        <f>JUNE!AB41</f>
        <v>466.46835364059859</v>
      </c>
      <c r="AD23" s="117">
        <f>JUNE!AC41</f>
        <v>0</v>
      </c>
      <c r="AE23" s="125"/>
      <c r="AF23" s="125"/>
      <c r="AG23" s="125"/>
      <c r="AH23" s="126"/>
    </row>
    <row r="24" spans="1:34" ht="15.75" customHeight="1" x14ac:dyDescent="0.25">
      <c r="A24" s="409"/>
      <c r="B24" s="90" t="s">
        <v>58</v>
      </c>
      <c r="C24" s="114">
        <f>JULY!B41</f>
        <v>0</v>
      </c>
      <c r="D24" s="114">
        <f>JULY!C41</f>
        <v>3359.4983732987735</v>
      </c>
      <c r="E24" s="114">
        <f>JULY!D41</f>
        <v>80313.881997848031</v>
      </c>
      <c r="F24" s="114">
        <f>JULY!E41</f>
        <v>2809.1422781186484</v>
      </c>
      <c r="G24" s="114">
        <f>JULY!F41</f>
        <v>0</v>
      </c>
      <c r="H24" s="114">
        <f>JULY!G41</f>
        <v>5911.582276776312</v>
      </c>
      <c r="I24" s="114">
        <f>JULY!H41</f>
        <v>5199.4607491032793</v>
      </c>
      <c r="J24" s="114">
        <f>JULY!I41</f>
        <v>12734.503334326862</v>
      </c>
      <c r="K24" s="114">
        <f>JULY!J41</f>
        <v>36020.221646101054</v>
      </c>
      <c r="L24" s="115">
        <f>JULY!K41</f>
        <v>6391.8088276533417</v>
      </c>
      <c r="M24" s="114">
        <f>JULY!L41</f>
        <v>0</v>
      </c>
      <c r="N24" s="114">
        <f>JULY!M41</f>
        <v>0</v>
      </c>
      <c r="O24" s="116">
        <f>JULY!N41</f>
        <v>0</v>
      </c>
      <c r="P24" s="116">
        <f>JULY!O41</f>
        <v>0</v>
      </c>
      <c r="Q24" s="114">
        <f>JULY!P41</f>
        <v>0</v>
      </c>
      <c r="R24" s="114">
        <f>JULY!Q41</f>
        <v>0</v>
      </c>
      <c r="S24" s="114">
        <f>JULY!R41</f>
        <v>0</v>
      </c>
      <c r="T24" s="114">
        <f>JULY!S41</f>
        <v>0</v>
      </c>
      <c r="U24" s="114">
        <f>JULY!T41</f>
        <v>0</v>
      </c>
      <c r="V24" s="114">
        <f>JULY!U41</f>
        <v>5553.8011077853498</v>
      </c>
      <c r="W24" s="114">
        <f>JULY!V41</f>
        <v>2043.0358878023899</v>
      </c>
      <c r="X24" s="114">
        <f>JULY!W41</f>
        <v>2339.5991988528899</v>
      </c>
      <c r="Y24" s="114">
        <f>JULY!X41</f>
        <v>861.34947973746762</v>
      </c>
      <c r="Z24" s="114">
        <f>JULY!Y41</f>
        <v>34246.850458299465</v>
      </c>
      <c r="AA24" s="114">
        <f>JULY!Z41</f>
        <v>12642.959295900382</v>
      </c>
      <c r="AB24" s="114">
        <f>JULY!AA41</f>
        <v>0</v>
      </c>
      <c r="AC24" s="117">
        <f>JULY!AB41</f>
        <v>547.63426448074915</v>
      </c>
      <c r="AD24" s="117">
        <f>JULY!AC41</f>
        <v>0</v>
      </c>
      <c r="AE24" s="125"/>
      <c r="AF24" s="125"/>
      <c r="AG24" s="125"/>
      <c r="AH24" s="126"/>
    </row>
    <row r="25" spans="1:34" ht="15.75" customHeight="1" x14ac:dyDescent="0.25">
      <c r="A25" s="409"/>
      <c r="B25" s="90" t="s">
        <v>59</v>
      </c>
      <c r="C25" s="114">
        <f>AUGUST!B41</f>
        <v>0</v>
      </c>
      <c r="D25" s="114">
        <f>AUGUST!C41</f>
        <v>5169.3770927593805</v>
      </c>
      <c r="E25" s="114">
        <f>AUGUST!D41</f>
        <v>104901.9798291035</v>
      </c>
      <c r="F25" s="114">
        <f>AUGUST!E41</f>
        <v>4410.6250234724412</v>
      </c>
      <c r="G25" s="114">
        <f>AUGUST!F41</f>
        <v>0</v>
      </c>
      <c r="H25" s="114">
        <f>AUGUST!G41</f>
        <v>7409.754548249246</v>
      </c>
      <c r="I25" s="114">
        <f>AUGUST!H41</f>
        <v>6056.5538745604663</v>
      </c>
      <c r="J25" s="114">
        <f>AUGUST!I41</f>
        <v>10599.036028537223</v>
      </c>
      <c r="K25" s="114">
        <f>AUGUST!J41</f>
        <v>24604.324188300066</v>
      </c>
      <c r="L25" s="115">
        <f>AUGUST!K41</f>
        <v>4670.3682826704626</v>
      </c>
      <c r="M25" s="114">
        <f>AUGUST!L41</f>
        <v>0</v>
      </c>
      <c r="N25" s="114">
        <f>AUGUST!M41</f>
        <v>0</v>
      </c>
      <c r="O25" s="116">
        <f>AUGUST!N41</f>
        <v>0</v>
      </c>
      <c r="P25" s="116">
        <f>AUGUST!O41</f>
        <v>0</v>
      </c>
      <c r="Q25" s="114">
        <f>AUGUST!P41</f>
        <v>0</v>
      </c>
      <c r="R25" s="114">
        <f>AUGUST!Q41</f>
        <v>0</v>
      </c>
      <c r="S25" s="114">
        <f>AUGUST!R41</f>
        <v>0</v>
      </c>
      <c r="T25" s="114">
        <f>AUGUST!S41</f>
        <v>0</v>
      </c>
      <c r="U25" s="114">
        <f>AUGUST!T41</f>
        <v>0</v>
      </c>
      <c r="V25" s="114">
        <f>AUGUST!U41</f>
        <v>3703.7950812558897</v>
      </c>
      <c r="W25" s="114">
        <f>AUGUST!V41</f>
        <v>2111.6248329894238</v>
      </c>
      <c r="X25" s="114">
        <f>AUGUST!W41</f>
        <v>2670.2548487761092</v>
      </c>
      <c r="Y25" s="114">
        <f>AUGUST!X41</f>
        <v>1567.5280991481266</v>
      </c>
      <c r="Z25" s="114">
        <f>AUGUST!Y41</f>
        <v>29206.338339707469</v>
      </c>
      <c r="AA25" s="114">
        <f>AUGUST!Z41</f>
        <v>16851.185887236312</v>
      </c>
      <c r="AB25" s="114">
        <f>AUGUST!AA41</f>
        <v>0</v>
      </c>
      <c r="AC25" s="117">
        <f>AUGUST!AB41</f>
        <v>574.7117937539598</v>
      </c>
      <c r="AD25" s="117">
        <f>AUGUST!AC41</f>
        <v>0</v>
      </c>
      <c r="AE25" s="125"/>
      <c r="AF25" s="125"/>
      <c r="AG25" s="125"/>
      <c r="AH25" s="126"/>
    </row>
    <row r="26" spans="1:34" ht="15.75" customHeight="1" x14ac:dyDescent="0.25">
      <c r="A26" s="409"/>
      <c r="B26" s="90" t="s">
        <v>60</v>
      </c>
      <c r="C26" s="114">
        <f>SEPTEMBER!B40</f>
        <v>0</v>
      </c>
      <c r="D26" s="114">
        <f>SEPTEMBER!C40</f>
        <v>3534.7574035584148</v>
      </c>
      <c r="E26" s="114">
        <f>SEPTEMBER!D40</f>
        <v>73486.423310153201</v>
      </c>
      <c r="F26" s="114">
        <f>SEPTEMBER!E40</f>
        <v>3263.9032092092493</v>
      </c>
      <c r="G26" s="114">
        <f>SEPTEMBER!F40</f>
        <v>0</v>
      </c>
      <c r="H26" s="114">
        <f>SEPTEMBER!G40</f>
        <v>5783.3194022274029</v>
      </c>
      <c r="I26" s="114">
        <f>SEPTEMBER!H40</f>
        <v>3919.8570828910561</v>
      </c>
      <c r="J26" s="114">
        <f>SEPTEMBER!I40</f>
        <v>9943.885488572223</v>
      </c>
      <c r="K26" s="114">
        <f>SEPTEMBER!J40</f>
        <v>20531.775333163368</v>
      </c>
      <c r="L26" s="115">
        <f>SEPTEMBER!K40</f>
        <v>3589.5993373078372</v>
      </c>
      <c r="M26" s="114">
        <f>SEPTEMBER!L40</f>
        <v>0</v>
      </c>
      <c r="N26" s="114">
        <f>SEPTEMBER!M40</f>
        <v>0</v>
      </c>
      <c r="O26" s="116">
        <f>SEPTEMBER!N40</f>
        <v>0</v>
      </c>
      <c r="P26" s="116">
        <f>SEPTEMBER!O40</f>
        <v>0</v>
      </c>
      <c r="Q26" s="114">
        <f>SEPTEMBER!P40</f>
        <v>0</v>
      </c>
      <c r="R26" s="114">
        <f>SEPTEMBER!Q40</f>
        <v>0</v>
      </c>
      <c r="S26" s="114">
        <f>SEPTEMBER!R40</f>
        <v>0</v>
      </c>
      <c r="T26" s="114">
        <f>SEPTEMBER!S40</f>
        <v>0</v>
      </c>
      <c r="U26" s="114">
        <f>SEPTEMBER!T40</f>
        <v>0</v>
      </c>
      <c r="V26" s="114">
        <f>SEPTEMBER!U40</f>
        <v>2904.405584657196</v>
      </c>
      <c r="W26" s="114">
        <f>SEPTEMBER!V40</f>
        <v>1371.6257555213961</v>
      </c>
      <c r="X26" s="114">
        <f>SEPTEMBER!W40</f>
        <v>2290.1293082646744</v>
      </c>
      <c r="Y26" s="114">
        <f>SEPTEMBER!X40</f>
        <v>1082.7173266329139</v>
      </c>
      <c r="Z26" s="114">
        <f>SEPTEMBER!Y40</f>
        <v>27323.800897288482</v>
      </c>
      <c r="AA26" s="114">
        <f>SEPTEMBER!Z40</f>
        <v>13134.694442833077</v>
      </c>
      <c r="AB26" s="114">
        <f>SEPTEMBER!AA40</f>
        <v>0</v>
      </c>
      <c r="AC26" s="117">
        <f>SEPTEMBER!AB40</f>
        <v>467.40277625378297</v>
      </c>
      <c r="AD26" s="117">
        <f>SEPTEMBER!AC40</f>
        <v>0</v>
      </c>
      <c r="AE26" s="125"/>
      <c r="AF26" s="125"/>
      <c r="AG26" s="125"/>
      <c r="AH26" s="126"/>
    </row>
    <row r="27" spans="1:34" ht="15.75" customHeight="1" x14ac:dyDescent="0.25">
      <c r="A27" s="409"/>
      <c r="B27" s="90" t="s">
        <v>61</v>
      </c>
      <c r="C27" s="114">
        <f>OCTOBER!B41</f>
        <v>0</v>
      </c>
      <c r="D27" s="114">
        <f>OCTOBER!C41</f>
        <v>2141.4648067349503</v>
      </c>
      <c r="E27" s="114">
        <f>OCTOBER!D41</f>
        <v>42959.630389817547</v>
      </c>
      <c r="F27" s="114">
        <f>OCTOBER!E41</f>
        <v>2002.2065028596496</v>
      </c>
      <c r="G27" s="114">
        <f>OCTOBER!F41</f>
        <v>0</v>
      </c>
      <c r="H27" s="114">
        <f>OCTOBER!G41</f>
        <v>3201.7528022775646</v>
      </c>
      <c r="I27" s="114">
        <f>OCTOBER!H41</f>
        <v>2385.4499791148655</v>
      </c>
      <c r="J27" s="114">
        <f>OCTOBER!I41</f>
        <v>9406.8843051778458</v>
      </c>
      <c r="K27" s="114">
        <f>OCTOBER!J41</f>
        <v>27529.667574145609</v>
      </c>
      <c r="L27" s="115">
        <f>OCTOBER!K41</f>
        <v>4091.2302139804679</v>
      </c>
      <c r="M27" s="114">
        <f>OCTOBER!L41</f>
        <v>0</v>
      </c>
      <c r="N27" s="114">
        <f>OCTOBER!M41</f>
        <v>0</v>
      </c>
      <c r="O27" s="116">
        <f>OCTOBER!N41</f>
        <v>0</v>
      </c>
      <c r="P27" s="116">
        <f>OCTOBER!O41</f>
        <v>0</v>
      </c>
      <c r="Q27" s="114">
        <f>OCTOBER!P41</f>
        <v>0</v>
      </c>
      <c r="R27" s="114">
        <f>OCTOBER!Q41</f>
        <v>0</v>
      </c>
      <c r="S27" s="114">
        <f>OCTOBER!R41</f>
        <v>0</v>
      </c>
      <c r="T27" s="114">
        <f>OCTOBER!S41</f>
        <v>0</v>
      </c>
      <c r="U27" s="114">
        <f>OCTOBER!T41</f>
        <v>0</v>
      </c>
      <c r="V27" s="114">
        <f>OCTOBER!U41</f>
        <v>2541.8764169460178</v>
      </c>
      <c r="W27" s="114">
        <f>OCTOBER!V41</f>
        <v>814.75922168040188</v>
      </c>
      <c r="X27" s="114">
        <f>OCTOBER!W41</f>
        <v>1809.0774806227939</v>
      </c>
      <c r="Y27" s="114">
        <f>OCTOBER!X41</f>
        <v>574.37625134968175</v>
      </c>
      <c r="Z27" s="114">
        <f>OCTOBER!Y41</f>
        <v>19795.511599712594</v>
      </c>
      <c r="AA27" s="114">
        <f>OCTOBER!Z41</f>
        <v>6670.4265847057204</v>
      </c>
      <c r="AB27" s="114">
        <f>OCTOBER!AA41</f>
        <v>0</v>
      </c>
      <c r="AC27" s="117">
        <f>OCTOBER!AB41</f>
        <v>381.05756503551083</v>
      </c>
      <c r="AD27" s="117">
        <f>OCTOBER!AC41</f>
        <v>0</v>
      </c>
      <c r="AE27" s="125"/>
      <c r="AF27" s="125"/>
      <c r="AG27" s="125"/>
      <c r="AH27" s="126"/>
    </row>
    <row r="28" spans="1:34" ht="15.75" customHeight="1" x14ac:dyDescent="0.25">
      <c r="A28" s="409"/>
      <c r="B28" s="90" t="s">
        <v>62</v>
      </c>
      <c r="C28" s="114">
        <f>NOVEMBER!B41</f>
        <v>0</v>
      </c>
      <c r="D28" s="114">
        <f>NOVEMBER!C41</f>
        <v>2325.929760074669</v>
      </c>
      <c r="E28" s="114">
        <f>NOVEMBER!D41</f>
        <v>44899.386305030654</v>
      </c>
      <c r="F28" s="114">
        <f>NOVEMBER!E41</f>
        <v>2122.3761001075022</v>
      </c>
      <c r="G28" s="114">
        <f>NOVEMBER!F41</f>
        <v>0</v>
      </c>
      <c r="H28" s="114">
        <f>NOVEMBER!G41</f>
        <v>3686.6759698791511</v>
      </c>
      <c r="I28" s="114">
        <f>NOVEMBER!H41</f>
        <v>2598.4336353778212</v>
      </c>
      <c r="J28" s="114">
        <f>NOVEMBER!I41</f>
        <v>5083.5196241368858</v>
      </c>
      <c r="K28" s="114">
        <f>NOVEMBER!J41</f>
        <v>15492.686282189507</v>
      </c>
      <c r="L28" s="115">
        <f>NOVEMBER!K41</f>
        <v>2756.8807375624119</v>
      </c>
      <c r="M28" s="114">
        <f>NOVEMBER!L41</f>
        <v>0</v>
      </c>
      <c r="N28" s="114">
        <f>NOVEMBER!M41</f>
        <v>0</v>
      </c>
      <c r="O28" s="116">
        <f>NOVEMBER!N41</f>
        <v>0</v>
      </c>
      <c r="P28" s="116">
        <f>NOVEMBER!O41</f>
        <v>0</v>
      </c>
      <c r="Q28" s="114">
        <f>NOVEMBER!P41</f>
        <v>0</v>
      </c>
      <c r="R28" s="114">
        <f>NOVEMBER!Q41</f>
        <v>0</v>
      </c>
      <c r="S28" s="114">
        <f>NOVEMBER!R41</f>
        <v>0</v>
      </c>
      <c r="T28" s="114">
        <f>NOVEMBER!S41</f>
        <v>0</v>
      </c>
      <c r="U28" s="114">
        <f>NOVEMBER!T41</f>
        <v>0</v>
      </c>
      <c r="V28" s="114">
        <f>NOVEMBER!U41</f>
        <v>1700.2064066022874</v>
      </c>
      <c r="W28" s="114">
        <f>NOVEMBER!V41</f>
        <v>952.39841536815311</v>
      </c>
      <c r="X28" s="114">
        <f>NOVEMBER!W41</f>
        <v>1355.75685197347</v>
      </c>
      <c r="Y28" s="114">
        <f>NOVEMBER!X41</f>
        <v>760.69032577540963</v>
      </c>
      <c r="Z28" s="114">
        <f>NOVEMBER!Y41</f>
        <v>13961.725765443078</v>
      </c>
      <c r="AA28" s="114">
        <f>NOVEMBER!Z41</f>
        <v>7822.6753902083865</v>
      </c>
      <c r="AB28" s="114">
        <f>NOVEMBER!AA41</f>
        <v>0</v>
      </c>
      <c r="AC28" s="117">
        <f>NOVEMBER!AB41</f>
        <v>404.20191364785381</v>
      </c>
      <c r="AD28" s="117">
        <f>NOVEMBER!AC41</f>
        <v>0</v>
      </c>
      <c r="AE28" s="125"/>
      <c r="AF28" s="125"/>
      <c r="AG28" s="125"/>
      <c r="AH28" s="126"/>
    </row>
    <row r="29" spans="1:34" ht="15.75" customHeight="1" x14ac:dyDescent="0.25">
      <c r="A29" s="410"/>
      <c r="B29" s="92" t="s">
        <v>63</v>
      </c>
      <c r="C29" s="118">
        <f>DECEMBER!B41</f>
        <v>0</v>
      </c>
      <c r="D29" s="118">
        <f>DECEMBER!C41</f>
        <v>2262.4520060132804</v>
      </c>
      <c r="E29" s="118">
        <f>DECEMBER!D41</f>
        <v>44023.167522882293</v>
      </c>
      <c r="F29" s="118">
        <f>DECEMBER!E41</f>
        <v>2016.4402887520789</v>
      </c>
      <c r="G29" s="118">
        <f>DECEMBER!F41</f>
        <v>0</v>
      </c>
      <c r="H29" s="118">
        <f>DECEMBER!G41</f>
        <v>2583.1248180603911</v>
      </c>
      <c r="I29" s="118">
        <f>DECEMBER!H41</f>
        <v>2528.2287690752264</v>
      </c>
      <c r="J29" s="118">
        <f>DECEMBER!I41</f>
        <v>4093.7504172962299</v>
      </c>
      <c r="K29" s="118">
        <f>DECEMBER!J41</f>
        <v>15027.245655698704</v>
      </c>
      <c r="L29" s="119">
        <f>DECEMBER!K41</f>
        <v>2542.0086771851675</v>
      </c>
      <c r="M29" s="118">
        <f>DECEMBER!L41</f>
        <v>0</v>
      </c>
      <c r="N29" s="118">
        <f>DECEMBER!M41</f>
        <v>0</v>
      </c>
      <c r="O29" s="120">
        <f>DECEMBER!N41</f>
        <v>0</v>
      </c>
      <c r="P29" s="120">
        <f>DECEMBER!O41</f>
        <v>0</v>
      </c>
      <c r="Q29" s="118">
        <f>DECEMBER!P41</f>
        <v>0</v>
      </c>
      <c r="R29" s="118">
        <f>DECEMBER!Q41</f>
        <v>0</v>
      </c>
      <c r="S29" s="118">
        <f>DECEMBER!R41</f>
        <v>0</v>
      </c>
      <c r="T29" s="118">
        <f>DECEMBER!S41</f>
        <v>0</v>
      </c>
      <c r="U29" s="118">
        <f>DECEMBER!T41</f>
        <v>0</v>
      </c>
      <c r="V29" s="118">
        <f>DECEMBER!U41</f>
        <v>1517.6293143603987</v>
      </c>
      <c r="W29" s="118">
        <f>DECEMBER!V41</f>
        <v>906.0080344048796</v>
      </c>
      <c r="X29" s="118">
        <f>DECEMBER!W41</f>
        <v>1331.9209295556716</v>
      </c>
      <c r="Y29" s="118">
        <f>DECEMBER!X41</f>
        <v>795.20142662457909</v>
      </c>
      <c r="Z29" s="118">
        <f>DECEMBER!Y41</f>
        <v>9778.233570791228</v>
      </c>
      <c r="AA29" s="118">
        <f>DECEMBER!Z41</f>
        <v>5836.1129440697505</v>
      </c>
      <c r="AB29" s="118">
        <f>DECEMBER!AA41</f>
        <v>0</v>
      </c>
      <c r="AC29" s="121">
        <f>DECEMBER!AB41</f>
        <v>401.3372840674653</v>
      </c>
      <c r="AD29" s="121">
        <f>DECEMBER!AC41</f>
        <v>0</v>
      </c>
      <c r="AE29" s="127"/>
      <c r="AF29" s="127"/>
      <c r="AG29" s="127"/>
      <c r="AH29" s="128"/>
    </row>
    <row r="30" spans="1:34" ht="15.75" customHeight="1" thickBot="1" x14ac:dyDescent="0.3">
      <c r="A30" s="97" t="s">
        <v>88</v>
      </c>
      <c r="B30" s="98" t="s">
        <v>64</v>
      </c>
      <c r="C30" s="122">
        <f>SUM(C18:C29)</f>
        <v>0</v>
      </c>
      <c r="D30" s="122">
        <f t="shared" ref="D30:AD30" si="1">SUM(D18:D29)</f>
        <v>19915.013509695884</v>
      </c>
      <c r="E30" s="122">
        <f t="shared" si="1"/>
        <v>414379.44022429612</v>
      </c>
      <c r="F30" s="122">
        <f t="shared" si="1"/>
        <v>17567.087950386998</v>
      </c>
      <c r="G30" s="122">
        <f t="shared" si="1"/>
        <v>0</v>
      </c>
      <c r="H30" s="122">
        <f t="shared" si="1"/>
        <v>30479.856326876157</v>
      </c>
      <c r="I30" s="122">
        <f t="shared" si="1"/>
        <v>24708.385620417117</v>
      </c>
      <c r="J30" s="122">
        <f t="shared" si="1"/>
        <v>68058.016747632399</v>
      </c>
      <c r="K30" s="122">
        <f t="shared" si="1"/>
        <v>208922.25993433309</v>
      </c>
      <c r="L30" s="122">
        <f t="shared" si="1"/>
        <v>35747.419965006702</v>
      </c>
      <c r="M30" s="122">
        <f t="shared" si="1"/>
        <v>0</v>
      </c>
      <c r="N30" s="122">
        <f t="shared" si="1"/>
        <v>0</v>
      </c>
      <c r="O30" s="122">
        <f t="shared" si="1"/>
        <v>0</v>
      </c>
      <c r="P30" s="122">
        <f t="shared" si="1"/>
        <v>0</v>
      </c>
      <c r="Q30" s="122">
        <f t="shared" si="1"/>
        <v>0</v>
      </c>
      <c r="R30" s="122">
        <f t="shared" si="1"/>
        <v>0</v>
      </c>
      <c r="S30" s="122">
        <f t="shared" si="1"/>
        <v>0</v>
      </c>
      <c r="T30" s="122">
        <f t="shared" si="1"/>
        <v>0</v>
      </c>
      <c r="U30" s="122">
        <f t="shared" si="1"/>
        <v>0</v>
      </c>
      <c r="V30" s="122">
        <f t="shared" si="1"/>
        <v>25129.003437412826</v>
      </c>
      <c r="W30" s="122">
        <f t="shared" si="1"/>
        <v>8842.6414052509335</v>
      </c>
      <c r="X30" s="122">
        <f t="shared" si="1"/>
        <v>15045.712960281218</v>
      </c>
      <c r="Y30" s="122">
        <f t="shared" si="1"/>
        <v>5931.8301097159838</v>
      </c>
      <c r="Z30" s="122">
        <f t="shared" si="1"/>
        <v>185524.46713879411</v>
      </c>
      <c r="AA30" s="122">
        <f t="shared" si="1"/>
        <v>67725.80559414599</v>
      </c>
      <c r="AB30" s="122">
        <f t="shared" si="1"/>
        <v>0</v>
      </c>
      <c r="AC30" s="122">
        <f t="shared" si="1"/>
        <v>3506.1466175647092</v>
      </c>
      <c r="AD30" s="122">
        <f t="shared" si="1"/>
        <v>0</v>
      </c>
      <c r="AE30" s="129" t="str">
        <f>IF(SUM(AE18:AE29)&gt;0, AVERAGE(AE18:AE29), "")</f>
        <v/>
      </c>
      <c r="AF30" s="129" t="str">
        <f>IF(SUM(AF18:AF29)&gt;0, AVERAGE(AF18:AF29), "")</f>
        <v/>
      </c>
      <c r="AG30" s="129" t="str">
        <f>IF(SUM(AG18:AG29)&gt;0, AVERAGE(AG18:AG29), "")</f>
        <v/>
      </c>
      <c r="AH30" s="227" t="str">
        <f>IF(SUM(AH18:AH29)&gt;0, AVERAGE(AH18:AH29), "")</f>
        <v/>
      </c>
    </row>
    <row r="31" spans="1:34" ht="16.5" customHeight="1" thickTop="1" x14ac:dyDescent="0.25"/>
    <row r="32" spans="1:34" ht="15.75" thickBot="1" x14ac:dyDescent="0.3">
      <c r="C32" s="336" t="s">
        <v>203</v>
      </c>
      <c r="D32" s="336" t="s">
        <v>204</v>
      </c>
      <c r="E32" s="336" t="s">
        <v>205</v>
      </c>
    </row>
    <row r="33" spans="1:5" ht="15.75" customHeight="1" thickTop="1" x14ac:dyDescent="0.25">
      <c r="A33" s="405" t="s">
        <v>206</v>
      </c>
      <c r="B33" s="89" t="s">
        <v>52</v>
      </c>
      <c r="C33" s="331" t="str">
        <f>IF(ISNUMBER(JANUARY!B51)=TRUE,JANUARY!B51,"")</f>
        <v/>
      </c>
      <c r="D33" s="331" t="str">
        <f>IF(ISNUMBER(JANUARY!E51)=TRUE,JANUARY!E51,"")</f>
        <v/>
      </c>
      <c r="E33" s="331" t="str">
        <f>IF(ISNUMBER(JANUARY!H51)=TRUE,JANUARY!H51,"")</f>
        <v/>
      </c>
    </row>
    <row r="34" spans="1:5" ht="15.75" customHeight="1" x14ac:dyDescent="0.25">
      <c r="A34" s="406"/>
      <c r="B34" s="90" t="s">
        <v>53</v>
      </c>
      <c r="C34" s="332" t="str">
        <f>IF(ISNUMBER(FEBRUARY!$B$50)=TRUE,FEBRUARY!$B$50,"")</f>
        <v/>
      </c>
      <c r="D34" s="332" t="str">
        <f>IF(ISNUMBER(FEBRUARY!$E$50)=TRUE,FEBRUARY!$E$50,"")</f>
        <v/>
      </c>
      <c r="E34" s="332" t="str">
        <f>IF(ISNUMBER(FEBRUARY!$H$50)=TRUE,FEBRUARY!$H$50,"")</f>
        <v/>
      </c>
    </row>
    <row r="35" spans="1:5" x14ac:dyDescent="0.25">
      <c r="A35" s="406"/>
      <c r="B35" s="90" t="s">
        <v>54</v>
      </c>
      <c r="C35" s="332" t="str">
        <f>IF(ISNUMBER(MARCH!$B$51)=TRUE,MARCH!$B$51,"")</f>
        <v/>
      </c>
      <c r="D35" s="332" t="str">
        <f>IF(ISNUMBER(MARCH!$E$51)=TRUE,MARCH!$E$51,"")</f>
        <v/>
      </c>
      <c r="E35" s="332" t="str">
        <f>IF(ISNUMBER(MARCH!$H$51)=TRUE,MARCH!$H$51,"")</f>
        <v/>
      </c>
    </row>
    <row r="36" spans="1:5" x14ac:dyDescent="0.25">
      <c r="A36" s="406"/>
      <c r="B36" s="90" t="s">
        <v>55</v>
      </c>
      <c r="C36" s="332" t="str">
        <f>IF(ISNUMBER(APRIL!$B$51)=TRUE,APRIL!$B$51,"")</f>
        <v/>
      </c>
      <c r="D36" s="332" t="str">
        <f>IF(ISNUMBER(APRIL!$E$51)=TRUE,APRIL!$E$51,"")</f>
        <v/>
      </c>
      <c r="E36" s="332" t="str">
        <f>IF(ISNUMBER(APRIL!$H$51)=TRUE,APRIL!$H$51,"")</f>
        <v/>
      </c>
    </row>
    <row r="37" spans="1:5" x14ac:dyDescent="0.25">
      <c r="A37" s="406"/>
      <c r="B37" s="90" t="s">
        <v>56</v>
      </c>
      <c r="C37" s="332">
        <f>IF(ISNUMBER(MAY!$B$51)=TRUE,MAY!$B$51,"")</f>
        <v>4.0923822351016614</v>
      </c>
      <c r="D37" s="332" t="str">
        <f>IF(ISNUMBER(MAY!$E$51)=TRUE,MAY!$E$51,"")</f>
        <v/>
      </c>
      <c r="E37" s="332">
        <f>IF(ISNUMBER(MAY!$H$51)=TRUE,MAY!$H$51,"")</f>
        <v>1.9740609581690329</v>
      </c>
    </row>
    <row r="38" spans="1:5" x14ac:dyDescent="0.25">
      <c r="A38" s="406"/>
      <c r="B38" s="90" t="s">
        <v>57</v>
      </c>
      <c r="C38" s="332">
        <f>IF(ISNUMBER(JUNE!$B$51)=TRUE,JUNE!$B$51,"")</f>
        <v>0.54214565255036296</v>
      </c>
      <c r="D38" s="332">
        <f>IF(ISNUMBER(JUNE!$E$51)=TRUE,JUNE!$E$51,"")</f>
        <v>2.041560667854279</v>
      </c>
      <c r="E38" s="332">
        <f>IF(ISNUMBER(JUNE!$H$51)=TRUE,JUNE!$H$51,"")</f>
        <v>0.38205062425494274</v>
      </c>
    </row>
    <row r="39" spans="1:5" x14ac:dyDescent="0.25">
      <c r="A39" s="406"/>
      <c r="B39" s="90" t="s">
        <v>58</v>
      </c>
      <c r="C39" s="332">
        <f>IF(ISNUMBER(JULY!$B$51)=TRUE,JULY!$B$51,"")</f>
        <v>0.78982780267651531</v>
      </c>
      <c r="D39" s="332">
        <f>IF(ISNUMBER(JULY!$E$51)=TRUE,JULY!$E$51,"")</f>
        <v>1.5315974231529252</v>
      </c>
      <c r="E39" s="332">
        <f>IF(ISNUMBER(JULY!$H$51)=TRUE,JULY!$H$51,"")</f>
        <v>0.53064035805474929</v>
      </c>
    </row>
    <row r="40" spans="1:5" x14ac:dyDescent="0.25">
      <c r="A40" s="406"/>
      <c r="B40" s="90" t="s">
        <v>59</v>
      </c>
      <c r="C40" s="332">
        <f>IF(ISNUMBER(AUGUST!$B$51)=TRUE,AUGUST!$B$51,"")</f>
        <v>0.81358122425719692</v>
      </c>
      <c r="D40" s="332">
        <f>IF(ISNUMBER(AUGUST!$E$51)=TRUE,AUGUST!$E$51,"")</f>
        <v>1.263295446389886</v>
      </c>
      <c r="E40" s="332">
        <f>IF(ISNUMBER(AUGUST!$H$51)=TRUE,AUGUST!$H$51,"")</f>
        <v>0.56890381770717935</v>
      </c>
    </row>
    <row r="41" spans="1:5" x14ac:dyDescent="0.25">
      <c r="A41" s="406"/>
      <c r="B41" s="90" t="s">
        <v>60</v>
      </c>
      <c r="C41" s="332">
        <f>IF(ISNUMBER(SEPTEMBER!$B$50)=TRUE,SEPTEMBER!$B$50,"")</f>
        <v>0.71483766978406471</v>
      </c>
      <c r="D41" s="332">
        <f>IF(ISNUMBER(SEPTEMBER!$E$50)=TRUE,SEPTEMBER!$E$50,"")</f>
        <v>1.236581237691277</v>
      </c>
      <c r="E41" s="332">
        <f>SEPTEMBER!H50</f>
        <v>0.48213059569902572</v>
      </c>
    </row>
    <row r="42" spans="1:5" x14ac:dyDescent="0.25">
      <c r="A42" s="406"/>
      <c r="B42" s="90" t="s">
        <v>61</v>
      </c>
      <c r="C42" s="332">
        <f>IF(ISNUMBER(OCTOBER!$B$51)=TRUE,OCTOBER!$B$51,"")</f>
        <v>0.59496564731118873</v>
      </c>
      <c r="D42" s="332">
        <f>IF(ISNUMBER(OCTOBER!$E$51)=TRUE,OCTOBER!$E$51,"")</f>
        <v>1.2248802031645889</v>
      </c>
      <c r="E42" s="332">
        <f>IF(ISNUMBER(OCTOBER!$H$51)=TRUE,OCTOBER!$H$51,"")</f>
        <v>0.40320105252064276</v>
      </c>
    </row>
    <row r="43" spans="1:5" x14ac:dyDescent="0.25">
      <c r="A43" s="406"/>
      <c r="B43" s="90" t="s">
        <v>62</v>
      </c>
      <c r="C43" s="332">
        <f>IF(ISNUMBER(NOVEMBER!$B$51)=TRUE,NOVEMBER!$B$51,"")</f>
        <v>0.98657036272524989</v>
      </c>
      <c r="D43" s="332">
        <f>IF(ISNUMBER(NOVEMBER!$E$51)=TRUE,NOVEMBER!$E$51,"")</f>
        <v>1.4975133567845975</v>
      </c>
      <c r="E43" s="332">
        <f>IF(ISNUMBER(NOVEMBER!$H$51)=TRUE,NOVEMBER!$H$51,"")</f>
        <v>0.72307767036920556</v>
      </c>
    </row>
    <row r="44" spans="1:5" ht="15.75" thickBot="1" x14ac:dyDescent="0.3">
      <c r="A44" s="406"/>
      <c r="B44" s="92" t="s">
        <v>63</v>
      </c>
      <c r="C44" s="333">
        <f>IF(ISNUMBER(DECEMBER!$B$51)=TRUE,DECEMBER!$B$51,"")</f>
        <v>0.92705988781366189</v>
      </c>
      <c r="D44" s="333">
        <f>IF(ISNUMBER(DECEMBER!$E$51)=TRUE,DECEMBER!$E$51,"")</f>
        <v>1.3622699087759793</v>
      </c>
      <c r="E44" s="333">
        <f>IF(ISNUMBER(DECEMBER!$H$51)=TRUE,DECEMBER!$H$51,"")</f>
        <v>0.68634905349574471</v>
      </c>
    </row>
    <row r="45" spans="1:5" ht="15.75" thickBot="1" x14ac:dyDescent="0.3">
      <c r="A45" s="407"/>
      <c r="B45" s="335" t="s">
        <v>207</v>
      </c>
      <c r="C45" s="334">
        <f>AVERAGE(C33:C44)</f>
        <v>1.1826713102774877</v>
      </c>
      <c r="D45" s="334">
        <f>AVERAGE(D33:D44)</f>
        <v>1.4510997491162188</v>
      </c>
      <c r="E45" s="334">
        <f>AVERAGE(E33:E44)</f>
        <v>0.71880176628381542</v>
      </c>
    </row>
    <row r="47" spans="1:5" ht="15.75" thickBot="1" x14ac:dyDescent="0.3">
      <c r="C47" s="336" t="s">
        <v>203</v>
      </c>
      <c r="D47" s="336" t="s">
        <v>204</v>
      </c>
      <c r="E47" s="336" t="s">
        <v>205</v>
      </c>
    </row>
    <row r="48" spans="1:5" ht="15" customHeight="1" thickTop="1" x14ac:dyDescent="0.25">
      <c r="A48" s="401" t="s">
        <v>210</v>
      </c>
      <c r="B48" s="340" t="s">
        <v>219</v>
      </c>
      <c r="C48" s="341">
        <f>(JANUARY!B44+FEBRUARY!B43+MARCH!B44+APRIL!B44+MAY!B44+JUNE!B44+JULY!B44+AUGUST!B44+SEPTEMBER!B43+OCTOBER!B44+NOVEMBER!B44+DECEMBER!B44)/$AE$17</f>
        <v>259.31377472959139</v>
      </c>
      <c r="D48" s="342">
        <f>(JANUARY!E44+FEBRUARY!E43+MARCH!E44+APRIL!E44+MAY!E44+JUNE!E44+JULY!E44+AUGUST!E44+SEPTEMBER!E43+OCTOBER!E44+NOVEMBER!E44+DECEMBER!E44)/$AG$17</f>
        <v>499.43791585675484</v>
      </c>
      <c r="E48" s="343">
        <f>(JANUARY!H44+FEBRUARY!H43+MARCH!H44+APRIL!H44+MAY!H44+JUNE!H44+JULY!H44+AUGUST!H44+SEPTEMBER!H43+OCTOBER!H44+NOVEMBER!H44+DECEMBER!H44)/$AF$17</f>
        <v>171.51658943360644</v>
      </c>
    </row>
    <row r="49" spans="1:5" ht="15" customHeight="1" x14ac:dyDescent="0.25">
      <c r="A49" s="402"/>
      <c r="B49" s="344" t="s">
        <v>211</v>
      </c>
      <c r="C49" s="332">
        <f>(JANUARY!B47+FEBRUARY!B46+MARCH!B47+APRIL!B47+MAY!B47+JUNE!B47+JULY!B47+AUGUST!B47+SEPTEMBER!B46+OCTOBER!B47+NOVEMBER!B47+DECEMBER!B47)/$AE$17</f>
        <v>393.63608082708805</v>
      </c>
      <c r="D49" s="332">
        <f>(JANUARY!E47+FEBRUARY!E46+MARCH!E47+APRIL!E47+MAY!E47+JUNE!E47+JULY!E47+AUGUST!E47+SEPTEMBER!E46+OCTOBER!E47+NOVEMBER!E47+DECEMBER!E47)/$AG$17</f>
        <v>727.52547386733386</v>
      </c>
      <c r="E49" s="345">
        <f>(JANUARY!H47+FEBRUARY!H46+MARCH!H47+APRIL!H47+MAY!H47+JUNE!H47+JULY!H47+AUGUST!H47+SEPTEMBER!H46+OCTOBER!H47+NOVEMBER!H47+DECEMBER!H47)/$AF$17</f>
        <v>273.56893660801143</v>
      </c>
    </row>
    <row r="50" spans="1:5" ht="15" customHeight="1" x14ac:dyDescent="0.25">
      <c r="A50" s="402"/>
      <c r="B50" s="344" t="s">
        <v>212</v>
      </c>
      <c r="C50" s="400">
        <f>C48+C51</f>
        <v>565.76593442526723</v>
      </c>
      <c r="D50" s="346">
        <f>D48+D51</f>
        <v>1065.8284566623881</v>
      </c>
      <c r="E50" s="347">
        <f>E48+E51</f>
        <v>384.49450363553387</v>
      </c>
    </row>
    <row r="51" spans="1:5" ht="15" customHeight="1" x14ac:dyDescent="0.25">
      <c r="A51" s="402"/>
      <c r="B51" s="344" t="s">
        <v>213</v>
      </c>
      <c r="C51" s="332">
        <f>(JANUARY!B48+FEBRUARY!B47+MARCH!B48+APRIL!B48+MAY!B48+JUNE!B48+JULY!B48+AUGUST!B48+SEPTEMBER!B47+OCTOBER!B48+NOVEMBER!B48+DECEMBER!B48)/$AE$17</f>
        <v>306.45215969567585</v>
      </c>
      <c r="D51" s="332">
        <f>(JANUARY!E48+FEBRUARY!E47+MARCH!E48+APRIL!E48+MAY!E48+JUNE!E48+JULY!E48+AUGUST!E48+SEPTEMBER!E47+OCTOBER!E48+NOVEMBER!E48+DECEMBER!E48)/$AG$17</f>
        <v>566.39054080563335</v>
      </c>
      <c r="E51" s="345">
        <f>(JANUARY!H48+FEBRUARY!H47+MARCH!H48+APRIL!H48+MAY!H48+JUNE!H48+JULY!H48+AUGUST!H48+SEPTEMBER!H47+OCTOBER!H48+NOVEMBER!H48+DECEMBER!H48)/$AF$17</f>
        <v>212.97791420192746</v>
      </c>
    </row>
    <row r="52" spans="1:5" ht="15" customHeight="1" x14ac:dyDescent="0.25">
      <c r="A52" s="402"/>
      <c r="B52" s="344" t="s">
        <v>214</v>
      </c>
      <c r="C52" s="332">
        <f>(JANUARY!B46+FEBRUARY!B45+MARCH!B46+APRIL!B46+MAY!B46+JUNE!B46+JULY!B46+AUGUST!B46+SEPTEMBER!B45+OCTOBER!B46+NOVEMBER!B46+DECEMBER!B46)/$AE$17</f>
        <v>18.102993845289795</v>
      </c>
      <c r="D52" s="332">
        <f>(JANUARY!E46+FEBRUARY!E45+MARCH!E46+APRIL!E46+MAY!E46+JUNE!E46+JULY!E46+AUGUST!E46+SEPTEMBER!E45+OCTOBER!E46+NOVEMBER!E46+DECEMBER!E46)/$AG$17</f>
        <v>37.667608049983052</v>
      </c>
      <c r="E52" s="345">
        <f>(JANUARY!H46+FEBRUARY!H45+MARCH!H46+APRIL!H46+MAY!H46+JUNE!H46+JULY!H46+AUGUST!H46+SEPTEMBER!H45+OCTOBER!H46+NOVEMBER!H46+DECEMBER!H46)/$AF$17</f>
        <v>10.998389872137503</v>
      </c>
    </row>
    <row r="53" spans="1:5" ht="15" customHeight="1" x14ac:dyDescent="0.25">
      <c r="A53" s="402"/>
      <c r="B53" s="348" t="s">
        <v>215</v>
      </c>
      <c r="C53" s="333">
        <f>(JANUARY!B45+FEBRUARY!B44+MARCH!B45+APRIL!B45+MAY!B45+JUNE!B45+JULY!B45+AUGUST!B45+SEPTEMBER!B44+OCTOBER!B45+NOVEMBER!B45+DECEMBER!B45)/$AE$17</f>
        <v>63.034511215966603</v>
      </c>
      <c r="D53" s="333">
        <f>(JANUARY!E45+FEBRUARY!E44+MARCH!E45+APRIL!E45+MAY!E45+JUNE!E45+JULY!E45+AUGUST!E45+SEPTEMBER!E44+OCTOBER!E45+NOVEMBER!E45+DECEMBER!E45)/$AG$17</f>
        <v>141.62306090296693</v>
      </c>
      <c r="E53" s="349">
        <f>(JANUARY!H45+FEBRUARY!H44+MARCH!H45+APRIL!H45+MAY!H45+JUNE!H45+JULY!H45+AUGUST!H45+SEPTEMBER!H44+OCTOBER!H45+NOVEMBER!H45+DECEMBER!H45)/$AF$17</f>
        <v>34.36132445696893</v>
      </c>
    </row>
    <row r="54" spans="1:5" ht="15" customHeight="1" x14ac:dyDescent="0.25">
      <c r="A54" s="403"/>
      <c r="B54" s="348" t="s">
        <v>220</v>
      </c>
      <c r="C54" s="359">
        <f>(SUM(JANUARY!AH39:AQ39)+SUM(FEBRUARY!AH38:AQ38)+SUM(MARCH!AH39:AQ39)+SUM(APRIL!AH39:AQ39)+SUM(MAY!AH39:AQ39)+SUM(JUNE!AH39:AQ39)+SUM(JULY!AH39:AQ39)+SUM(AUGUST!AH39:AQ39)+SUM(SEPTEMBER!AH38:AQ38)+SUM(OCTOBER!AH39:AQ39)+SUM(NOVEMBER!AH39:AQ39)+SUM(DECEMBER!AH39:AQ39))</f>
        <v>4516041.6694534784</v>
      </c>
      <c r="D54" s="359">
        <f>(JANUARY!E45/JANUARY!AH40+FEBRUARY!E44/FEBRUARY!AH39+MARCH!E45/MARCH!AH40+APRIL!E45/APRIL!AH40+MAY!E45/MAY!AH40+JUNE!E45/JUNE!AH40+JULY!E45/JULY!AH40+AUGUST!E45/AUGUST!AH40+SEPTEMBER!E44/SEPTEMBER!AH39+OCTOBER!E45/OCTOBER!AH40+NOVEMBER!E45/NOVEMBER!AH40+DECEMBER!E45/DECEMBER!AH40)</f>
        <v>2715169.7433808623</v>
      </c>
      <c r="E54" s="360">
        <f>C54-D54</f>
        <v>1800871.9260726161</v>
      </c>
    </row>
    <row r="55" spans="1:5" ht="15" customHeight="1" thickBot="1" x14ac:dyDescent="0.3">
      <c r="A55" s="403"/>
      <c r="B55" s="348" t="s">
        <v>221</v>
      </c>
      <c r="C55" s="361">
        <f>C54/C58</f>
        <v>1034.9883485101884</v>
      </c>
      <c r="D55" s="361">
        <f>D54/D58</f>
        <v>2300.158728043441</v>
      </c>
      <c r="E55" s="362">
        <f>E54/E58</f>
        <v>573.67011591519952</v>
      </c>
    </row>
    <row r="56" spans="1:5" ht="15" customHeight="1" thickTop="1" x14ac:dyDescent="0.25">
      <c r="A56" s="403"/>
      <c r="B56" s="350" t="s">
        <v>216</v>
      </c>
      <c r="C56" s="351">
        <f>C48+C49+C51+C52+C53</f>
        <v>1040.5395203136118</v>
      </c>
      <c r="D56" s="351">
        <f>D48+D49+D51+D52+D53</f>
        <v>1972.6445994826722</v>
      </c>
      <c r="E56" s="352">
        <f>E48+E49+E51+E52+E53</f>
        <v>703.42315457265181</v>
      </c>
    </row>
    <row r="57" spans="1:5" ht="15" customHeight="1" x14ac:dyDescent="0.25">
      <c r="A57" s="403"/>
      <c r="B57" s="353" t="s">
        <v>217</v>
      </c>
      <c r="C57" s="354">
        <f>C56/1000</f>
        <v>1.0405395203136119</v>
      </c>
      <c r="D57" s="354">
        <f>D56/1000</f>
        <v>1.9726445994826722</v>
      </c>
      <c r="E57" s="355">
        <f>E56/1000</f>
        <v>0.70342315457265181</v>
      </c>
    </row>
    <row r="58" spans="1:5" ht="15" customHeight="1" thickBot="1" x14ac:dyDescent="0.3">
      <c r="A58" s="404"/>
      <c r="B58" s="356" t="s">
        <v>218</v>
      </c>
      <c r="C58" s="357">
        <f>AE17</f>
        <v>4363.3744050878295</v>
      </c>
      <c r="D58" s="357">
        <f>AG17</f>
        <v>1180.4271202146288</v>
      </c>
      <c r="E58" s="358">
        <f>AF17</f>
        <v>3139.2116760337271</v>
      </c>
    </row>
    <row r="59" spans="1:5" ht="15.75" thickTop="1" x14ac:dyDescent="0.25"/>
  </sheetData>
  <sheetProtection selectLockedCells="1" selectUnlockedCells="1"/>
  <mergeCells count="14">
    <mergeCell ref="C1:AH1"/>
    <mergeCell ref="A2:B3"/>
    <mergeCell ref="AE2:AH2"/>
    <mergeCell ref="C2:I2"/>
    <mergeCell ref="J2:O2"/>
    <mergeCell ref="P2:U2"/>
    <mergeCell ref="V2:AB2"/>
    <mergeCell ref="AC2:AD2"/>
    <mergeCell ref="A48:A58"/>
    <mergeCell ref="A33:A45"/>
    <mergeCell ref="A4:A15"/>
    <mergeCell ref="A18:A29"/>
    <mergeCell ref="A1:B1"/>
    <mergeCell ref="A16:B16"/>
  </mergeCells>
  <pageMargins left="0.7" right="0.7" top="0.75" bottom="0.75" header="0.3" footer="0.3"/>
  <pageSetup scale="38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L30"/>
  <sheetViews>
    <sheetView showGridLines="0" workbookViewId="0">
      <selection activeCell="K21" sqref="K21"/>
    </sheetView>
  </sheetViews>
  <sheetFormatPr defaultRowHeight="15" x14ac:dyDescent="0.25"/>
  <sheetData>
    <row r="30" spans="12:12" x14ac:dyDescent="0.25">
      <c r="L30" s="338" t="s">
        <v>222</v>
      </c>
    </row>
  </sheetData>
  <sheetProtection password="A25B" sheet="1" objects="1" scenarios="1" selectLockedCells="1" selectUnlockedCell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62465" r:id="rId4">
          <objectPr defaultSize="0" r:id="rId5">
            <anchor moveWithCells="1">
              <from>
                <xdr:col>0</xdr:col>
                <xdr:colOff>0</xdr:colOff>
                <xdr:row>0</xdr:row>
                <xdr:rowOff>9525</xdr:rowOff>
              </from>
              <to>
                <xdr:col>9</xdr:col>
                <xdr:colOff>361950</xdr:colOff>
                <xdr:row>42</xdr:row>
                <xdr:rowOff>114300</xdr:rowOff>
              </to>
            </anchor>
          </objectPr>
        </oleObject>
      </mc:Choice>
      <mc:Fallback>
        <oleObject progId="Word.Document.12" shapeId="62465" r:id="rId4"/>
      </mc:Fallback>
    </mc:AlternateContent>
    <mc:AlternateContent xmlns:mc="http://schemas.openxmlformats.org/markup-compatibility/2006">
      <mc:Choice Requires="x14">
        <oleObject progId="Word.Document.12" shapeId="62466" r:id="rId6">
          <objectPr defaultSize="0" r:id="rId7">
            <anchor moveWithCells="1">
              <from>
                <xdr:col>11</xdr:col>
                <xdr:colOff>104775</xdr:colOff>
                <xdr:row>0</xdr:row>
                <xdr:rowOff>0</xdr:rowOff>
              </from>
              <to>
                <xdr:col>20</xdr:col>
                <xdr:colOff>466725</xdr:colOff>
                <xdr:row>31</xdr:row>
                <xdr:rowOff>85725</xdr:rowOff>
              </to>
            </anchor>
          </objectPr>
        </oleObject>
      </mc:Choice>
      <mc:Fallback>
        <oleObject progId="Word.Document.12" shapeId="6246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zoomScaleNormal="100" workbookViewId="0">
      <selection activeCell="O26" sqref="O26:P26"/>
    </sheetView>
  </sheetViews>
  <sheetFormatPr defaultRowHeight="15" x14ac:dyDescent="0.25"/>
  <cols>
    <col min="1" max="2" width="12.7109375" customWidth="1"/>
    <col min="3" max="35" width="9.140625" customWidth="1"/>
  </cols>
  <sheetData>
    <row r="1" spans="1:35" ht="21.75" thickBot="1" x14ac:dyDescent="0.3">
      <c r="A1" s="453">
        <v>2016</v>
      </c>
      <c r="B1" s="454"/>
      <c r="C1" s="455" t="s">
        <v>90</v>
      </c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7"/>
      <c r="R1" s="457"/>
      <c r="S1" s="457"/>
      <c r="T1" s="457"/>
      <c r="U1" s="457"/>
      <c r="V1" s="457"/>
      <c r="W1" s="457"/>
      <c r="X1" s="457"/>
      <c r="Y1" s="457"/>
      <c r="Z1" s="457"/>
      <c r="AA1" s="457"/>
      <c r="AB1" s="457"/>
      <c r="AC1" s="457"/>
      <c r="AD1" s="457"/>
      <c r="AE1" s="457"/>
      <c r="AF1" s="457"/>
      <c r="AG1" s="457"/>
      <c r="AH1" s="457"/>
      <c r="AI1" s="458"/>
    </row>
    <row r="2" spans="1:35" ht="28.5" customHeight="1" thickBot="1" x14ac:dyDescent="0.3">
      <c r="A2" s="459"/>
      <c r="B2" s="422"/>
      <c r="C2" s="462" t="s">
        <v>66</v>
      </c>
      <c r="D2" s="427"/>
      <c r="E2" s="427"/>
      <c r="F2" s="427"/>
      <c r="G2" s="427"/>
      <c r="H2" s="427"/>
      <c r="I2" s="427"/>
      <c r="J2" s="427"/>
      <c r="K2" s="427"/>
      <c r="L2" s="427"/>
      <c r="M2" s="463"/>
      <c r="N2" s="463"/>
      <c r="O2" s="463"/>
      <c r="P2" s="464"/>
      <c r="Q2" s="465" t="s">
        <v>71</v>
      </c>
      <c r="R2" s="466"/>
      <c r="S2" s="466"/>
      <c r="T2" s="466"/>
      <c r="U2" s="466"/>
      <c r="V2" s="466"/>
      <c r="W2" s="466"/>
      <c r="X2" s="466"/>
      <c r="Y2" s="466"/>
      <c r="Z2" s="466"/>
      <c r="AA2" s="466"/>
      <c r="AB2" s="466"/>
      <c r="AC2" s="467"/>
      <c r="AD2" s="468" t="s">
        <v>83</v>
      </c>
      <c r="AE2" s="469"/>
      <c r="AF2" s="472" t="s">
        <v>161</v>
      </c>
      <c r="AG2" s="473"/>
      <c r="AH2" s="473"/>
      <c r="AI2" s="474"/>
    </row>
    <row r="3" spans="1:35" ht="28.5" customHeight="1" thickBot="1" x14ac:dyDescent="0.3">
      <c r="A3" s="459"/>
      <c r="B3" s="422"/>
      <c r="C3" s="462" t="s">
        <v>91</v>
      </c>
      <c r="D3" s="427"/>
      <c r="E3" s="427"/>
      <c r="F3" s="427"/>
      <c r="G3" s="427"/>
      <c r="H3" s="427"/>
      <c r="I3" s="428"/>
      <c r="J3" s="432" t="s">
        <v>92</v>
      </c>
      <c r="K3" s="433"/>
      <c r="L3" s="434"/>
      <c r="M3" s="478" t="s">
        <v>93</v>
      </c>
      <c r="N3" s="479"/>
      <c r="O3" s="479"/>
      <c r="P3" s="480"/>
      <c r="Q3" s="489" t="s">
        <v>94</v>
      </c>
      <c r="R3" s="430"/>
      <c r="S3" s="430"/>
      <c r="T3" s="430"/>
      <c r="U3" s="430"/>
      <c r="V3" s="431"/>
      <c r="W3" s="432" t="s">
        <v>95</v>
      </c>
      <c r="X3" s="433"/>
      <c r="Y3" s="434"/>
      <c r="Z3" s="478" t="s">
        <v>96</v>
      </c>
      <c r="AA3" s="479"/>
      <c r="AB3" s="479"/>
      <c r="AC3" s="480"/>
      <c r="AD3" s="470"/>
      <c r="AE3" s="471"/>
      <c r="AF3" s="475"/>
      <c r="AG3" s="476"/>
      <c r="AH3" s="476"/>
      <c r="AI3" s="477"/>
    </row>
    <row r="4" spans="1:35" ht="129.75" thickBot="1" x14ac:dyDescent="0.3">
      <c r="A4" s="460"/>
      <c r="B4" s="461"/>
      <c r="C4" s="130" t="s">
        <v>67</v>
      </c>
      <c r="D4" s="131" t="s">
        <v>68</v>
      </c>
      <c r="E4" s="131" t="s">
        <v>11</v>
      </c>
      <c r="F4" s="131" t="s">
        <v>12</v>
      </c>
      <c r="G4" s="131" t="s">
        <v>13</v>
      </c>
      <c r="H4" s="131" t="s">
        <v>69</v>
      </c>
      <c r="I4" s="131" t="s">
        <v>70</v>
      </c>
      <c r="J4" s="132" t="s">
        <v>36</v>
      </c>
      <c r="K4" s="132" t="s">
        <v>75</v>
      </c>
      <c r="L4" s="132" t="s">
        <v>77</v>
      </c>
      <c r="M4" s="133" t="s">
        <v>79</v>
      </c>
      <c r="N4" s="133" t="s">
        <v>81</v>
      </c>
      <c r="O4" s="133" t="s">
        <v>46</v>
      </c>
      <c r="P4" s="134" t="s">
        <v>97</v>
      </c>
      <c r="Q4" s="135" t="s">
        <v>67</v>
      </c>
      <c r="R4" s="136" t="s">
        <v>72</v>
      </c>
      <c r="S4" s="136" t="s">
        <v>17</v>
      </c>
      <c r="T4" s="136" t="s">
        <v>18</v>
      </c>
      <c r="U4" s="136" t="s">
        <v>19</v>
      </c>
      <c r="V4" s="136" t="s">
        <v>13</v>
      </c>
      <c r="W4" s="132" t="s">
        <v>35</v>
      </c>
      <c r="X4" s="132" t="s">
        <v>74</v>
      </c>
      <c r="Y4" s="132" t="s">
        <v>76</v>
      </c>
      <c r="Z4" s="133" t="s">
        <v>78</v>
      </c>
      <c r="AA4" s="133" t="s">
        <v>80</v>
      </c>
      <c r="AB4" s="133" t="s">
        <v>45</v>
      </c>
      <c r="AC4" s="134" t="s">
        <v>98</v>
      </c>
      <c r="AD4" s="137" t="s">
        <v>7</v>
      </c>
      <c r="AE4" s="138" t="s">
        <v>84</v>
      </c>
      <c r="AF4" s="139" t="s">
        <v>27</v>
      </c>
      <c r="AG4" s="139" t="s">
        <v>31</v>
      </c>
      <c r="AH4" s="139" t="s">
        <v>32</v>
      </c>
      <c r="AI4" s="140" t="s">
        <v>33</v>
      </c>
    </row>
    <row r="5" spans="1:35" ht="15" customHeight="1" x14ac:dyDescent="0.25">
      <c r="A5" s="490" t="s">
        <v>99</v>
      </c>
      <c r="B5" s="491"/>
      <c r="C5" s="144" t="s">
        <v>100</v>
      </c>
      <c r="D5" s="142" t="s">
        <v>100</v>
      </c>
      <c r="E5" s="142" t="s">
        <v>100</v>
      </c>
      <c r="F5" s="142" t="s">
        <v>100</v>
      </c>
      <c r="G5" s="142" t="s">
        <v>100</v>
      </c>
      <c r="H5" s="142" t="s">
        <v>101</v>
      </c>
      <c r="I5" s="142" t="s">
        <v>100</v>
      </c>
      <c r="J5" s="142" t="s">
        <v>100</v>
      </c>
      <c r="K5" s="142" t="s">
        <v>100</v>
      </c>
      <c r="L5" s="142" t="s">
        <v>100</v>
      </c>
      <c r="M5" s="142" t="s">
        <v>101</v>
      </c>
      <c r="N5" s="142" t="s">
        <v>100</v>
      </c>
      <c r="O5" s="142" t="s">
        <v>100</v>
      </c>
      <c r="P5" s="143" t="s">
        <v>100</v>
      </c>
      <c r="Q5" s="141" t="s">
        <v>100</v>
      </c>
      <c r="R5" s="142" t="s">
        <v>100</v>
      </c>
      <c r="S5" s="142" t="s">
        <v>100</v>
      </c>
      <c r="T5" s="142" t="s">
        <v>100</v>
      </c>
      <c r="U5" s="142" t="s">
        <v>100</v>
      </c>
      <c r="V5" s="142" t="s">
        <v>100</v>
      </c>
      <c r="W5" s="142" t="s">
        <v>100</v>
      </c>
      <c r="X5" s="142" t="s">
        <v>100</v>
      </c>
      <c r="Y5" s="142" t="s">
        <v>100</v>
      </c>
      <c r="Z5" s="142" t="s">
        <v>101</v>
      </c>
      <c r="AA5" s="142" t="s">
        <v>100</v>
      </c>
      <c r="AB5" s="142" t="s">
        <v>100</v>
      </c>
      <c r="AC5" s="143" t="s">
        <v>100</v>
      </c>
      <c r="AD5" s="144" t="s">
        <v>101</v>
      </c>
      <c r="AE5" s="171" t="s">
        <v>100</v>
      </c>
      <c r="AF5" s="145" t="s">
        <v>102</v>
      </c>
      <c r="AG5" s="145" t="s">
        <v>102</v>
      </c>
      <c r="AH5" s="145" t="s">
        <v>102</v>
      </c>
      <c r="AI5" s="146" t="s">
        <v>34</v>
      </c>
    </row>
    <row r="6" spans="1:35" ht="15.75" thickBot="1" x14ac:dyDescent="0.3">
      <c r="A6" s="492"/>
      <c r="B6" s="493"/>
      <c r="C6" s="144">
        <f>'Yearly Summary '!$C$17</f>
        <v>0</v>
      </c>
      <c r="D6" s="142">
        <f>'Yearly Summary '!$D$17</f>
        <v>15062.139249867616</v>
      </c>
      <c r="E6" s="142">
        <f>'Yearly Summary '!$E$17</f>
        <v>188675.41657004593</v>
      </c>
      <c r="F6" s="142">
        <f>'Yearly Summary '!$F$17</f>
        <v>4050.7028109174967</v>
      </c>
      <c r="G6" s="142">
        <f>'Yearly Summary '!$G$17</f>
        <v>0.6249561190605164</v>
      </c>
      <c r="H6" s="142">
        <f>'Yearly Summary '!$H$17</f>
        <v>580568.69194049819</v>
      </c>
      <c r="I6" s="142">
        <f>'Yearly Summary '!$I$17</f>
        <v>6833.1207544748031</v>
      </c>
      <c r="J6" s="142">
        <f>'Yearly Summary '!$Q$17</f>
        <v>0</v>
      </c>
      <c r="K6" s="142">
        <f>'Yearly Summary '!$S$17</f>
        <v>0</v>
      </c>
      <c r="L6" s="142">
        <f>'Yearly Summary '!$U$17</f>
        <v>0</v>
      </c>
      <c r="M6" s="142">
        <f>'Yearly Summary '!$W$17</f>
        <v>34474.235498054324</v>
      </c>
      <c r="N6" s="142">
        <f>'Yearly Summary '!$Y$17</f>
        <v>3650.3569905944514</v>
      </c>
      <c r="O6" s="142">
        <f>'Yearly Summary '!$AA$17</f>
        <v>30836.941562788044</v>
      </c>
      <c r="P6" s="143">
        <f>('Yearly Summary '!$AB$17)*(1-AI6)</f>
        <v>0</v>
      </c>
      <c r="Q6" s="141">
        <f>'Yearly Summary '!$J$17</f>
        <v>84456.342870241802</v>
      </c>
      <c r="R6" s="142">
        <f>'Yearly Summary '!$K$17</f>
        <v>158012.25392068631</v>
      </c>
      <c r="S6" s="142">
        <f>'Yearly Summary '!$L$17</f>
        <v>8242.8103590220217</v>
      </c>
      <c r="T6" s="142">
        <f>'Yearly Summary '!$M$17</f>
        <v>0</v>
      </c>
      <c r="U6" s="142">
        <f>'Yearly Summary '!N17</f>
        <v>37.053008772432797</v>
      </c>
      <c r="V6" s="142">
        <f>'Yearly Summary '!O17</f>
        <v>0.68754923343658447</v>
      </c>
      <c r="W6" s="142">
        <f>'Yearly Summary '!$P$17</f>
        <v>0</v>
      </c>
      <c r="X6" s="142">
        <f>'Yearly Summary '!$R$17</f>
        <v>0</v>
      </c>
      <c r="Y6" s="142">
        <f>'Yearly Summary '!$T$17</f>
        <v>0</v>
      </c>
      <c r="Z6" s="142">
        <f>'Yearly Summary '!$V$17</f>
        <v>97968.824317398918</v>
      </c>
      <c r="AA6" s="142">
        <f>'Yearly Summary '!$X$17</f>
        <v>9258.9002832499827</v>
      </c>
      <c r="AB6" s="142">
        <f>'Yearly Summary '!$Z$17</f>
        <v>84473.076420974889</v>
      </c>
      <c r="AC6" s="143">
        <f>('Yearly Summary '!$AB$17)*AI6</f>
        <v>0</v>
      </c>
      <c r="AD6" s="144">
        <v>4688.3846085177338</v>
      </c>
      <c r="AE6" s="142">
        <v>0</v>
      </c>
      <c r="AF6" s="147">
        <f>'Yearly Summary '!$AE$17</f>
        <v>4363.3744050878295</v>
      </c>
      <c r="AG6" s="147">
        <f>'Yearly Summary '!$AF$17</f>
        <v>3139.2116760337271</v>
      </c>
      <c r="AH6" s="147">
        <f>'Yearly Summary '!$AG$17</f>
        <v>1180.4271202146288</v>
      </c>
      <c r="AI6" s="148">
        <f>'Yearly Summary '!$AH$17</f>
        <v>0.72673013279725152</v>
      </c>
    </row>
    <row r="7" spans="1:35" ht="15" customHeight="1" x14ac:dyDescent="0.25">
      <c r="A7" s="494" t="s">
        <v>103</v>
      </c>
      <c r="B7" s="495"/>
      <c r="C7" s="152">
        <f>(C6*(1.029*8.34)*0.03)/2000</f>
        <v>0</v>
      </c>
      <c r="D7" s="150">
        <f>(D6*(1.4*8.34)*0.38)/2000</f>
        <v>33.414452197476308</v>
      </c>
      <c r="E7" s="150">
        <f>(E6*(1.54*8.34)*0.5)/2000</f>
        <v>605.81789506476048</v>
      </c>
      <c r="F7" s="150">
        <f>(F6*(1.04*8.34)*1)/2000</f>
        <v>17.567087950387002</v>
      </c>
      <c r="G7" s="150">
        <f>(G6*(1.055*8.34)*0.005)/2000</f>
        <v>1.3747003511944413E-5</v>
      </c>
      <c r="H7" s="150">
        <f>H6/2000</f>
        <v>290.28434597024909</v>
      </c>
      <c r="I7" s="150">
        <f>(I6*(1.135*8.34)*0.35)/2000</f>
        <v>11.31928660621203</v>
      </c>
      <c r="J7" s="150">
        <f>(J6*(1.055*8.34)*1)/2000</f>
        <v>0</v>
      </c>
      <c r="K7" s="150">
        <f>(K6*(1.055*8.34)*1)/2000</f>
        <v>0</v>
      </c>
      <c r="L7" s="150">
        <f>(L6*(1.4*8.34)*0.38)/2000</f>
        <v>0</v>
      </c>
      <c r="M7" s="150">
        <f>M6/2000</f>
        <v>17.237117749027163</v>
      </c>
      <c r="N7" s="150">
        <f>(N6*(0.895*8.34)*0.29)/2000</f>
        <v>3.9508671543096536</v>
      </c>
      <c r="O7" s="150">
        <f>(O6*(1.54*8.34)*0.5)/2000</f>
        <v>99.014335663956132</v>
      </c>
      <c r="P7" s="151">
        <f>(P6*(1.135*8.34)*0.35)/2000</f>
        <v>0</v>
      </c>
      <c r="Q7" s="149">
        <f>(Q6*(1.029*8.34)*0.03)/2000</f>
        <v>10.871887659366198</v>
      </c>
      <c r="R7" s="150">
        <f>(R6*(1.4*8.34)*0.38)/2000</f>
        <v>350.54070458780728</v>
      </c>
      <c r="S7" s="150">
        <f>(S6*(1.04*8.34)*1)/2000</f>
        <v>35.747419965006699</v>
      </c>
      <c r="T7" s="150">
        <f>(T6*(1.135*8.34)*0.35)/2000</f>
        <v>0</v>
      </c>
      <c r="U7" s="150">
        <f>(U6*(1.055*8.34)*0.005)/2000</f>
        <v>8.1504577071501115E-4</v>
      </c>
      <c r="V7" s="150">
        <f>(V6*(1.055*8.34)*0.005)/2000</f>
        <v>1.5123848600596191E-5</v>
      </c>
      <c r="W7" s="150">
        <f>(W6*(1.055*8.34)*1)/2000</f>
        <v>0</v>
      </c>
      <c r="X7" s="150">
        <f>(X6*(1.055*8.34)*1)/2000</f>
        <v>0</v>
      </c>
      <c r="Y7" s="150">
        <f>(Y6*(1.4*8.34)*0.38)/2000</f>
        <v>0</v>
      </c>
      <c r="Z7" s="150">
        <f>Z6/2000</f>
        <v>48.984412158699456</v>
      </c>
      <c r="AA7" s="150">
        <f>(AA6*(0.895*8.34)*0.29)/2000</f>
        <v>10.021125360718111</v>
      </c>
      <c r="AB7" s="150">
        <f>(AB6*(1.54*8.34)*0.5)/2000</f>
        <v>271.23460108010823</v>
      </c>
      <c r="AC7" s="151">
        <f>(AC6*(1.135*8.34)*0.35)/2000</f>
        <v>0</v>
      </c>
      <c r="AD7" s="152">
        <f>AD6/2000</f>
        <v>2.344192304258867</v>
      </c>
      <c r="AE7" s="150">
        <f>(AE6*(1.029*8.34)*0.03)/2000</f>
        <v>0</v>
      </c>
      <c r="AF7" s="440" t="s">
        <v>160</v>
      </c>
      <c r="AG7" s="441"/>
      <c r="AH7" s="441"/>
      <c r="AI7" s="442"/>
    </row>
    <row r="8" spans="1:35" x14ac:dyDescent="0.25">
      <c r="A8" s="449" t="s">
        <v>104</v>
      </c>
      <c r="B8" s="450"/>
      <c r="C8" s="156">
        <f>C7/$AH$6</f>
        <v>0</v>
      </c>
      <c r="D8" s="154">
        <f>D7/$AH$6</f>
        <v>2.8307086159966226E-2</v>
      </c>
      <c r="E8" s="154">
        <f t="shared" ref="E8:P8" si="0">E7/$AH$6</f>
        <v>0.51321922776105722</v>
      </c>
      <c r="F8" s="154">
        <f t="shared" si="0"/>
        <v>1.4881975896311923E-2</v>
      </c>
      <c r="G8" s="154">
        <f t="shared" si="0"/>
        <v>1.1645787593769357E-8</v>
      </c>
      <c r="H8" s="154">
        <f t="shared" si="0"/>
        <v>0.2459146702063815</v>
      </c>
      <c r="I8" s="154">
        <f t="shared" si="0"/>
        <v>9.5891448208627432E-3</v>
      </c>
      <c r="J8" s="154">
        <f t="shared" si="0"/>
        <v>0</v>
      </c>
      <c r="K8" s="154">
        <f t="shared" si="0"/>
        <v>0</v>
      </c>
      <c r="L8" s="154">
        <f t="shared" si="0"/>
        <v>0</v>
      </c>
      <c r="M8" s="154">
        <f t="shared" si="0"/>
        <v>1.460244131454135E-2</v>
      </c>
      <c r="N8" s="154">
        <f t="shared" si="0"/>
        <v>3.3469810093750604E-3</v>
      </c>
      <c r="O8" s="154">
        <f t="shared" si="0"/>
        <v>8.3880092187269509E-2</v>
      </c>
      <c r="P8" s="155">
        <f t="shared" si="0"/>
        <v>0</v>
      </c>
      <c r="Q8" s="153">
        <f>Q7/$AG$6</f>
        <v>3.463254084574E-3</v>
      </c>
      <c r="R8" s="154">
        <f t="shared" ref="R8:AD8" si="1">R7/$AG$6</f>
        <v>0.1116652015740149</v>
      </c>
      <c r="S8" s="154">
        <f t="shared" si="1"/>
        <v>1.1387387552715841E-2</v>
      </c>
      <c r="T8" s="154">
        <f t="shared" si="1"/>
        <v>0</v>
      </c>
      <c r="U8" s="154">
        <f t="shared" si="1"/>
        <v>2.5963390010857439E-7</v>
      </c>
      <c r="V8" s="154">
        <f t="shared" si="1"/>
        <v>4.8177218236218434E-9</v>
      </c>
      <c r="W8" s="154">
        <f t="shared" si="1"/>
        <v>0</v>
      </c>
      <c r="X8" s="154">
        <f t="shared" si="1"/>
        <v>0</v>
      </c>
      <c r="Y8" s="154">
        <f t="shared" si="1"/>
        <v>0</v>
      </c>
      <c r="Z8" s="154">
        <f t="shared" si="1"/>
        <v>1.5604048791188676E-2</v>
      </c>
      <c r="AA8" s="154">
        <f t="shared" si="1"/>
        <v>3.1922426376100308E-3</v>
      </c>
      <c r="AB8" s="154">
        <f t="shared" si="1"/>
        <v>8.6402138202672174E-2</v>
      </c>
      <c r="AC8" s="155">
        <f t="shared" si="1"/>
        <v>0</v>
      </c>
      <c r="AD8" s="156">
        <f t="shared" si="1"/>
        <v>7.467455355609099E-4</v>
      </c>
      <c r="AE8" s="154"/>
      <c r="AF8" s="443"/>
      <c r="AG8" s="444"/>
      <c r="AH8" s="444"/>
      <c r="AI8" s="445"/>
    </row>
    <row r="9" spans="1:35" ht="15.75" thickBot="1" x14ac:dyDescent="0.3">
      <c r="A9" s="451" t="s">
        <v>105</v>
      </c>
      <c r="B9" s="452"/>
      <c r="C9" s="219">
        <f t="shared" ref="C9:P9" si="2">C7/$AH$19</f>
        <v>0</v>
      </c>
      <c r="D9" s="157">
        <f t="shared" si="2"/>
        <v>6.415259171249392E-2</v>
      </c>
      <c r="E9" s="157">
        <f t="shared" si="2"/>
        <v>1.1631131297477144</v>
      </c>
      <c r="F9" s="157">
        <f t="shared" si="2"/>
        <v>3.3727149384294434E-2</v>
      </c>
      <c r="G9" s="157">
        <f t="shared" si="2"/>
        <v>2.6392948127953978E-8</v>
      </c>
      <c r="H9" s="157">
        <f t="shared" si="2"/>
        <v>0.55731852246149405</v>
      </c>
      <c r="I9" s="157">
        <f t="shared" si="2"/>
        <v>2.1731961003983363E-2</v>
      </c>
      <c r="J9" s="157">
        <f t="shared" si="2"/>
        <v>0</v>
      </c>
      <c r="K9" s="157">
        <f t="shared" si="2"/>
        <v>0</v>
      </c>
      <c r="L9" s="157">
        <f t="shared" si="2"/>
        <v>0</v>
      </c>
      <c r="M9" s="157">
        <f t="shared" si="2"/>
        <v>3.3093637768421655E-2</v>
      </c>
      <c r="N9" s="157">
        <f t="shared" si="2"/>
        <v>7.5852917163751338E-3</v>
      </c>
      <c r="O9" s="157">
        <f t="shared" si="2"/>
        <v>0.19009817105465976</v>
      </c>
      <c r="P9" s="158">
        <f t="shared" si="2"/>
        <v>0</v>
      </c>
      <c r="Q9" s="159">
        <f t="shared" ref="Q9:AD9" si="3">Q7/$AF$19</f>
        <v>3.5690416466564578E-3</v>
      </c>
      <c r="R9" s="160">
        <f t="shared" si="3"/>
        <v>0.11507609466920467</v>
      </c>
      <c r="S9" s="160">
        <f t="shared" si="3"/>
        <v>1.1735223414097093E-2</v>
      </c>
      <c r="T9" s="160">
        <f t="shared" si="3"/>
        <v>0</v>
      </c>
      <c r="U9" s="160">
        <f t="shared" si="3"/>
        <v>2.6756460246413807E-7</v>
      </c>
      <c r="V9" s="160">
        <f t="shared" si="3"/>
        <v>4.9648825672653744E-9</v>
      </c>
      <c r="W9" s="160">
        <f t="shared" si="3"/>
        <v>0</v>
      </c>
      <c r="X9" s="160">
        <f t="shared" si="3"/>
        <v>0</v>
      </c>
      <c r="Y9" s="160">
        <f t="shared" si="3"/>
        <v>0</v>
      </c>
      <c r="Z9" s="160">
        <f t="shared" si="3"/>
        <v>1.6080685572644641E-2</v>
      </c>
      <c r="AA9" s="160">
        <f t="shared" si="3"/>
        <v>3.2897519620666508E-3</v>
      </c>
      <c r="AB9" s="160">
        <f t="shared" si="3"/>
        <v>8.9041353038189094E-2</v>
      </c>
      <c r="AC9" s="161">
        <f t="shared" si="3"/>
        <v>0</v>
      </c>
      <c r="AD9" s="162">
        <f t="shared" si="3"/>
        <v>7.6955540967751392E-4</v>
      </c>
      <c r="AE9" s="160"/>
      <c r="AF9" s="446"/>
      <c r="AG9" s="447"/>
      <c r="AH9" s="447"/>
      <c r="AI9" s="448"/>
    </row>
    <row r="10" spans="1:35" ht="15.75" thickBot="1" x14ac:dyDescent="0.3">
      <c r="A10" s="481" t="s">
        <v>106</v>
      </c>
      <c r="B10" s="482"/>
      <c r="C10" s="166">
        <f>'Yearly Summary '!$C$30</f>
        <v>0</v>
      </c>
      <c r="D10" s="164">
        <f>'Yearly Summary '!D30</f>
        <v>19915.013509695884</v>
      </c>
      <c r="E10" s="164">
        <f>'Yearly Summary '!E30</f>
        <v>414379.44022429612</v>
      </c>
      <c r="F10" s="164">
        <f>'Yearly Summary '!F30</f>
        <v>17567.087950386998</v>
      </c>
      <c r="G10" s="164">
        <f>'Yearly Summary '!G30</f>
        <v>0</v>
      </c>
      <c r="H10" s="164">
        <f>'Yearly Summary '!H30</f>
        <v>30479.856326876157</v>
      </c>
      <c r="I10" s="164">
        <f>'Yearly Summary '!I30</f>
        <v>24708.385620417117</v>
      </c>
      <c r="J10" s="164">
        <f>'Yearly Summary '!$Q$30</f>
        <v>0</v>
      </c>
      <c r="K10" s="164">
        <v>1.2105721215442565E-3</v>
      </c>
      <c r="L10" s="164">
        <v>1.8505665867433036E-2</v>
      </c>
      <c r="M10" s="164">
        <f>'Yearly Summary '!$W$30</f>
        <v>8842.6414052509335</v>
      </c>
      <c r="N10" s="164">
        <f>'Yearly Summary '!$Y$30</f>
        <v>5931.8301097159838</v>
      </c>
      <c r="O10" s="164">
        <f>'Yearly Summary '!$AA$30</f>
        <v>67725.80559414599</v>
      </c>
      <c r="P10" s="165">
        <f>('Yearly Summary '!$AB$30)*(1-AI6)</f>
        <v>0</v>
      </c>
      <c r="Q10" s="163">
        <f>'Yearly Summary '!J30</f>
        <v>68058.016747632399</v>
      </c>
      <c r="R10" s="164">
        <f>'Yearly Summary '!K30</f>
        <v>208922.25993433309</v>
      </c>
      <c r="S10" s="164">
        <f>'Yearly Summary '!L30</f>
        <v>35747.419965006702</v>
      </c>
      <c r="T10" s="164">
        <f>'Yearly Summary '!M30</f>
        <v>0</v>
      </c>
      <c r="U10" s="164">
        <f>'Yearly Summary '!N30</f>
        <v>0</v>
      </c>
      <c r="V10" s="164">
        <f>'Yearly Summary '!O30</f>
        <v>0</v>
      </c>
      <c r="W10" s="164">
        <f>'Yearly Summary '!$P$30</f>
        <v>0</v>
      </c>
      <c r="X10" s="164">
        <f>'Yearly Summary '!$R$30</f>
        <v>0</v>
      </c>
      <c r="Y10" s="164">
        <v>0.11860580125559859</v>
      </c>
      <c r="Z10" s="164">
        <f>'Yearly Summary '!$V$30</f>
        <v>25129.003437412826</v>
      </c>
      <c r="AA10" s="164">
        <f>'Yearly Summary '!$X$30</f>
        <v>15045.712960281218</v>
      </c>
      <c r="AB10" s="164">
        <f>'Yearly Summary '!$Z$30</f>
        <v>185524.46713879411</v>
      </c>
      <c r="AC10" s="165">
        <f>('Yearly Summary '!$AB$30)*AI6</f>
        <v>0</v>
      </c>
      <c r="AD10" s="166">
        <f>'Yearly Summary '!$AC$30</f>
        <v>3506.1466175647092</v>
      </c>
      <c r="AE10" s="164">
        <f>'Yearly Summary '!$AD$30</f>
        <v>0</v>
      </c>
      <c r="AF10" s="167" t="s">
        <v>107</v>
      </c>
      <c r="AG10" s="168">
        <f>'[1]Yearly Summary '!$Q$29</f>
        <v>42.185885911956788</v>
      </c>
      <c r="AH10" s="167" t="s">
        <v>108</v>
      </c>
      <c r="AI10" s="169">
        <f>'[1]Yearly Summary '!$R$29</f>
        <v>89.382557874206555</v>
      </c>
    </row>
    <row r="11" spans="1:35" ht="15.75" thickBot="1" x14ac:dyDescent="0.3">
      <c r="A11" s="216"/>
      <c r="B11" s="217"/>
      <c r="C11" s="485" t="s">
        <v>117</v>
      </c>
      <c r="D11" s="486"/>
      <c r="E11" s="486"/>
      <c r="F11" s="220">
        <f>SUM(C10:P10)</f>
        <v>589550.08045702323</v>
      </c>
      <c r="G11" s="487" t="s">
        <v>118</v>
      </c>
      <c r="H11" s="486"/>
      <c r="I11" s="486"/>
      <c r="J11" s="221">
        <f>SUM(Q10:AE10)</f>
        <v>541933.1454068264</v>
      </c>
      <c r="K11" s="487" t="s">
        <v>119</v>
      </c>
      <c r="L11" s="488"/>
      <c r="M11" s="488">
        <f>SUM(C10:AE10)</f>
        <v>1131483.2258638493</v>
      </c>
      <c r="N11" s="496"/>
      <c r="O11" s="497" t="s">
        <v>120</v>
      </c>
      <c r="P11" s="498"/>
      <c r="Q11" s="498"/>
      <c r="R11" s="222">
        <f>($AG$6+$AH$6)/($AG$19+$AI$19)</f>
        <v>1.2573702414724013</v>
      </c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184"/>
      <c r="AF11" s="547" t="s">
        <v>110</v>
      </c>
      <c r="AG11" s="547" t="s">
        <v>111</v>
      </c>
      <c r="AH11" s="547" t="s">
        <v>112</v>
      </c>
      <c r="AI11" s="547" t="s">
        <v>113</v>
      </c>
    </row>
    <row r="12" spans="1:35" ht="21.75" customHeight="1" thickBot="1" x14ac:dyDescent="0.3">
      <c r="A12" s="453">
        <f>A1+1</f>
        <v>2017</v>
      </c>
      <c r="B12" s="483"/>
      <c r="C12" s="484" t="s">
        <v>109</v>
      </c>
      <c r="D12" s="484"/>
      <c r="E12" s="484"/>
      <c r="F12" s="484"/>
      <c r="G12" s="484"/>
      <c r="H12" s="484"/>
      <c r="I12" s="484"/>
      <c r="J12" s="484"/>
      <c r="K12" s="484"/>
      <c r="L12" s="484"/>
      <c r="M12" s="484"/>
      <c r="N12" s="484"/>
      <c r="O12" s="484"/>
      <c r="P12" s="484"/>
      <c r="Q12" s="484"/>
      <c r="R12" s="484"/>
      <c r="S12" s="457"/>
      <c r="T12" s="457"/>
      <c r="U12" s="457"/>
      <c r="V12" s="457"/>
      <c r="W12" s="457"/>
      <c r="X12" s="457"/>
      <c r="Y12" s="457"/>
      <c r="Z12" s="457"/>
      <c r="AA12" s="457"/>
      <c r="AB12" s="457"/>
      <c r="AC12" s="457"/>
      <c r="AD12" s="457"/>
      <c r="AE12" s="457"/>
      <c r="AF12" s="548"/>
      <c r="AG12" s="548"/>
      <c r="AH12" s="548"/>
      <c r="AI12" s="548"/>
    </row>
    <row r="13" spans="1:35" ht="15" customHeight="1" x14ac:dyDescent="0.25">
      <c r="A13" s="492" t="s">
        <v>114</v>
      </c>
      <c r="B13" s="508"/>
      <c r="C13" s="170" t="s">
        <v>100</v>
      </c>
      <c r="D13" s="171" t="s">
        <v>100</v>
      </c>
      <c r="E13" s="171" t="s">
        <v>100</v>
      </c>
      <c r="F13" s="171" t="s">
        <v>100</v>
      </c>
      <c r="G13" s="171" t="s">
        <v>100</v>
      </c>
      <c r="H13" s="171" t="s">
        <v>101</v>
      </c>
      <c r="I13" s="171" t="s">
        <v>100</v>
      </c>
      <c r="J13" s="171" t="s">
        <v>100</v>
      </c>
      <c r="K13" s="171" t="s">
        <v>100</v>
      </c>
      <c r="L13" s="171" t="s">
        <v>100</v>
      </c>
      <c r="M13" s="171" t="s">
        <v>101</v>
      </c>
      <c r="N13" s="171" t="s">
        <v>100</v>
      </c>
      <c r="O13" s="171" t="s">
        <v>100</v>
      </c>
      <c r="P13" s="172" t="s">
        <v>100</v>
      </c>
      <c r="Q13" s="141" t="s">
        <v>100</v>
      </c>
      <c r="R13" s="142" t="s">
        <v>100</v>
      </c>
      <c r="S13" s="142" t="s">
        <v>100</v>
      </c>
      <c r="T13" s="142" t="s">
        <v>100</v>
      </c>
      <c r="U13" s="142" t="s">
        <v>100</v>
      </c>
      <c r="V13" s="142" t="s">
        <v>100</v>
      </c>
      <c r="W13" s="142" t="s">
        <v>100</v>
      </c>
      <c r="X13" s="142" t="s">
        <v>100</v>
      </c>
      <c r="Y13" s="142" t="s">
        <v>100</v>
      </c>
      <c r="Z13" s="142" t="s">
        <v>101</v>
      </c>
      <c r="AA13" s="142" t="s">
        <v>100</v>
      </c>
      <c r="AB13" s="142" t="s">
        <v>100</v>
      </c>
      <c r="AC13" s="143" t="s">
        <v>100</v>
      </c>
      <c r="AD13" s="144" t="s">
        <v>101</v>
      </c>
      <c r="AE13" s="173" t="s">
        <v>100</v>
      </c>
      <c r="AF13" s="548"/>
      <c r="AG13" s="548"/>
      <c r="AH13" s="548"/>
      <c r="AI13" s="548"/>
    </row>
    <row r="14" spans="1:35" x14ac:dyDescent="0.25">
      <c r="A14" s="492"/>
      <c r="B14" s="508"/>
      <c r="C14" s="141">
        <f t="shared" ref="C14:P14" si="4">(C6/$AH$6)*$AB$18</f>
        <v>0</v>
      </c>
      <c r="D14" s="142">
        <f t="shared" si="4"/>
        <v>15634.323806674394</v>
      </c>
      <c r="E14" s="142">
        <f t="shared" si="4"/>
        <v>195842.86853815962</v>
      </c>
      <c r="F14" s="142">
        <f t="shared" si="4"/>
        <v>4204.5819879833416</v>
      </c>
      <c r="G14" s="142">
        <f t="shared" si="4"/>
        <v>0.64869711853450995</v>
      </c>
      <c r="H14" s="142">
        <f t="shared" si="4"/>
        <v>602623.49001287587</v>
      </c>
      <c r="I14" s="142">
        <f t="shared" si="4"/>
        <v>7092.6991653264176</v>
      </c>
      <c r="J14" s="142">
        <f t="shared" si="4"/>
        <v>0</v>
      </c>
      <c r="K14" s="142">
        <f t="shared" si="4"/>
        <v>0</v>
      </c>
      <c r="L14" s="142">
        <f t="shared" si="4"/>
        <v>0</v>
      </c>
      <c r="M14" s="142">
        <f t="shared" si="4"/>
        <v>35783.851936494837</v>
      </c>
      <c r="N14" s="142">
        <f t="shared" si="4"/>
        <v>3789.0277240274972</v>
      </c>
      <c r="O14" s="142">
        <f t="shared" si="4"/>
        <v>32008.383510619955</v>
      </c>
      <c r="P14" s="143">
        <f t="shared" si="4"/>
        <v>0</v>
      </c>
      <c r="Q14" s="141">
        <f t="shared" ref="Q14:AE14" si="5">(Q6/$AG$6)*$T$18</f>
        <v>101583.7312795757</v>
      </c>
      <c r="R14" s="142">
        <f t="shared" si="5"/>
        <v>190056.46936217052</v>
      </c>
      <c r="S14" s="142">
        <f t="shared" si="5"/>
        <v>9914.4173669214269</v>
      </c>
      <c r="T14" s="142">
        <f t="shared" si="5"/>
        <v>0</v>
      </c>
      <c r="U14" s="142">
        <f t="shared" si="5"/>
        <v>44.567201921370597</v>
      </c>
      <c r="V14" s="142">
        <f t="shared" si="5"/>
        <v>0.82698130415388527</v>
      </c>
      <c r="W14" s="142">
        <f t="shared" si="5"/>
        <v>0</v>
      </c>
      <c r="X14" s="142">
        <f t="shared" si="5"/>
        <v>0</v>
      </c>
      <c r="Y14" s="142">
        <f t="shared" si="5"/>
        <v>0</v>
      </c>
      <c r="Z14" s="142">
        <f t="shared" si="5"/>
        <v>117836.48669851669</v>
      </c>
      <c r="AA14" s="142">
        <f t="shared" si="5"/>
        <v>11136.566021608516</v>
      </c>
      <c r="AB14" s="142">
        <f t="shared" si="5"/>
        <v>101603.8583234809</v>
      </c>
      <c r="AC14" s="143">
        <f t="shared" si="5"/>
        <v>0</v>
      </c>
      <c r="AD14" s="144">
        <f t="shared" si="5"/>
        <v>5639.1691378194364</v>
      </c>
      <c r="AE14" s="173">
        <f t="shared" si="5"/>
        <v>0</v>
      </c>
      <c r="AF14" s="548"/>
      <c r="AG14" s="548"/>
      <c r="AH14" s="548"/>
      <c r="AI14" s="548"/>
    </row>
    <row r="15" spans="1:35" x14ac:dyDescent="0.25">
      <c r="A15" s="494" t="s">
        <v>115</v>
      </c>
      <c r="B15" s="509"/>
      <c r="C15" s="149">
        <f t="shared" ref="C15:P15" si="6">C8*$AB$18</f>
        <v>0</v>
      </c>
      <c r="D15" s="150">
        <f t="shared" si="6"/>
        <v>34.683809305678736</v>
      </c>
      <c r="E15" s="150">
        <f t="shared" si="6"/>
        <v>628.83186658917668</v>
      </c>
      <c r="F15" s="150">
        <f t="shared" si="6"/>
        <v>18.234431165486161</v>
      </c>
      <c r="G15" s="150">
        <f t="shared" si="6"/>
        <v>1.4269228342123982E-5</v>
      </c>
      <c r="H15" s="150">
        <f t="shared" si="6"/>
        <v>301.31174500643795</v>
      </c>
      <c r="I15" s="150">
        <f t="shared" si="6"/>
        <v>11.749286680086081</v>
      </c>
      <c r="J15" s="150">
        <f t="shared" si="6"/>
        <v>0</v>
      </c>
      <c r="K15" s="150">
        <f t="shared" si="6"/>
        <v>0</v>
      </c>
      <c r="L15" s="150">
        <f t="shared" si="6"/>
        <v>0</v>
      </c>
      <c r="M15" s="150">
        <f t="shared" si="6"/>
        <v>17.891925968247421</v>
      </c>
      <c r="N15" s="150">
        <f t="shared" si="6"/>
        <v>4.100953747866475</v>
      </c>
      <c r="O15" s="150">
        <f t="shared" si="6"/>
        <v>102.77571861424961</v>
      </c>
      <c r="P15" s="151">
        <f t="shared" si="6"/>
        <v>0</v>
      </c>
      <c r="Q15" s="149">
        <f t="shared" ref="Q15:AD15" si="7">Q8*$T$18</f>
        <v>13.076660401784091</v>
      </c>
      <c r="R15" s="150">
        <f t="shared" si="7"/>
        <v>421.6288738918135</v>
      </c>
      <c r="S15" s="150">
        <f t="shared" si="7"/>
        <v>42.996845236864836</v>
      </c>
      <c r="T15" s="150">
        <f t="shared" si="7"/>
        <v>0</v>
      </c>
      <c r="U15" s="150">
        <f t="shared" si="7"/>
        <v>9.8033359886390867E-4</v>
      </c>
      <c r="V15" s="150">
        <f t="shared" si="7"/>
        <v>1.8190901002146979E-5</v>
      </c>
      <c r="W15" s="150">
        <f t="shared" si="7"/>
        <v>0</v>
      </c>
      <c r="X15" s="150">
        <f t="shared" si="7"/>
        <v>0</v>
      </c>
      <c r="Y15" s="150">
        <f t="shared" si="7"/>
        <v>0</v>
      </c>
      <c r="Z15" s="150">
        <f t="shared" si="7"/>
        <v>58.91824334925834</v>
      </c>
      <c r="AA15" s="150">
        <f t="shared" si="7"/>
        <v>12.053367114488402</v>
      </c>
      <c r="AB15" s="150">
        <f t="shared" si="7"/>
        <v>326.23982869086484</v>
      </c>
      <c r="AC15" s="151">
        <f t="shared" si="7"/>
        <v>0</v>
      </c>
      <c r="AD15" s="152">
        <f t="shared" si="7"/>
        <v>2.8195845689097188</v>
      </c>
      <c r="AE15" s="174">
        <f>(AE14*(1.029*8.34)*0.03)/2000</f>
        <v>0</v>
      </c>
      <c r="AF15" s="548"/>
      <c r="AG15" s="548"/>
      <c r="AH15" s="548"/>
      <c r="AI15" s="548"/>
    </row>
    <row r="16" spans="1:35" ht="15" customHeight="1" thickBot="1" x14ac:dyDescent="0.3">
      <c r="A16" s="481" t="s">
        <v>116</v>
      </c>
      <c r="B16" s="510"/>
      <c r="C16" s="175">
        <f>$AI$30*C15</f>
        <v>0</v>
      </c>
      <c r="D16" s="176">
        <f>$AI$28*D15</f>
        <v>20671.550346184526</v>
      </c>
      <c r="E16" s="176">
        <f>$AI$31*E15</f>
        <v>430120.99674699683</v>
      </c>
      <c r="F16" s="176">
        <f>$AI$26*F15</f>
        <v>18234.431165486159</v>
      </c>
      <c r="G16" s="177">
        <f>$AI$23*G15</f>
        <v>0</v>
      </c>
      <c r="H16" s="177">
        <f>$AI$24*H15</f>
        <v>31637.733225675984</v>
      </c>
      <c r="I16" s="177">
        <f>$AI$29*I15</f>
        <v>25647.014353102193</v>
      </c>
      <c r="J16" s="177">
        <v>0</v>
      </c>
      <c r="K16" s="177">
        <f>'Yearly Summary '!$S$30</f>
        <v>0</v>
      </c>
      <c r="L16" s="177">
        <f>'Yearly Summary '!$U$30</f>
        <v>0</v>
      </c>
      <c r="M16" s="177">
        <f>$AI$27*M15</f>
        <v>9178.5580217109273</v>
      </c>
      <c r="N16" s="177">
        <f>$AI$22*N15</f>
        <v>6157.1700515446837</v>
      </c>
      <c r="O16" s="177">
        <f>$AI$31*O15</f>
        <v>70298.591532146733</v>
      </c>
      <c r="P16" s="178">
        <v>0</v>
      </c>
      <c r="Q16" s="179">
        <f>$AI$30*Q15</f>
        <v>81859.894115168412</v>
      </c>
      <c r="R16" s="177">
        <f>$AI$28*R15</f>
        <v>251290.80883952085</v>
      </c>
      <c r="S16" s="177">
        <f>$AI$26*S15</f>
        <v>42996.845236864836</v>
      </c>
      <c r="T16" s="177">
        <f>$AI$25*T15</f>
        <v>0</v>
      </c>
      <c r="U16" s="177">
        <f>$AI$23*U15</f>
        <v>0</v>
      </c>
      <c r="V16" s="177">
        <f>$AI$23*V15</f>
        <v>0</v>
      </c>
      <c r="W16" s="177">
        <v>0</v>
      </c>
      <c r="X16" s="177">
        <v>0</v>
      </c>
      <c r="Y16" s="177">
        <f>'Yearly Summary '!$T$30</f>
        <v>0</v>
      </c>
      <c r="Z16" s="177">
        <f>$AI$27*Z15</f>
        <v>30225.058838169527</v>
      </c>
      <c r="AA16" s="177">
        <f>$AI$22*AA15</f>
        <v>18096.919785113834</v>
      </c>
      <c r="AB16" s="177">
        <f>$AI$31*AB15</f>
        <v>223148.04282455155</v>
      </c>
      <c r="AC16" s="178">
        <v>0</v>
      </c>
      <c r="AD16" s="180">
        <f>$AI$27*AD15</f>
        <v>1446.4468838506857</v>
      </c>
      <c r="AE16" s="181">
        <f>$AI$30*AE15</f>
        <v>0</v>
      </c>
      <c r="AF16" s="548"/>
      <c r="AG16" s="548"/>
      <c r="AH16" s="548"/>
      <c r="AI16" s="548"/>
    </row>
    <row r="17" spans="1:35" ht="15" customHeight="1" thickBot="1" x14ac:dyDescent="0.3">
      <c r="A17" s="511"/>
      <c r="B17" s="512"/>
      <c r="C17" s="513" t="s">
        <v>117</v>
      </c>
      <c r="D17" s="514"/>
      <c r="E17" s="514"/>
      <c r="F17" s="182">
        <f>SUM(C16:P16)</f>
        <v>611946.045442848</v>
      </c>
      <c r="G17" s="515" t="s">
        <v>118</v>
      </c>
      <c r="H17" s="514"/>
      <c r="I17" s="514"/>
      <c r="J17" s="183">
        <f>SUM(Q16:AE16)</f>
        <v>649064.01652323967</v>
      </c>
      <c r="K17" s="515" t="s">
        <v>119</v>
      </c>
      <c r="L17" s="516"/>
      <c r="M17" s="517">
        <f>SUM(C16:AE16)</f>
        <v>1261010.0619660879</v>
      </c>
      <c r="N17" s="518"/>
      <c r="O17" s="519"/>
      <c r="P17" s="520"/>
      <c r="Q17" s="520"/>
      <c r="R17" s="223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549"/>
      <c r="AG17" s="549"/>
      <c r="AH17" s="549"/>
      <c r="AI17" s="549"/>
    </row>
    <row r="18" spans="1:35" ht="15" customHeight="1" thickTop="1" thickBot="1" x14ac:dyDescent="0.3">
      <c r="A18" s="185" t="s">
        <v>121</v>
      </c>
      <c r="B18" s="186"/>
      <c r="C18" s="186"/>
      <c r="D18" s="187">
        <v>5001.1000000000004</v>
      </c>
      <c r="E18" s="188" t="s">
        <v>122</v>
      </c>
      <c r="F18" s="189"/>
      <c r="G18" s="189"/>
      <c r="H18" s="190">
        <f>D18*((AF19+AH19)/(AG6+AH6))</f>
        <v>4129.7528431061801</v>
      </c>
      <c r="I18" s="191" t="s">
        <v>123</v>
      </c>
      <c r="J18" s="189"/>
      <c r="K18" s="189"/>
      <c r="L18" s="192">
        <v>0.755</v>
      </c>
      <c r="M18" s="191" t="s">
        <v>124</v>
      </c>
      <c r="N18" s="189"/>
      <c r="O18" s="189"/>
      <c r="P18" s="193">
        <f>L18/(1-L18)</f>
        <v>3.0816326530612246</v>
      </c>
      <c r="Q18" s="191" t="s">
        <v>125</v>
      </c>
      <c r="R18" s="189"/>
      <c r="S18" s="189"/>
      <c r="T18" s="190">
        <f>D18*L18</f>
        <v>3775.8305000000005</v>
      </c>
      <c r="U18" s="191" t="s">
        <v>126</v>
      </c>
      <c r="V18" s="189"/>
      <c r="W18" s="189"/>
      <c r="X18" s="190">
        <f>H18*L18</f>
        <v>3117.9633965451658</v>
      </c>
      <c r="Y18" s="191" t="s">
        <v>127</v>
      </c>
      <c r="Z18" s="189"/>
      <c r="AA18" s="189"/>
      <c r="AB18" s="190">
        <f>D18-T18</f>
        <v>1225.2694999999999</v>
      </c>
      <c r="AC18" s="191" t="s">
        <v>128</v>
      </c>
      <c r="AD18" s="189"/>
      <c r="AE18" s="194">
        <f>H18-X18</f>
        <v>1011.7894465610143</v>
      </c>
      <c r="AF18" s="224" t="s">
        <v>102</v>
      </c>
      <c r="AG18" s="225" t="s">
        <v>102</v>
      </c>
      <c r="AH18" s="225" t="s">
        <v>102</v>
      </c>
      <c r="AI18" s="225" t="s">
        <v>102</v>
      </c>
    </row>
    <row r="19" spans="1:35" ht="16.5" thickTop="1" thickBot="1" x14ac:dyDescent="0.3">
      <c r="O19" s="499"/>
      <c r="P19" s="499"/>
      <c r="AF19" s="195">
        <f>'[1]Yearly Summary '!$C$29</f>
        <v>3046.1644149070598</v>
      </c>
      <c r="AG19" s="195">
        <f>AF19-AG10</f>
        <v>3003.9785289951033</v>
      </c>
      <c r="AH19" s="195">
        <f>'[1]Yearly Summary '!$D$29</f>
        <v>520.85895995015176</v>
      </c>
      <c r="AI19" s="195">
        <f>AH19-AI10</f>
        <v>431.4764020759452</v>
      </c>
    </row>
    <row r="20" spans="1:35" ht="15" customHeight="1" x14ac:dyDescent="0.25">
      <c r="A20" s="500">
        <f>A12</f>
        <v>2017</v>
      </c>
      <c r="B20" s="501"/>
      <c r="C20" s="501" t="s">
        <v>129</v>
      </c>
      <c r="D20" s="501"/>
      <c r="E20" s="501"/>
      <c r="F20" s="501"/>
      <c r="G20" s="501"/>
      <c r="H20" s="501"/>
      <c r="I20" s="501"/>
      <c r="J20" s="501" t="s">
        <v>130</v>
      </c>
      <c r="K20" s="501"/>
      <c r="L20" s="501"/>
      <c r="M20" s="501"/>
      <c r="N20" s="501"/>
      <c r="O20" s="501"/>
      <c r="P20" s="502"/>
      <c r="Q20" s="196"/>
      <c r="R20" s="197">
        <f>A1</f>
        <v>2016</v>
      </c>
      <c r="S20" s="503" t="s">
        <v>131</v>
      </c>
      <c r="T20" s="504"/>
      <c r="U20" s="505" t="s">
        <v>132</v>
      </c>
      <c r="V20" s="506"/>
      <c r="W20" s="506"/>
      <c r="X20" s="506"/>
      <c r="Y20" s="507"/>
      <c r="Z20" s="521" t="s">
        <v>133</v>
      </c>
      <c r="AA20" s="522"/>
      <c r="AB20" s="522"/>
      <c r="AC20" s="522"/>
      <c r="AD20" s="523"/>
      <c r="AE20" s="524" t="s">
        <v>134</v>
      </c>
      <c r="AF20" s="525"/>
      <c r="AG20" s="525"/>
      <c r="AH20" s="525"/>
      <c r="AI20" s="526"/>
    </row>
    <row r="21" spans="1:35" ht="15.75" thickBot="1" x14ac:dyDescent="0.3">
      <c r="A21" s="527" t="s">
        <v>135</v>
      </c>
      <c r="B21" s="528"/>
      <c r="C21" s="529" t="s">
        <v>163</v>
      </c>
      <c r="D21" s="529"/>
      <c r="E21" s="529" t="s">
        <v>164</v>
      </c>
      <c r="F21" s="530"/>
      <c r="G21" s="530" t="s">
        <v>165</v>
      </c>
      <c r="H21" s="531"/>
      <c r="I21" s="531"/>
      <c r="J21" s="532" t="s">
        <v>166</v>
      </c>
      <c r="K21" s="532"/>
      <c r="L21" s="533"/>
      <c r="M21" s="532" t="s">
        <v>167</v>
      </c>
      <c r="N21" s="533"/>
      <c r="O21" s="529" t="s">
        <v>136</v>
      </c>
      <c r="P21" s="534"/>
      <c r="Q21" s="196"/>
      <c r="R21" s="535" t="s">
        <v>135</v>
      </c>
      <c r="S21" s="536"/>
      <c r="T21" s="536"/>
      <c r="U21" s="198" t="s">
        <v>137</v>
      </c>
      <c r="V21" s="248" t="s">
        <v>138</v>
      </c>
      <c r="W21" s="248" t="s">
        <v>139</v>
      </c>
      <c r="X21" s="248" t="s">
        <v>58</v>
      </c>
      <c r="Y21" s="248" t="s">
        <v>140</v>
      </c>
      <c r="Z21" s="199" t="s">
        <v>137</v>
      </c>
      <c r="AA21" s="199" t="s">
        <v>138</v>
      </c>
      <c r="AB21" s="199" t="s">
        <v>139</v>
      </c>
      <c r="AC21" s="199" t="s">
        <v>58</v>
      </c>
      <c r="AD21" s="199" t="s">
        <v>140</v>
      </c>
      <c r="AE21" s="200" t="s">
        <v>137</v>
      </c>
      <c r="AF21" s="200" t="s">
        <v>138</v>
      </c>
      <c r="AG21" s="200" t="s">
        <v>139</v>
      </c>
      <c r="AH21" s="200" t="s">
        <v>58</v>
      </c>
      <c r="AI21" s="201" t="s">
        <v>140</v>
      </c>
    </row>
    <row r="22" spans="1:35" ht="15.75" thickTop="1" x14ac:dyDescent="0.25">
      <c r="A22" s="538" t="s">
        <v>141</v>
      </c>
      <c r="B22" s="539"/>
      <c r="C22" s="540">
        <f>N15+AA15</f>
        <v>16.154320862354879</v>
      </c>
      <c r="D22" s="529"/>
      <c r="E22" s="541">
        <f>N16+AA16</f>
        <v>24254.089836658517</v>
      </c>
      <c r="F22" s="542"/>
      <c r="G22" s="543">
        <f>(C22*2000)/(8.34*0.895*0.29)</f>
        <v>14925.593745636013</v>
      </c>
      <c r="H22" s="543"/>
      <c r="I22" s="202" t="s">
        <v>142</v>
      </c>
      <c r="J22" s="544">
        <f>(G22*8.34*0.895)/27000</f>
        <v>4.1262633109463298</v>
      </c>
      <c r="K22" s="545"/>
      <c r="L22" s="203" t="s">
        <v>143</v>
      </c>
      <c r="M22" s="546">
        <f>ROUNDUP(J22,0)</f>
        <v>5</v>
      </c>
      <c r="N22" s="530"/>
      <c r="O22" s="537">
        <f>((M22*27000)/(8.34*0.895))*$Y$22</f>
        <v>29389.895904505443</v>
      </c>
      <c r="P22" s="534"/>
      <c r="Q22" s="196"/>
      <c r="R22" s="535" t="s">
        <v>141</v>
      </c>
      <c r="S22" s="536"/>
      <c r="T22" s="536"/>
      <c r="U22" s="244" t="s">
        <v>142</v>
      </c>
      <c r="V22" s="363">
        <v>1.625</v>
      </c>
      <c r="W22" s="364">
        <v>1.625</v>
      </c>
      <c r="X22" s="364">
        <v>1.625</v>
      </c>
      <c r="Y22" s="249">
        <v>1.625</v>
      </c>
      <c r="Z22" s="246" t="s">
        <v>142</v>
      </c>
      <c r="AA22" s="205">
        <f>V22</f>
        <v>1.625</v>
      </c>
      <c r="AB22" s="205">
        <f>W22</f>
        <v>1.625</v>
      </c>
      <c r="AC22" s="205">
        <f>X22</f>
        <v>1.625</v>
      </c>
      <c r="AD22" s="205">
        <f>Y22</f>
        <v>1.625</v>
      </c>
      <c r="AE22" s="206" t="s">
        <v>144</v>
      </c>
      <c r="AF22" s="207">
        <f>(V22/((0.895*8.34)*0.29))*2000</f>
        <v>1501.3995353514915</v>
      </c>
      <c r="AG22" s="207">
        <f>(W22/((0.895*8.34)*0.29))*2000</f>
        <v>1501.3995353514915</v>
      </c>
      <c r="AH22" s="207">
        <f>(X22/((0.895*8.34)*0.29))*2000</f>
        <v>1501.3995353514915</v>
      </c>
      <c r="AI22" s="208">
        <f>(Y22/((0.895*8.34)*0.29))*2000</f>
        <v>1501.3995353514915</v>
      </c>
    </row>
    <row r="23" spans="1:35" x14ac:dyDescent="0.25">
      <c r="A23" s="538" t="s">
        <v>145</v>
      </c>
      <c r="B23" s="539"/>
      <c r="C23" s="540">
        <f>G15+U15+V15</f>
        <v>1.0127937282081796E-3</v>
      </c>
      <c r="D23" s="529"/>
      <c r="E23" s="541">
        <f>G16+U16+V16</f>
        <v>0</v>
      </c>
      <c r="F23" s="542"/>
      <c r="G23" s="543">
        <f>C23*2000</f>
        <v>2.0255874564163592</v>
      </c>
      <c r="H23" s="543"/>
      <c r="I23" s="202" t="s">
        <v>146</v>
      </c>
      <c r="J23" s="544">
        <f>(G23/(8.34*1.055))/400</f>
        <v>5.7553600430073737E-4</v>
      </c>
      <c r="K23" s="545"/>
      <c r="L23" s="203" t="s">
        <v>147</v>
      </c>
      <c r="M23" s="546">
        <f t="shared" ref="M23:M31" si="8">ROUNDUP(J23,0)</f>
        <v>1</v>
      </c>
      <c r="N23" s="530"/>
      <c r="O23" s="537">
        <f>(M23*400*8.34*1.055)*$Y$23</f>
        <v>0</v>
      </c>
      <c r="P23" s="534"/>
      <c r="Q23" s="196"/>
      <c r="R23" s="535" t="s">
        <v>145</v>
      </c>
      <c r="S23" s="536"/>
      <c r="T23" s="536"/>
      <c r="U23" s="244" t="s">
        <v>146</v>
      </c>
      <c r="V23" s="365"/>
      <c r="W23" s="366"/>
      <c r="X23" s="366"/>
      <c r="Y23" s="366"/>
      <c r="Z23" s="246" t="s">
        <v>142</v>
      </c>
      <c r="AA23" s="205">
        <f>V23*8.34*0.005</f>
        <v>0</v>
      </c>
      <c r="AB23" s="205">
        <f>W23*8.34*0.005</f>
        <v>0</v>
      </c>
      <c r="AC23" s="205">
        <f>X23*8.34*0.005</f>
        <v>0</v>
      </c>
      <c r="AD23" s="205">
        <f>Y23*8.34*0.005</f>
        <v>0</v>
      </c>
      <c r="AE23" s="206" t="s">
        <v>144</v>
      </c>
      <c r="AF23" s="207">
        <f>V23*2000</f>
        <v>0</v>
      </c>
      <c r="AG23" s="207">
        <f>W23*2000</f>
        <v>0</v>
      </c>
      <c r="AH23" s="207">
        <f>X23*2000</f>
        <v>0</v>
      </c>
      <c r="AI23" s="208">
        <f>Y23*2000</f>
        <v>0</v>
      </c>
    </row>
    <row r="24" spans="1:35" x14ac:dyDescent="0.25">
      <c r="A24" s="538" t="s">
        <v>148</v>
      </c>
      <c r="B24" s="539"/>
      <c r="C24" s="540">
        <f>H15</f>
        <v>301.31174500643795</v>
      </c>
      <c r="D24" s="529"/>
      <c r="E24" s="541">
        <f>H16</f>
        <v>31637.733225675984</v>
      </c>
      <c r="F24" s="542"/>
      <c r="G24" s="543">
        <f>C24</f>
        <v>301.31174500643795</v>
      </c>
      <c r="H24" s="543"/>
      <c r="I24" s="202" t="s">
        <v>149</v>
      </c>
      <c r="J24" s="544">
        <f>(G24*2000)/40000</f>
        <v>15.065587250321897</v>
      </c>
      <c r="K24" s="545"/>
      <c r="L24" s="203" t="s">
        <v>143</v>
      </c>
      <c r="M24" s="546">
        <f t="shared" si="8"/>
        <v>16</v>
      </c>
      <c r="N24" s="530"/>
      <c r="O24" s="537">
        <f>((M24*40000)/2000)*$Y$24</f>
        <v>33600</v>
      </c>
      <c r="P24" s="534"/>
      <c r="Q24" s="196"/>
      <c r="R24" s="535" t="s">
        <v>148</v>
      </c>
      <c r="S24" s="536"/>
      <c r="T24" s="536"/>
      <c r="U24" s="244" t="s">
        <v>149</v>
      </c>
      <c r="V24" s="365">
        <v>105</v>
      </c>
      <c r="W24" s="366">
        <v>105</v>
      </c>
      <c r="X24" s="366">
        <v>105</v>
      </c>
      <c r="Y24" s="251">
        <v>105</v>
      </c>
      <c r="Z24" s="246" t="s">
        <v>146</v>
      </c>
      <c r="AA24" s="205">
        <f>V24/2000</f>
        <v>5.2499999999999998E-2</v>
      </c>
      <c r="AB24" s="205">
        <f>W24/2000</f>
        <v>5.2499999999999998E-2</v>
      </c>
      <c r="AC24" s="205">
        <f>X24/2000</f>
        <v>5.2499999999999998E-2</v>
      </c>
      <c r="AD24" s="205">
        <f>Y24/2000</f>
        <v>5.2499999999999998E-2</v>
      </c>
      <c r="AE24" s="206" t="s">
        <v>144</v>
      </c>
      <c r="AF24" s="207">
        <f>V24</f>
        <v>105</v>
      </c>
      <c r="AG24" s="207">
        <f>W24</f>
        <v>105</v>
      </c>
      <c r="AH24" s="207">
        <f>X24</f>
        <v>105</v>
      </c>
      <c r="AI24" s="207">
        <f>Y24</f>
        <v>105</v>
      </c>
    </row>
    <row r="25" spans="1:35" ht="15.75" customHeight="1" x14ac:dyDescent="0.25">
      <c r="A25" s="538" t="s">
        <v>150</v>
      </c>
      <c r="B25" s="539"/>
      <c r="C25" s="540">
        <f>T15</f>
        <v>0</v>
      </c>
      <c r="D25" s="529"/>
      <c r="E25" s="541">
        <f>T16</f>
        <v>0</v>
      </c>
      <c r="F25" s="542"/>
      <c r="G25" s="543">
        <f>C25*2000</f>
        <v>0</v>
      </c>
      <c r="H25" s="543"/>
      <c r="I25" s="202" t="s">
        <v>151</v>
      </c>
      <c r="J25" s="544">
        <f>G25/45000</f>
        <v>0</v>
      </c>
      <c r="K25" s="545"/>
      <c r="L25" s="203" t="s">
        <v>143</v>
      </c>
      <c r="M25" s="546">
        <f t="shared" si="8"/>
        <v>0</v>
      </c>
      <c r="N25" s="530"/>
      <c r="O25" s="537">
        <f>J25*45000*$Y$25</f>
        <v>0</v>
      </c>
      <c r="P25" s="534"/>
      <c r="Q25" s="196"/>
      <c r="R25" s="535" t="s">
        <v>150</v>
      </c>
      <c r="S25" s="536"/>
      <c r="T25" s="536"/>
      <c r="U25" s="244" t="s">
        <v>151</v>
      </c>
      <c r="V25" s="250"/>
      <c r="W25" s="204"/>
      <c r="X25" s="204"/>
      <c r="Y25" s="251"/>
      <c r="Z25" s="246" t="s">
        <v>142</v>
      </c>
      <c r="AA25" s="205">
        <f>V25*8.34*0.055</f>
        <v>0</v>
      </c>
      <c r="AB25" s="205">
        <f>W25*8.34*0.055</f>
        <v>0</v>
      </c>
      <c r="AC25" s="205">
        <f>X25*8.34*0.055</f>
        <v>0</v>
      </c>
      <c r="AD25" s="205">
        <f>Y25*8.34*0.055</f>
        <v>0</v>
      </c>
      <c r="AE25" s="206" t="s">
        <v>144</v>
      </c>
      <c r="AF25" s="207">
        <f>V25*2000</f>
        <v>0</v>
      </c>
      <c r="AG25" s="207">
        <f>W25*2000</f>
        <v>0</v>
      </c>
      <c r="AH25" s="207">
        <f>X25*2000</f>
        <v>0</v>
      </c>
      <c r="AI25" s="208">
        <f>Y25*2000</f>
        <v>0</v>
      </c>
    </row>
    <row r="26" spans="1:35" x14ac:dyDescent="0.25">
      <c r="A26" s="538" t="s">
        <v>152</v>
      </c>
      <c r="B26" s="539"/>
      <c r="C26" s="540">
        <f>F15+S15</f>
        <v>61.231276402351</v>
      </c>
      <c r="D26" s="529"/>
      <c r="E26" s="541">
        <f>F16+S16</f>
        <v>61231.276402350995</v>
      </c>
      <c r="F26" s="542"/>
      <c r="G26" s="543">
        <f>C26</f>
        <v>61.231276402351</v>
      </c>
      <c r="H26" s="543"/>
      <c r="I26" s="202" t="s">
        <v>149</v>
      </c>
      <c r="J26" s="544">
        <f>(G26*2000)/45000</f>
        <v>2.7213900623267113</v>
      </c>
      <c r="K26" s="545"/>
      <c r="L26" s="203" t="s">
        <v>143</v>
      </c>
      <c r="M26" s="546">
        <f t="shared" si="8"/>
        <v>3</v>
      </c>
      <c r="N26" s="530"/>
      <c r="O26" s="537">
        <f>((M26*45000)/2000)*$Y$26</f>
        <v>67500</v>
      </c>
      <c r="P26" s="534"/>
      <c r="Q26" s="196"/>
      <c r="R26" s="535" t="s">
        <v>152</v>
      </c>
      <c r="S26" s="536"/>
      <c r="T26" s="536"/>
      <c r="U26" s="244" t="s">
        <v>149</v>
      </c>
      <c r="V26" s="365">
        <v>1000</v>
      </c>
      <c r="W26" s="366">
        <v>1000</v>
      </c>
      <c r="X26" s="366">
        <v>1000</v>
      </c>
      <c r="Y26" s="251">
        <v>1000</v>
      </c>
      <c r="Z26" s="246" t="s">
        <v>142</v>
      </c>
      <c r="AA26" s="205">
        <f>(V26/2000)*8.34*1.04*1</f>
        <v>4.3368000000000002</v>
      </c>
      <c r="AB26" s="205">
        <f t="shared" ref="AB26:AD26" si="9">(W26/2000)*8.34*1.04*1</f>
        <v>4.3368000000000002</v>
      </c>
      <c r="AC26" s="205">
        <f t="shared" si="9"/>
        <v>4.3368000000000002</v>
      </c>
      <c r="AD26" s="205">
        <f t="shared" si="9"/>
        <v>4.3368000000000002</v>
      </c>
      <c r="AE26" s="206" t="s">
        <v>144</v>
      </c>
      <c r="AF26" s="207">
        <f t="shared" ref="AF26:AI28" si="10">V26</f>
        <v>1000</v>
      </c>
      <c r="AG26" s="207">
        <f t="shared" si="10"/>
        <v>1000</v>
      </c>
      <c r="AH26" s="207">
        <f t="shared" si="10"/>
        <v>1000</v>
      </c>
      <c r="AI26" s="208">
        <f t="shared" si="10"/>
        <v>1000</v>
      </c>
    </row>
    <row r="27" spans="1:35" x14ac:dyDescent="0.25">
      <c r="A27" s="538" t="s">
        <v>153</v>
      </c>
      <c r="B27" s="539"/>
      <c r="C27" s="540">
        <f>M15+Z15+AD15</f>
        <v>79.629753886415486</v>
      </c>
      <c r="D27" s="529"/>
      <c r="E27" s="541">
        <f>M16+Z16+AD16</f>
        <v>40850.063743731138</v>
      </c>
      <c r="F27" s="542"/>
      <c r="G27" s="543">
        <f>C27</f>
        <v>79.629753886415486</v>
      </c>
      <c r="H27" s="543"/>
      <c r="I27" s="202" t="s">
        <v>149</v>
      </c>
      <c r="J27" s="544">
        <f>G27/8</f>
        <v>9.9537192358019357</v>
      </c>
      <c r="K27" s="545"/>
      <c r="L27" s="203" t="s">
        <v>143</v>
      </c>
      <c r="M27" s="546">
        <f t="shared" si="8"/>
        <v>10</v>
      </c>
      <c r="N27" s="530"/>
      <c r="O27" s="537">
        <f>M27*8*$Y$27</f>
        <v>41040</v>
      </c>
      <c r="P27" s="534"/>
      <c r="Q27" s="196"/>
      <c r="R27" s="535" t="s">
        <v>153</v>
      </c>
      <c r="S27" s="536"/>
      <c r="T27" s="536"/>
      <c r="U27" s="244" t="s">
        <v>149</v>
      </c>
      <c r="V27" s="365">
        <v>513</v>
      </c>
      <c r="W27" s="366">
        <v>513</v>
      </c>
      <c r="X27" s="366">
        <v>513</v>
      </c>
      <c r="Y27" s="251">
        <v>513</v>
      </c>
      <c r="Z27" s="246" t="s">
        <v>146</v>
      </c>
      <c r="AA27" s="205">
        <f>V27/2000</f>
        <v>0.25650000000000001</v>
      </c>
      <c r="AB27" s="205">
        <f>W27/2000</f>
        <v>0.25650000000000001</v>
      </c>
      <c r="AC27" s="205">
        <f>X27/2000</f>
        <v>0.25650000000000001</v>
      </c>
      <c r="AD27" s="205">
        <f>Y27/2000</f>
        <v>0.25650000000000001</v>
      </c>
      <c r="AE27" s="206" t="s">
        <v>144</v>
      </c>
      <c r="AF27" s="207">
        <f t="shared" si="10"/>
        <v>513</v>
      </c>
      <c r="AG27" s="207">
        <f t="shared" si="10"/>
        <v>513</v>
      </c>
      <c r="AH27" s="207">
        <f t="shared" si="10"/>
        <v>513</v>
      </c>
      <c r="AI27" s="208">
        <f t="shared" si="10"/>
        <v>513</v>
      </c>
    </row>
    <row r="28" spans="1:35" x14ac:dyDescent="0.25">
      <c r="A28" s="538" t="s">
        <v>154</v>
      </c>
      <c r="B28" s="539"/>
      <c r="C28" s="540">
        <f>D15+L15+R15+Y15</f>
        <v>456.31268319749222</v>
      </c>
      <c r="D28" s="529"/>
      <c r="E28" s="541">
        <f>D16+L16+R16+Y16</f>
        <v>271962.35918570537</v>
      </c>
      <c r="F28" s="542"/>
      <c r="G28" s="543">
        <f>C28</f>
        <v>456.31268319749222</v>
      </c>
      <c r="H28" s="543"/>
      <c r="I28" s="202" t="s">
        <v>144</v>
      </c>
      <c r="J28" s="544">
        <f>((G28/0.38)*2000)/45000</f>
        <v>53.369904467542959</v>
      </c>
      <c r="K28" s="545"/>
      <c r="L28" s="203" t="s">
        <v>143</v>
      </c>
      <c r="M28" s="546">
        <f t="shared" si="8"/>
        <v>54</v>
      </c>
      <c r="N28" s="530"/>
      <c r="O28" s="537">
        <f>((M28*45000*0.38)/2000)*$Y$28</f>
        <v>275173.2</v>
      </c>
      <c r="P28" s="534"/>
      <c r="Q28" s="196"/>
      <c r="R28" s="535" t="s">
        <v>154</v>
      </c>
      <c r="S28" s="536"/>
      <c r="T28" s="536"/>
      <c r="U28" s="244" t="s">
        <v>144</v>
      </c>
      <c r="V28" s="250">
        <v>596</v>
      </c>
      <c r="W28" s="204">
        <v>596</v>
      </c>
      <c r="X28" s="204">
        <v>596</v>
      </c>
      <c r="Y28" s="251">
        <v>596</v>
      </c>
      <c r="Z28" s="246" t="s">
        <v>142</v>
      </c>
      <c r="AA28" s="205">
        <f>(V28/2000)*8.34*1.4*0.38</f>
        <v>1.3221902399999999</v>
      </c>
      <c r="AB28" s="205">
        <f>(W28/2000)*8.34*1.4*0.38</f>
        <v>1.3221902399999999</v>
      </c>
      <c r="AC28" s="205">
        <f>(X28/2000)*8.34*1.4*0.38</f>
        <v>1.3221902399999999</v>
      </c>
      <c r="AD28" s="205">
        <f>(Y28/2000)*8.34*1.4*0.38</f>
        <v>1.3221902399999999</v>
      </c>
      <c r="AE28" s="206" t="s">
        <v>144</v>
      </c>
      <c r="AF28" s="207">
        <f t="shared" si="10"/>
        <v>596</v>
      </c>
      <c r="AG28" s="207">
        <f t="shared" si="10"/>
        <v>596</v>
      </c>
      <c r="AH28" s="207">
        <f t="shared" si="10"/>
        <v>596</v>
      </c>
      <c r="AI28" s="208">
        <f t="shared" si="10"/>
        <v>596</v>
      </c>
    </row>
    <row r="29" spans="1:35" x14ac:dyDescent="0.25">
      <c r="A29" s="538" t="s">
        <v>155</v>
      </c>
      <c r="B29" s="539"/>
      <c r="C29" s="540">
        <f>I15</f>
        <v>11.749286680086081</v>
      </c>
      <c r="D29" s="529"/>
      <c r="E29" s="541">
        <f>I16</f>
        <v>25647.014353102193</v>
      </c>
      <c r="F29" s="542"/>
      <c r="G29" s="543">
        <f>C29/0.35</f>
        <v>33.569390514531662</v>
      </c>
      <c r="H29" s="543"/>
      <c r="I29" s="202" t="s">
        <v>149</v>
      </c>
      <c r="J29" s="544">
        <f>(G29*2000)/45000</f>
        <v>1.4919729117569627</v>
      </c>
      <c r="K29" s="545"/>
      <c r="L29" s="203" t="s">
        <v>143</v>
      </c>
      <c r="M29" s="546">
        <f t="shared" si="8"/>
        <v>2</v>
      </c>
      <c r="N29" s="530"/>
      <c r="O29" s="537">
        <f>((M29*45000)/2000)*$Y$29</f>
        <v>34380</v>
      </c>
      <c r="P29" s="534"/>
      <c r="Q29" s="196"/>
      <c r="R29" s="535" t="s">
        <v>155</v>
      </c>
      <c r="S29" s="536"/>
      <c r="T29" s="536"/>
      <c r="U29" s="244" t="s">
        <v>149</v>
      </c>
      <c r="V29" s="250">
        <v>764</v>
      </c>
      <c r="W29" s="204">
        <v>764</v>
      </c>
      <c r="X29" s="204">
        <v>764</v>
      </c>
      <c r="Y29" s="251">
        <v>764</v>
      </c>
      <c r="Z29" s="246" t="s">
        <v>142</v>
      </c>
      <c r="AA29" s="205">
        <f>(V29/2000)*8.34*1.135</f>
        <v>3.6159737999999999</v>
      </c>
      <c r="AB29" s="205">
        <f>(W29/2000)*8.34*1.135</f>
        <v>3.6159737999999999</v>
      </c>
      <c r="AC29" s="205">
        <f>(X29/2000)*8.34*1.135</f>
        <v>3.6159737999999999</v>
      </c>
      <c r="AD29" s="205">
        <f>(Y29/2000)*8.34*1.135</f>
        <v>3.6159737999999999</v>
      </c>
      <c r="AE29" s="206" t="s">
        <v>144</v>
      </c>
      <c r="AF29" s="207">
        <f>V29/0.35</f>
        <v>2182.8571428571431</v>
      </c>
      <c r="AG29" s="207">
        <f>W29/0.35</f>
        <v>2182.8571428571431</v>
      </c>
      <c r="AH29" s="207">
        <f>X29/0.35</f>
        <v>2182.8571428571431</v>
      </c>
      <c r="AI29" s="208">
        <f>Y29/0.35</f>
        <v>2182.8571428571431</v>
      </c>
    </row>
    <row r="30" spans="1:35" x14ac:dyDescent="0.25">
      <c r="A30" s="538" t="s">
        <v>156</v>
      </c>
      <c r="B30" s="539"/>
      <c r="C30" s="540">
        <f>C15+Q15+AE15</f>
        <v>13.076660401784091</v>
      </c>
      <c r="D30" s="529"/>
      <c r="E30" s="541">
        <f>C16+Q16+AE16</f>
        <v>81859.894115168412</v>
      </c>
      <c r="F30" s="542"/>
      <c r="G30" s="543">
        <f>C30*2000</f>
        <v>26153.320803568182</v>
      </c>
      <c r="H30" s="543"/>
      <c r="I30" s="202" t="s">
        <v>151</v>
      </c>
      <c r="J30" s="544">
        <f>G30/3300</f>
        <v>7.9252487283539947</v>
      </c>
      <c r="K30" s="545"/>
      <c r="L30" s="203" t="s">
        <v>157</v>
      </c>
      <c r="M30" s="546">
        <f t="shared" si="8"/>
        <v>8</v>
      </c>
      <c r="N30" s="530"/>
      <c r="O30" s="537">
        <f>M30*3300*$Y$30</f>
        <v>82632</v>
      </c>
      <c r="P30" s="534"/>
      <c r="Q30" s="196"/>
      <c r="R30" s="535" t="s">
        <v>156</v>
      </c>
      <c r="S30" s="536"/>
      <c r="T30" s="536"/>
      <c r="U30" s="244" t="s">
        <v>151</v>
      </c>
      <c r="V30" s="250">
        <v>3.13</v>
      </c>
      <c r="W30" s="204">
        <v>3.13</v>
      </c>
      <c r="X30" s="204">
        <v>3.13</v>
      </c>
      <c r="Y30" s="251">
        <v>3.13</v>
      </c>
      <c r="Z30" s="246" t="s">
        <v>142</v>
      </c>
      <c r="AA30" s="205">
        <f>(8.34*1.029*0.03)*V30</f>
        <v>0.80583665399999982</v>
      </c>
      <c r="AB30" s="205">
        <f>(8.34*1.029*0.03)*W30</f>
        <v>0.80583665399999982</v>
      </c>
      <c r="AC30" s="205">
        <f>(8.34*1.029*0.03)*X30</f>
        <v>0.80583665399999982</v>
      </c>
      <c r="AD30" s="205">
        <f>(8.34*1.029*0.03)*Y30</f>
        <v>0.80583665399999982</v>
      </c>
      <c r="AE30" s="206" t="s">
        <v>144</v>
      </c>
      <c r="AF30" s="207">
        <f>V30*2000</f>
        <v>6260</v>
      </c>
      <c r="AG30" s="207">
        <f>W30*2000</f>
        <v>6260</v>
      </c>
      <c r="AH30" s="207">
        <f>X30*2000</f>
        <v>6260</v>
      </c>
      <c r="AI30" s="208">
        <f>Y30*2000</f>
        <v>6260</v>
      </c>
    </row>
    <row r="31" spans="1:35" ht="15.75" thickBot="1" x14ac:dyDescent="0.3">
      <c r="A31" s="550" t="s">
        <v>158</v>
      </c>
      <c r="B31" s="551"/>
      <c r="C31" s="552">
        <f>E15+O15+AB15</f>
        <v>1057.8474138942911</v>
      </c>
      <c r="D31" s="553"/>
      <c r="E31" s="554">
        <f>E16+O16+AB16</f>
        <v>723567.63110369514</v>
      </c>
      <c r="F31" s="555"/>
      <c r="G31" s="556">
        <f>(C31/0.5)*2000</f>
        <v>4231389.6555771641</v>
      </c>
      <c r="H31" s="556"/>
      <c r="I31" s="209" t="s">
        <v>146</v>
      </c>
      <c r="J31" s="557">
        <f>G31/45000</f>
        <v>94.030881235048099</v>
      </c>
      <c r="K31" s="558"/>
      <c r="L31" s="210" t="s">
        <v>143</v>
      </c>
      <c r="M31" s="559">
        <f t="shared" si="8"/>
        <v>95</v>
      </c>
      <c r="N31" s="560"/>
      <c r="O31" s="561">
        <f>M31*45000*$Y$31</f>
        <v>731025</v>
      </c>
      <c r="P31" s="562"/>
      <c r="Q31" s="196"/>
      <c r="R31" s="563" t="s">
        <v>158</v>
      </c>
      <c r="S31" s="564"/>
      <c r="T31" s="564"/>
      <c r="U31" s="245" t="s">
        <v>146</v>
      </c>
      <c r="V31" s="252">
        <v>0.17100000000000001</v>
      </c>
      <c r="W31" s="253">
        <v>0.17100000000000001</v>
      </c>
      <c r="X31" s="253">
        <v>0.17100000000000001</v>
      </c>
      <c r="Y31" s="339">
        <v>0.17100000000000001</v>
      </c>
      <c r="Z31" s="247" t="s">
        <v>142</v>
      </c>
      <c r="AA31" s="211">
        <f>V31*8.34*1.54</f>
        <v>2.1962556000000002</v>
      </c>
      <c r="AB31" s="211">
        <f>W31*8.34*1.54</f>
        <v>2.1962556000000002</v>
      </c>
      <c r="AC31" s="211">
        <f>X31*8.34*1.54</f>
        <v>2.1962556000000002</v>
      </c>
      <c r="AD31" s="211">
        <f>Y31*8.34*1.54</f>
        <v>2.1962556000000002</v>
      </c>
      <c r="AE31" s="212" t="s">
        <v>144</v>
      </c>
      <c r="AF31" s="213">
        <f>(V31*2000)/0.5</f>
        <v>684</v>
      </c>
      <c r="AG31" s="213">
        <f>(W31*2000)/0.5</f>
        <v>684</v>
      </c>
      <c r="AH31" s="213">
        <f>(X31*2000)/0.5</f>
        <v>684</v>
      </c>
      <c r="AI31" s="214">
        <f>(Y31*2000)/0.5</f>
        <v>684</v>
      </c>
    </row>
    <row r="32" spans="1:35" x14ac:dyDescent="0.25">
      <c r="F32" s="215"/>
    </row>
    <row r="34" spans="7:7" x14ac:dyDescent="0.25">
      <c r="G34" s="196"/>
    </row>
    <row r="35" spans="7:7" x14ac:dyDescent="0.25">
      <c r="G35" s="196"/>
    </row>
    <row r="36" spans="7:7" x14ac:dyDescent="0.25">
      <c r="G36" s="196"/>
    </row>
    <row r="37" spans="7:7" x14ac:dyDescent="0.25">
      <c r="G37" s="196"/>
    </row>
    <row r="38" spans="7:7" x14ac:dyDescent="0.25">
      <c r="G38" s="196"/>
    </row>
    <row r="39" spans="7:7" x14ac:dyDescent="0.25">
      <c r="G39" s="196"/>
    </row>
    <row r="40" spans="7:7" x14ac:dyDescent="0.25">
      <c r="G40" s="196"/>
    </row>
    <row r="41" spans="7:7" x14ac:dyDescent="0.25">
      <c r="G41" s="196"/>
    </row>
    <row r="42" spans="7:7" x14ac:dyDescent="0.25">
      <c r="G42" s="196"/>
    </row>
    <row r="43" spans="7:7" x14ac:dyDescent="0.25">
      <c r="G43" s="196"/>
    </row>
    <row r="44" spans="7:7" x14ac:dyDescent="0.25">
      <c r="G44" s="196"/>
    </row>
    <row r="45" spans="7:7" x14ac:dyDescent="0.25">
      <c r="G45" s="196"/>
    </row>
  </sheetData>
  <sheetProtection selectLockedCells="1" selectUnlockedCells="1"/>
  <mergeCells count="135">
    <mergeCell ref="AF11:AF17"/>
    <mergeCell ref="AG11:AG17"/>
    <mergeCell ref="AH11:AH17"/>
    <mergeCell ref="AI11:AI17"/>
    <mergeCell ref="O30:P30"/>
    <mergeCell ref="R30:T30"/>
    <mergeCell ref="A31:B31"/>
    <mergeCell ref="C31:D31"/>
    <mergeCell ref="E31:F31"/>
    <mergeCell ref="G31:H31"/>
    <mergeCell ref="J31:K31"/>
    <mergeCell ref="M31:N31"/>
    <mergeCell ref="O31:P31"/>
    <mergeCell ref="R31:T31"/>
    <mergeCell ref="A30:B30"/>
    <mergeCell ref="C30:D30"/>
    <mergeCell ref="E30:F30"/>
    <mergeCell ref="G30:H30"/>
    <mergeCell ref="J30:K30"/>
    <mergeCell ref="M30:N30"/>
    <mergeCell ref="O28:P28"/>
    <mergeCell ref="R28:T28"/>
    <mergeCell ref="A29:B29"/>
    <mergeCell ref="C29:D29"/>
    <mergeCell ref="E29:F29"/>
    <mergeCell ref="G29:H29"/>
    <mergeCell ref="J29:K29"/>
    <mergeCell ref="M29:N29"/>
    <mergeCell ref="O29:P29"/>
    <mergeCell ref="R29:T29"/>
    <mergeCell ref="A28:B28"/>
    <mergeCell ref="C28:D28"/>
    <mergeCell ref="E28:F28"/>
    <mergeCell ref="G28:H28"/>
    <mergeCell ref="J28:K28"/>
    <mergeCell ref="M28:N28"/>
    <mergeCell ref="O26:P26"/>
    <mergeCell ref="R26:T26"/>
    <mergeCell ref="A27:B27"/>
    <mergeCell ref="C27:D27"/>
    <mergeCell ref="E27:F27"/>
    <mergeCell ref="G27:H27"/>
    <mergeCell ref="J27:K27"/>
    <mergeCell ref="M27:N27"/>
    <mergeCell ref="O27:P27"/>
    <mergeCell ref="R27:T27"/>
    <mergeCell ref="A26:B26"/>
    <mergeCell ref="C26:D26"/>
    <mergeCell ref="E26:F26"/>
    <mergeCell ref="G26:H26"/>
    <mergeCell ref="J26:K26"/>
    <mergeCell ref="M26:N26"/>
    <mergeCell ref="O24:P24"/>
    <mergeCell ref="R24:T24"/>
    <mergeCell ref="A25:B25"/>
    <mergeCell ref="C25:D25"/>
    <mergeCell ref="E25:F25"/>
    <mergeCell ref="G25:H25"/>
    <mergeCell ref="J25:K25"/>
    <mergeCell ref="M25:N25"/>
    <mergeCell ref="O25:P25"/>
    <mergeCell ref="R25:T25"/>
    <mergeCell ref="A24:B24"/>
    <mergeCell ref="C24:D24"/>
    <mergeCell ref="E24:F24"/>
    <mergeCell ref="G24:H24"/>
    <mergeCell ref="J24:K24"/>
    <mergeCell ref="M24:N24"/>
    <mergeCell ref="O22:P22"/>
    <mergeCell ref="R22:T22"/>
    <mergeCell ref="A23:B23"/>
    <mergeCell ref="C23:D23"/>
    <mergeCell ref="E23:F23"/>
    <mergeCell ref="G23:H23"/>
    <mergeCell ref="J23:K23"/>
    <mergeCell ref="M23:N23"/>
    <mergeCell ref="O23:P23"/>
    <mergeCell ref="R23:T23"/>
    <mergeCell ref="A22:B22"/>
    <mergeCell ref="C22:D22"/>
    <mergeCell ref="E22:F22"/>
    <mergeCell ref="G22:H22"/>
    <mergeCell ref="J22:K22"/>
    <mergeCell ref="M22:N22"/>
    <mergeCell ref="Z20:AD20"/>
    <mergeCell ref="AE20:AI20"/>
    <mergeCell ref="A21:B21"/>
    <mergeCell ref="C21:D21"/>
    <mergeCell ref="E21:F21"/>
    <mergeCell ref="G21:I21"/>
    <mergeCell ref="J21:L21"/>
    <mergeCell ref="M21:N21"/>
    <mergeCell ref="O21:P21"/>
    <mergeCell ref="R21:T21"/>
    <mergeCell ref="O19:P19"/>
    <mergeCell ref="A20:B20"/>
    <mergeCell ref="C20:I20"/>
    <mergeCell ref="J20:P20"/>
    <mergeCell ref="S20:T20"/>
    <mergeCell ref="U20:Y20"/>
    <mergeCell ref="A13:B14"/>
    <mergeCell ref="A15:B15"/>
    <mergeCell ref="A16:B16"/>
    <mergeCell ref="A17:B17"/>
    <mergeCell ref="C17:E17"/>
    <mergeCell ref="G17:I17"/>
    <mergeCell ref="K17:L17"/>
    <mergeCell ref="M17:N17"/>
    <mergeCell ref="O17:Q17"/>
    <mergeCell ref="A10:B10"/>
    <mergeCell ref="A12:B12"/>
    <mergeCell ref="C12:AE12"/>
    <mergeCell ref="C11:E11"/>
    <mergeCell ref="G11:I11"/>
    <mergeCell ref="K11:L11"/>
    <mergeCell ref="Q3:V3"/>
    <mergeCell ref="W3:Y3"/>
    <mergeCell ref="Z3:AC3"/>
    <mergeCell ref="A5:B6"/>
    <mergeCell ref="A7:B7"/>
    <mergeCell ref="M11:N11"/>
    <mergeCell ref="O11:Q11"/>
    <mergeCell ref="AF7:AI9"/>
    <mergeCell ref="A8:B8"/>
    <mergeCell ref="A9:B9"/>
    <mergeCell ref="A1:B1"/>
    <mergeCell ref="C1:AI1"/>
    <mergeCell ref="A2:B4"/>
    <mergeCell ref="C2:P2"/>
    <mergeCell ref="Q2:AC2"/>
    <mergeCell ref="AD2:AE3"/>
    <mergeCell ref="AF2:AI3"/>
    <mergeCell ref="C3:I3"/>
    <mergeCell ref="J3:L3"/>
    <mergeCell ref="M3:P3"/>
  </mergeCells>
  <pageMargins left="0.7" right="0.7" top="0.75" bottom="0.75" header="0.3" footer="0.3"/>
  <pageSetup paperSize="17" scale="61" orientation="landscape" r:id="rId1"/>
  <ignoredErrors>
    <ignoredError sqref="J11 F11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2"/>
  <sheetViews>
    <sheetView topLeftCell="A26" zoomScale="80" zoomScaleNormal="80" workbookViewId="0">
      <selection activeCell="B48" sqref="B48"/>
    </sheetView>
  </sheetViews>
  <sheetFormatPr defaultRowHeight="15" x14ac:dyDescent="0.25"/>
  <cols>
    <col min="1" max="1" width="36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81" t="s">
        <v>3</v>
      </c>
      <c r="C4" s="582"/>
      <c r="D4" s="582"/>
      <c r="E4" s="582"/>
      <c r="F4" s="582"/>
      <c r="G4" s="582"/>
      <c r="H4" s="583"/>
      <c r="I4" s="581" t="s">
        <v>4</v>
      </c>
      <c r="J4" s="582"/>
      <c r="K4" s="582"/>
      <c r="L4" s="582"/>
      <c r="M4" s="582"/>
      <c r="N4" s="583"/>
      <c r="O4" s="587" t="s">
        <v>5</v>
      </c>
      <c r="P4" s="588"/>
      <c r="Q4" s="589"/>
      <c r="R4" s="589"/>
      <c r="S4" s="589"/>
      <c r="T4" s="590"/>
      <c r="U4" s="581" t="s">
        <v>6</v>
      </c>
      <c r="V4" s="594"/>
      <c r="W4" s="594"/>
      <c r="X4" s="594"/>
      <c r="Y4" s="594"/>
      <c r="Z4" s="594"/>
      <c r="AA4" s="595"/>
      <c r="AB4" s="574" t="s">
        <v>7</v>
      </c>
      <c r="AC4" s="600" t="s">
        <v>8</v>
      </c>
      <c r="AD4" s="579" t="s">
        <v>27</v>
      </c>
      <c r="AE4" s="579" t="s">
        <v>31</v>
      </c>
      <c r="AF4" s="579" t="s">
        <v>32</v>
      </c>
      <c r="AG4" s="579" t="s">
        <v>33</v>
      </c>
      <c r="AH4" s="574" t="s">
        <v>175</v>
      </c>
      <c r="AI4" s="574" t="s">
        <v>176</v>
      </c>
      <c r="AJ4" s="574" t="s">
        <v>177</v>
      </c>
      <c r="AK4" s="574" t="s">
        <v>178</v>
      </c>
      <c r="AL4" s="574" t="s">
        <v>179</v>
      </c>
      <c r="AM4" s="574" t="s">
        <v>180</v>
      </c>
      <c r="AN4" s="574" t="s">
        <v>181</v>
      </c>
      <c r="AO4" s="574" t="s">
        <v>184</v>
      </c>
      <c r="AP4" s="574" t="s">
        <v>182</v>
      </c>
      <c r="AQ4" s="574" t="s">
        <v>183</v>
      </c>
    </row>
    <row r="5" spans="1:47" ht="30" customHeight="1" thickBot="1" x14ac:dyDescent="0.3">
      <c r="A5" s="13"/>
      <c r="B5" s="584"/>
      <c r="C5" s="585"/>
      <c r="D5" s="585"/>
      <c r="E5" s="585"/>
      <c r="F5" s="585"/>
      <c r="G5" s="585"/>
      <c r="H5" s="586"/>
      <c r="I5" s="584"/>
      <c r="J5" s="585"/>
      <c r="K5" s="585"/>
      <c r="L5" s="585"/>
      <c r="M5" s="585"/>
      <c r="N5" s="586"/>
      <c r="O5" s="591"/>
      <c r="P5" s="592"/>
      <c r="Q5" s="592"/>
      <c r="R5" s="592"/>
      <c r="S5" s="592"/>
      <c r="T5" s="593"/>
      <c r="U5" s="596"/>
      <c r="V5" s="597"/>
      <c r="W5" s="597"/>
      <c r="X5" s="597"/>
      <c r="Y5" s="597"/>
      <c r="Z5" s="597"/>
      <c r="AA5" s="598"/>
      <c r="AB5" s="599"/>
      <c r="AC5" s="601"/>
      <c r="AD5" s="580"/>
      <c r="AE5" s="580"/>
      <c r="AF5" s="580"/>
      <c r="AG5" s="580"/>
      <c r="AH5" s="575"/>
      <c r="AI5" s="575"/>
      <c r="AJ5" s="575"/>
      <c r="AK5" s="575"/>
      <c r="AL5" s="575"/>
      <c r="AM5" s="575"/>
      <c r="AN5" s="575"/>
      <c r="AO5" s="575"/>
      <c r="AP5" s="575"/>
      <c r="AQ5" s="575"/>
      <c r="AT5" t="s">
        <v>171</v>
      </c>
      <c r="AU5" s="337" t="s">
        <v>209</v>
      </c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98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42370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0</v>
      </c>
      <c r="J8" s="50">
        <v>0</v>
      </c>
      <c r="K8" s="50">
        <v>0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5">
        <v>0</v>
      </c>
      <c r="AB8" s="56">
        <v>0</v>
      </c>
      <c r="AC8" s="57">
        <v>0</v>
      </c>
      <c r="AD8" s="57">
        <v>0</v>
      </c>
      <c r="AE8" s="58">
        <v>0</v>
      </c>
      <c r="AF8" s="58">
        <v>0</v>
      </c>
      <c r="AG8" s="58">
        <v>0</v>
      </c>
      <c r="AH8" s="57">
        <v>303.54791038831081</v>
      </c>
      <c r="AI8" s="57">
        <v>631.34622554779071</v>
      </c>
      <c r="AJ8" s="57">
        <v>1428.0066701253254</v>
      </c>
      <c r="AK8" s="57">
        <v>274.06706261634827</v>
      </c>
      <c r="AL8" s="57">
        <v>1573.6762484232586</v>
      </c>
      <c r="AM8" s="57">
        <v>1997.9382249196369</v>
      </c>
      <c r="AN8" s="57">
        <v>601.55940319697061</v>
      </c>
      <c r="AO8" s="57">
        <v>392.88088480631512</v>
      </c>
      <c r="AP8" s="57">
        <v>94.270299911499023</v>
      </c>
      <c r="AQ8" s="57">
        <v>685.80155191421522</v>
      </c>
    </row>
    <row r="9" spans="1:47" x14ac:dyDescent="0.25">
      <c r="A9" s="11">
        <v>42371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0</v>
      </c>
      <c r="J9" s="60">
        <v>0</v>
      </c>
      <c r="K9" s="60">
        <v>0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0</v>
      </c>
      <c r="V9" s="62">
        <v>0</v>
      </c>
      <c r="W9" s="62">
        <v>0</v>
      </c>
      <c r="X9" s="62">
        <v>0</v>
      </c>
      <c r="Y9" s="66">
        <v>0</v>
      </c>
      <c r="Z9" s="66">
        <v>0</v>
      </c>
      <c r="AA9" s="67">
        <v>0</v>
      </c>
      <c r="AB9" s="68">
        <v>0</v>
      </c>
      <c r="AC9" s="69">
        <v>0</v>
      </c>
      <c r="AD9" s="69">
        <v>0</v>
      </c>
      <c r="AE9" s="68">
        <v>0</v>
      </c>
      <c r="AF9" s="68">
        <v>0</v>
      </c>
      <c r="AG9" s="68">
        <v>0</v>
      </c>
      <c r="AH9" s="69">
        <v>281.18521032333376</v>
      </c>
      <c r="AI9" s="69">
        <v>589.17687021891277</v>
      </c>
      <c r="AJ9" s="69">
        <v>1393.416833686829</v>
      </c>
      <c r="AK9" s="69">
        <v>253.3560468196869</v>
      </c>
      <c r="AL9" s="69">
        <v>1531.2951153437293</v>
      </c>
      <c r="AM9" s="69">
        <v>1905.0569970448817</v>
      </c>
      <c r="AN9" s="69">
        <v>565.64627059300744</v>
      </c>
      <c r="AO9" s="69">
        <v>376.12713441848757</v>
      </c>
      <c r="AP9" s="69">
        <v>94.270299911499023</v>
      </c>
      <c r="AQ9" s="69">
        <v>682.6751285870871</v>
      </c>
    </row>
    <row r="10" spans="1:47" x14ac:dyDescent="0.25">
      <c r="A10" s="11">
        <v>42372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0</v>
      </c>
      <c r="J10" s="60">
        <v>0</v>
      </c>
      <c r="K10" s="60">
        <v>0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0</v>
      </c>
      <c r="V10" s="62">
        <v>0</v>
      </c>
      <c r="W10" s="62">
        <v>0</v>
      </c>
      <c r="X10" s="62">
        <v>0</v>
      </c>
      <c r="Y10" s="66">
        <v>0</v>
      </c>
      <c r="Z10" s="66">
        <v>0</v>
      </c>
      <c r="AA10" s="67">
        <v>0</v>
      </c>
      <c r="AB10" s="68">
        <v>0</v>
      </c>
      <c r="AC10" s="69">
        <v>0</v>
      </c>
      <c r="AD10" s="69">
        <v>0</v>
      </c>
      <c r="AE10" s="68">
        <v>0</v>
      </c>
      <c r="AF10" s="68">
        <v>0</v>
      </c>
      <c r="AG10" s="68">
        <v>0</v>
      </c>
      <c r="AH10" s="69">
        <v>259.58235375881196</v>
      </c>
      <c r="AI10" s="69">
        <v>553.85517737070711</v>
      </c>
      <c r="AJ10" s="69">
        <v>1348.3966249465941</v>
      </c>
      <c r="AK10" s="69">
        <v>241.44061599572504</v>
      </c>
      <c r="AL10" s="69">
        <v>1484.0725970586141</v>
      </c>
      <c r="AM10" s="69">
        <v>1886.7379993438719</v>
      </c>
      <c r="AN10" s="69">
        <v>532.41969987551386</v>
      </c>
      <c r="AO10" s="69">
        <v>328.72343749999999</v>
      </c>
      <c r="AP10" s="69">
        <v>94.583477807044972</v>
      </c>
      <c r="AQ10" s="69">
        <v>653.3060828844707</v>
      </c>
    </row>
    <row r="11" spans="1:47" x14ac:dyDescent="0.25">
      <c r="A11" s="11">
        <v>42373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0</v>
      </c>
      <c r="J11" s="60">
        <v>0</v>
      </c>
      <c r="K11" s="60">
        <v>0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0</v>
      </c>
      <c r="V11" s="62">
        <v>0</v>
      </c>
      <c r="W11" s="62">
        <v>0</v>
      </c>
      <c r="X11" s="62">
        <v>0</v>
      </c>
      <c r="Y11" s="66">
        <v>0</v>
      </c>
      <c r="Z11" s="66">
        <v>0</v>
      </c>
      <c r="AA11" s="67">
        <v>0</v>
      </c>
      <c r="AB11" s="68">
        <v>0</v>
      </c>
      <c r="AC11" s="69">
        <v>0</v>
      </c>
      <c r="AD11" s="69">
        <v>0</v>
      </c>
      <c r="AE11" s="68">
        <v>0</v>
      </c>
      <c r="AF11" s="68">
        <v>0</v>
      </c>
      <c r="AG11" s="68">
        <v>0</v>
      </c>
      <c r="AH11" s="69">
        <v>246.5287323792775</v>
      </c>
      <c r="AI11" s="69">
        <v>527.71924133300786</v>
      </c>
      <c r="AJ11" s="69">
        <v>1319.6452494939169</v>
      </c>
      <c r="AK11" s="69">
        <v>228.97818640073137</v>
      </c>
      <c r="AL11" s="69">
        <v>1439.5264060338338</v>
      </c>
      <c r="AM11" s="69">
        <v>1951.8478347778318</v>
      </c>
      <c r="AN11" s="69">
        <v>513.62043091456087</v>
      </c>
      <c r="AO11" s="69">
        <v>267.62835900783534</v>
      </c>
      <c r="AP11" s="69">
        <v>90.873481750488281</v>
      </c>
      <c r="AQ11" s="69">
        <v>750.52287076314292</v>
      </c>
    </row>
    <row r="12" spans="1:47" x14ac:dyDescent="0.25">
      <c r="A12" s="11">
        <v>42374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0</v>
      </c>
      <c r="J12" s="60">
        <v>0</v>
      </c>
      <c r="K12" s="60">
        <v>0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0</v>
      </c>
      <c r="V12" s="62">
        <v>0</v>
      </c>
      <c r="W12" s="62">
        <v>0</v>
      </c>
      <c r="X12" s="62">
        <v>0</v>
      </c>
      <c r="Y12" s="66">
        <v>0</v>
      </c>
      <c r="Z12" s="66">
        <v>0</v>
      </c>
      <c r="AA12" s="67">
        <v>0</v>
      </c>
      <c r="AB12" s="68">
        <v>0</v>
      </c>
      <c r="AC12" s="69">
        <v>0</v>
      </c>
      <c r="AD12" s="69">
        <v>0</v>
      </c>
      <c r="AE12" s="68">
        <v>0</v>
      </c>
      <c r="AF12" s="68">
        <v>0</v>
      </c>
      <c r="AG12" s="68">
        <v>0</v>
      </c>
      <c r="AH12" s="69">
        <v>241.94501755237579</v>
      </c>
      <c r="AI12" s="69">
        <v>505.0205543359121</v>
      </c>
      <c r="AJ12" s="69">
        <v>1312.5332403818768</v>
      </c>
      <c r="AK12" s="69">
        <v>213.73136339982349</v>
      </c>
      <c r="AL12" s="69">
        <v>1500.2456470489501</v>
      </c>
      <c r="AM12" s="69">
        <v>1953.6758460998537</v>
      </c>
      <c r="AN12" s="69">
        <v>568.49441288312278</v>
      </c>
      <c r="AO12" s="69">
        <v>319.572056333224</v>
      </c>
      <c r="AP12" s="69">
        <v>91.079948747158056</v>
      </c>
      <c r="AQ12" s="69">
        <v>736.14799884160357</v>
      </c>
    </row>
    <row r="13" spans="1:47" x14ac:dyDescent="0.25">
      <c r="A13" s="11">
        <v>42375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0</v>
      </c>
      <c r="J13" s="60">
        <v>0</v>
      </c>
      <c r="K13" s="60">
        <v>0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0</v>
      </c>
      <c r="V13" s="62">
        <v>0</v>
      </c>
      <c r="W13" s="62">
        <v>0</v>
      </c>
      <c r="X13" s="62">
        <v>0</v>
      </c>
      <c r="Y13" s="66">
        <v>0</v>
      </c>
      <c r="Z13" s="66">
        <v>0</v>
      </c>
      <c r="AA13" s="67">
        <v>0</v>
      </c>
      <c r="AB13" s="68">
        <v>0</v>
      </c>
      <c r="AC13" s="69">
        <v>0</v>
      </c>
      <c r="AD13" s="69">
        <v>0</v>
      </c>
      <c r="AE13" s="68">
        <v>0</v>
      </c>
      <c r="AF13" s="68">
        <v>0</v>
      </c>
      <c r="AG13" s="68">
        <v>0</v>
      </c>
      <c r="AH13" s="69">
        <v>247.20029855569203</v>
      </c>
      <c r="AI13" s="69">
        <v>525.25818395614613</v>
      </c>
      <c r="AJ13" s="69">
        <v>1343.0802440643311</v>
      </c>
      <c r="AK13" s="69">
        <v>231.99220408598583</v>
      </c>
      <c r="AL13" s="69">
        <v>1455.6241857528685</v>
      </c>
      <c r="AM13" s="69">
        <v>1935.6614933013918</v>
      </c>
      <c r="AN13" s="69">
        <v>560.90150753657019</v>
      </c>
      <c r="AO13" s="69">
        <v>326.02265206178032</v>
      </c>
      <c r="AP13" s="69">
        <v>89.565799744923908</v>
      </c>
      <c r="AQ13" s="69">
        <v>718.63896357218425</v>
      </c>
    </row>
    <row r="14" spans="1:47" x14ac:dyDescent="0.25">
      <c r="A14" s="11">
        <v>42376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0</v>
      </c>
      <c r="J14" s="60">
        <v>0</v>
      </c>
      <c r="K14" s="60">
        <v>0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0</v>
      </c>
      <c r="V14" s="62">
        <v>0</v>
      </c>
      <c r="W14" s="62">
        <v>0</v>
      </c>
      <c r="X14" s="62">
        <v>0</v>
      </c>
      <c r="Y14" s="66">
        <v>0</v>
      </c>
      <c r="Z14" s="66">
        <v>0</v>
      </c>
      <c r="AA14" s="67">
        <v>0</v>
      </c>
      <c r="AB14" s="68">
        <v>0</v>
      </c>
      <c r="AC14" s="69">
        <v>0</v>
      </c>
      <c r="AD14" s="69">
        <v>0</v>
      </c>
      <c r="AE14" s="68">
        <v>0</v>
      </c>
      <c r="AF14" s="68">
        <v>0</v>
      </c>
      <c r="AG14" s="68">
        <v>0</v>
      </c>
      <c r="AH14" s="69">
        <v>257.83512345949805</v>
      </c>
      <c r="AI14" s="69">
        <v>535.86867877642317</v>
      </c>
      <c r="AJ14" s="69">
        <v>1324.2141803741454</v>
      </c>
      <c r="AK14" s="69">
        <v>232.02420682907106</v>
      </c>
      <c r="AL14" s="69">
        <v>1453.3232172648113</v>
      </c>
      <c r="AM14" s="69">
        <v>1926.9087548573814</v>
      </c>
      <c r="AN14" s="69">
        <v>550.69791517257693</v>
      </c>
      <c r="AO14" s="69">
        <v>283.74816314379376</v>
      </c>
      <c r="AP14" s="69">
        <v>92.977096990744286</v>
      </c>
      <c r="AQ14" s="69">
        <v>749.46805702845268</v>
      </c>
    </row>
    <row r="15" spans="1:47" x14ac:dyDescent="0.25">
      <c r="A15" s="11">
        <v>42377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0</v>
      </c>
      <c r="J15" s="60">
        <v>0</v>
      </c>
      <c r="K15" s="60">
        <v>0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0</v>
      </c>
      <c r="V15" s="62">
        <v>0</v>
      </c>
      <c r="W15" s="62">
        <v>0</v>
      </c>
      <c r="X15" s="62">
        <v>0</v>
      </c>
      <c r="Y15" s="66">
        <v>0</v>
      </c>
      <c r="Z15" s="66">
        <v>0</v>
      </c>
      <c r="AA15" s="67">
        <v>0</v>
      </c>
      <c r="AB15" s="68">
        <v>0</v>
      </c>
      <c r="AC15" s="69">
        <v>0</v>
      </c>
      <c r="AD15" s="69">
        <v>0</v>
      </c>
      <c r="AE15" s="68">
        <v>0</v>
      </c>
      <c r="AF15" s="68">
        <v>0</v>
      </c>
      <c r="AG15" s="68">
        <v>0</v>
      </c>
      <c r="AH15" s="69">
        <v>278.5242225329082</v>
      </c>
      <c r="AI15" s="69">
        <v>581.41326295534759</v>
      </c>
      <c r="AJ15" s="69">
        <v>1372.302304903666</v>
      </c>
      <c r="AK15" s="69">
        <v>249.00109072526294</v>
      </c>
      <c r="AL15" s="69">
        <v>1539.9084847768149</v>
      </c>
      <c r="AM15" s="69">
        <v>1948.2075341542559</v>
      </c>
      <c r="AN15" s="69">
        <v>627.06211299896233</v>
      </c>
      <c r="AO15" s="69">
        <v>374.44146695137027</v>
      </c>
      <c r="AP15" s="69">
        <v>93.237047779560086</v>
      </c>
      <c r="AQ15" s="69">
        <v>721.55017824172955</v>
      </c>
    </row>
    <row r="16" spans="1:47" x14ac:dyDescent="0.25">
      <c r="A16" s="11">
        <v>42378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0</v>
      </c>
      <c r="J16" s="60">
        <v>0</v>
      </c>
      <c r="K16" s="60">
        <v>0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0</v>
      </c>
      <c r="V16" s="62">
        <v>0</v>
      </c>
      <c r="W16" s="62">
        <v>0</v>
      </c>
      <c r="X16" s="62">
        <v>0</v>
      </c>
      <c r="Y16" s="66">
        <v>0</v>
      </c>
      <c r="Z16" s="66">
        <v>0</v>
      </c>
      <c r="AA16" s="67">
        <v>0</v>
      </c>
      <c r="AB16" s="68">
        <v>0</v>
      </c>
      <c r="AC16" s="69">
        <v>0</v>
      </c>
      <c r="AD16" s="69">
        <v>0</v>
      </c>
      <c r="AE16" s="68">
        <v>0</v>
      </c>
      <c r="AF16" s="68">
        <v>0</v>
      </c>
      <c r="AG16" s="68">
        <v>0</v>
      </c>
      <c r="AH16" s="69">
        <v>283.7917272965114</v>
      </c>
      <c r="AI16" s="69">
        <v>579.38345915476498</v>
      </c>
      <c r="AJ16" s="69">
        <v>1370.9803658167521</v>
      </c>
      <c r="AK16" s="69">
        <v>257.69619937737787</v>
      </c>
      <c r="AL16" s="69">
        <v>1552.5650787989298</v>
      </c>
      <c r="AM16" s="69">
        <v>1897.3762331644693</v>
      </c>
      <c r="AN16" s="69">
        <v>628.01143131256106</v>
      </c>
      <c r="AO16" s="69">
        <v>371.33531869252522</v>
      </c>
      <c r="AP16" s="69">
        <v>94.274900436401367</v>
      </c>
      <c r="AQ16" s="69">
        <v>675.70705496470134</v>
      </c>
    </row>
    <row r="17" spans="1:43" x14ac:dyDescent="0.25">
      <c r="A17" s="11">
        <v>42379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0</v>
      </c>
      <c r="J17" s="50">
        <v>0</v>
      </c>
      <c r="K17" s="50">
        <v>0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0</v>
      </c>
      <c r="V17" s="66">
        <v>0</v>
      </c>
      <c r="W17" s="62">
        <v>0</v>
      </c>
      <c r="X17" s="62">
        <v>0</v>
      </c>
      <c r="Y17" s="66">
        <v>0</v>
      </c>
      <c r="Z17" s="66">
        <v>0</v>
      </c>
      <c r="AA17" s="67">
        <v>0</v>
      </c>
      <c r="AB17" s="68">
        <v>0</v>
      </c>
      <c r="AC17" s="69">
        <v>0</v>
      </c>
      <c r="AD17" s="69">
        <v>0</v>
      </c>
      <c r="AE17" s="68">
        <v>0</v>
      </c>
      <c r="AF17" s="68">
        <v>0</v>
      </c>
      <c r="AG17" s="68">
        <v>0</v>
      </c>
      <c r="AH17" s="69">
        <v>295.84137288729352</v>
      </c>
      <c r="AI17" s="69">
        <v>571.13633476893096</v>
      </c>
      <c r="AJ17" s="69">
        <v>1421.0223917643229</v>
      </c>
      <c r="AK17" s="69">
        <v>271.80312865575161</v>
      </c>
      <c r="AL17" s="69">
        <v>1573.3145715077715</v>
      </c>
      <c r="AM17" s="69">
        <v>1968.9720005035399</v>
      </c>
      <c r="AN17" s="69">
        <v>621.28720483779898</v>
      </c>
      <c r="AO17" s="69">
        <v>400.48968521753949</v>
      </c>
      <c r="AP17" s="69">
        <v>91.804804420471214</v>
      </c>
      <c r="AQ17" s="69">
        <v>701.52057644526155</v>
      </c>
    </row>
    <row r="18" spans="1:43" x14ac:dyDescent="0.25">
      <c r="A18" s="11">
        <v>42380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0</v>
      </c>
      <c r="J18" s="60">
        <v>0</v>
      </c>
      <c r="K18" s="60">
        <v>0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0</v>
      </c>
      <c r="V18" s="62">
        <v>0</v>
      </c>
      <c r="W18" s="62">
        <v>0</v>
      </c>
      <c r="X18" s="62">
        <v>0</v>
      </c>
      <c r="Y18" s="66">
        <v>0</v>
      </c>
      <c r="Z18" s="66">
        <v>0</v>
      </c>
      <c r="AA18" s="67">
        <v>0</v>
      </c>
      <c r="AB18" s="68">
        <v>0</v>
      </c>
      <c r="AC18" s="69">
        <v>0</v>
      </c>
      <c r="AD18" s="69">
        <v>0</v>
      </c>
      <c r="AE18" s="68">
        <v>0</v>
      </c>
      <c r="AF18" s="68">
        <v>0</v>
      </c>
      <c r="AG18" s="68">
        <v>0</v>
      </c>
      <c r="AH18" s="69">
        <v>278.52908000946042</v>
      </c>
      <c r="AI18" s="69">
        <v>574.61963030497236</v>
      </c>
      <c r="AJ18" s="69">
        <v>1386.180518277486</v>
      </c>
      <c r="AK18" s="69">
        <v>255.52177022298181</v>
      </c>
      <c r="AL18" s="69">
        <v>1515.0446432113649</v>
      </c>
      <c r="AM18" s="69">
        <v>2016.841845830282</v>
      </c>
      <c r="AN18" s="69">
        <v>607.8608497937521</v>
      </c>
      <c r="AO18" s="69">
        <v>402.27563665707908</v>
      </c>
      <c r="AP18" s="69">
        <v>92.051774819691971</v>
      </c>
      <c r="AQ18" s="69">
        <v>752.6302346229553</v>
      </c>
    </row>
    <row r="19" spans="1:43" x14ac:dyDescent="0.25">
      <c r="A19" s="11">
        <v>42381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0</v>
      </c>
      <c r="J19" s="60">
        <v>0</v>
      </c>
      <c r="K19" s="60">
        <v>0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0</v>
      </c>
      <c r="V19" s="62">
        <v>0</v>
      </c>
      <c r="W19" s="62">
        <v>0</v>
      </c>
      <c r="X19" s="62">
        <v>0</v>
      </c>
      <c r="Y19" s="66">
        <v>0</v>
      </c>
      <c r="Z19" s="66">
        <v>0</v>
      </c>
      <c r="AA19" s="67">
        <v>0</v>
      </c>
      <c r="AB19" s="68">
        <v>0</v>
      </c>
      <c r="AC19" s="69">
        <v>0</v>
      </c>
      <c r="AD19" s="69">
        <v>0</v>
      </c>
      <c r="AE19" s="68">
        <v>0</v>
      </c>
      <c r="AF19" s="68">
        <v>0</v>
      </c>
      <c r="AG19" s="68">
        <v>0</v>
      </c>
      <c r="AH19" s="69">
        <v>263.85285315513607</v>
      </c>
      <c r="AI19" s="69">
        <v>557.50792427062981</v>
      </c>
      <c r="AJ19" s="69">
        <v>1375.9036987940474</v>
      </c>
      <c r="AK19" s="69">
        <v>239.27993394533789</v>
      </c>
      <c r="AL19" s="69">
        <v>1542.6038931528726</v>
      </c>
      <c r="AM19" s="69">
        <v>2004.0967074076336</v>
      </c>
      <c r="AN19" s="69">
        <v>621.41012296676649</v>
      </c>
      <c r="AO19" s="69">
        <v>376.19055310885108</v>
      </c>
      <c r="AP19" s="69">
        <v>93.221968853473669</v>
      </c>
      <c r="AQ19" s="69">
        <v>697.36248149871835</v>
      </c>
    </row>
    <row r="20" spans="1:43" x14ac:dyDescent="0.25">
      <c r="A20" s="11">
        <v>42382</v>
      </c>
      <c r="B20" s="59"/>
      <c r="C20" s="60">
        <v>0</v>
      </c>
      <c r="D20" s="60">
        <v>1.5311390161514282E-2</v>
      </c>
      <c r="E20" s="60">
        <v>0</v>
      </c>
      <c r="F20" s="60">
        <v>0</v>
      </c>
      <c r="G20" s="60">
        <v>0</v>
      </c>
      <c r="H20" s="61">
        <v>0</v>
      </c>
      <c r="I20" s="59">
        <v>0</v>
      </c>
      <c r="J20" s="60">
        <v>0</v>
      </c>
      <c r="K20" s="60">
        <v>0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0</v>
      </c>
      <c r="V20" s="62">
        <v>0</v>
      </c>
      <c r="W20" s="62">
        <v>0</v>
      </c>
      <c r="X20" s="62">
        <v>0</v>
      </c>
      <c r="Y20" s="66">
        <v>0</v>
      </c>
      <c r="Z20" s="66">
        <v>0</v>
      </c>
      <c r="AA20" s="67">
        <v>0</v>
      </c>
      <c r="AB20" s="68">
        <v>0</v>
      </c>
      <c r="AC20" s="69">
        <v>0</v>
      </c>
      <c r="AD20" s="69">
        <v>0</v>
      </c>
      <c r="AE20" s="68">
        <v>0</v>
      </c>
      <c r="AF20" s="68">
        <v>0</v>
      </c>
      <c r="AG20" s="68">
        <v>0</v>
      </c>
      <c r="AH20" s="69">
        <v>246.58992273012797</v>
      </c>
      <c r="AI20" s="69">
        <v>525.02263603210463</v>
      </c>
      <c r="AJ20" s="69">
        <v>1330.8833412806191</v>
      </c>
      <c r="AK20" s="69">
        <v>226.30299407641093</v>
      </c>
      <c r="AL20" s="69">
        <v>1495.992611440023</v>
      </c>
      <c r="AM20" s="69">
        <v>1968.67358563741</v>
      </c>
      <c r="AN20" s="69">
        <v>572.22208679517109</v>
      </c>
      <c r="AO20" s="69">
        <v>349.7879271189372</v>
      </c>
      <c r="AP20" s="69">
        <v>88.744240895907083</v>
      </c>
      <c r="AQ20" s="69">
        <v>688.50726747512829</v>
      </c>
    </row>
    <row r="21" spans="1:43" x14ac:dyDescent="0.25">
      <c r="A21" s="11">
        <v>42383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0</v>
      </c>
      <c r="J21" s="60">
        <v>0</v>
      </c>
      <c r="K21" s="60">
        <v>0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0</v>
      </c>
      <c r="V21" s="62">
        <v>0</v>
      </c>
      <c r="W21" s="62">
        <v>0</v>
      </c>
      <c r="X21" s="62">
        <v>0</v>
      </c>
      <c r="Y21" s="66">
        <v>0</v>
      </c>
      <c r="Z21" s="66">
        <v>0</v>
      </c>
      <c r="AA21" s="67">
        <v>0</v>
      </c>
      <c r="AB21" s="68">
        <v>0</v>
      </c>
      <c r="AC21" s="69">
        <v>0</v>
      </c>
      <c r="AD21" s="69">
        <v>0</v>
      </c>
      <c r="AE21" s="68">
        <v>0</v>
      </c>
      <c r="AF21" s="68">
        <v>0</v>
      </c>
      <c r="AG21" s="68">
        <v>0</v>
      </c>
      <c r="AH21" s="69">
        <v>251.6598368008932</v>
      </c>
      <c r="AI21" s="69">
        <v>528.74890891710913</v>
      </c>
      <c r="AJ21" s="69">
        <v>1338.2783189773561</v>
      </c>
      <c r="AK21" s="69">
        <v>229.48892035484315</v>
      </c>
      <c r="AL21" s="69">
        <v>1514.1583517074589</v>
      </c>
      <c r="AM21" s="69">
        <v>1967.6903795878093</v>
      </c>
      <c r="AN21" s="69">
        <v>541.34691791534419</v>
      </c>
      <c r="AO21" s="69">
        <v>353.38584648768108</v>
      </c>
      <c r="AP21" s="69">
        <v>94.127815429369605</v>
      </c>
      <c r="AQ21" s="69">
        <v>708.30748777389522</v>
      </c>
    </row>
    <row r="22" spans="1:43" x14ac:dyDescent="0.25">
      <c r="A22" s="11">
        <v>42384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0</v>
      </c>
      <c r="J22" s="60">
        <v>0</v>
      </c>
      <c r="K22" s="60">
        <v>0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0</v>
      </c>
      <c r="V22" s="62">
        <v>0</v>
      </c>
      <c r="W22" s="62">
        <v>0</v>
      </c>
      <c r="X22" s="62">
        <v>0</v>
      </c>
      <c r="Y22" s="66">
        <v>0</v>
      </c>
      <c r="Z22" s="66">
        <v>0</v>
      </c>
      <c r="AA22" s="67">
        <v>0</v>
      </c>
      <c r="AB22" s="68">
        <v>0</v>
      </c>
      <c r="AC22" s="69">
        <v>0</v>
      </c>
      <c r="AD22" s="69">
        <v>0</v>
      </c>
      <c r="AE22" s="68">
        <v>0</v>
      </c>
      <c r="AF22" s="68">
        <v>0</v>
      </c>
      <c r="AG22" s="68">
        <v>0</v>
      </c>
      <c r="AH22" s="69">
        <v>282.5537876605988</v>
      </c>
      <c r="AI22" s="69">
        <v>590.96045112609863</v>
      </c>
      <c r="AJ22" s="69">
        <v>1345.5374304453528</v>
      </c>
      <c r="AK22" s="69">
        <v>252.86746819019316</v>
      </c>
      <c r="AL22" s="69">
        <v>1583.7740542729696</v>
      </c>
      <c r="AM22" s="69">
        <v>2035.2558039347332</v>
      </c>
      <c r="AN22" s="69">
        <v>561.68389302889511</v>
      </c>
      <c r="AO22" s="69">
        <v>376.82953546841941</v>
      </c>
      <c r="AP22" s="69">
        <v>92.408821105957031</v>
      </c>
      <c r="AQ22" s="69">
        <v>687.73424784342433</v>
      </c>
    </row>
    <row r="23" spans="1:43" x14ac:dyDescent="0.25">
      <c r="A23" s="11">
        <v>42385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0</v>
      </c>
      <c r="J23" s="60">
        <v>0</v>
      </c>
      <c r="K23" s="60">
        <v>0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0</v>
      </c>
      <c r="V23" s="62">
        <v>0</v>
      </c>
      <c r="W23" s="62">
        <v>0</v>
      </c>
      <c r="X23" s="62">
        <v>0</v>
      </c>
      <c r="Y23" s="66">
        <v>0</v>
      </c>
      <c r="Z23" s="66">
        <v>0</v>
      </c>
      <c r="AA23" s="67">
        <v>0</v>
      </c>
      <c r="AB23" s="68">
        <v>0</v>
      </c>
      <c r="AC23" s="69">
        <v>0</v>
      </c>
      <c r="AD23" s="69">
        <v>0</v>
      </c>
      <c r="AE23" s="68">
        <v>0</v>
      </c>
      <c r="AF23" s="68">
        <v>0</v>
      </c>
      <c r="AG23" s="68">
        <v>0</v>
      </c>
      <c r="AH23" s="69">
        <v>287.60842515627536</v>
      </c>
      <c r="AI23" s="69">
        <v>597.25281626383457</v>
      </c>
      <c r="AJ23" s="69">
        <v>1353.069834582011</v>
      </c>
      <c r="AK23" s="69">
        <v>259.7718757152557</v>
      </c>
      <c r="AL23" s="69">
        <v>1591.8818604787189</v>
      </c>
      <c r="AM23" s="69">
        <v>1982.9627662658693</v>
      </c>
      <c r="AN23" s="69">
        <v>611.63339125315349</v>
      </c>
      <c r="AO23" s="69">
        <v>410.00547409057617</v>
      </c>
      <c r="AP23" s="69">
        <v>92.408821105957031</v>
      </c>
      <c r="AQ23" s="69">
        <v>654.62780259450278</v>
      </c>
    </row>
    <row r="24" spans="1:43" x14ac:dyDescent="0.25">
      <c r="A24" s="11">
        <v>42386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0</v>
      </c>
      <c r="J24" s="60">
        <v>0</v>
      </c>
      <c r="K24" s="60">
        <v>0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0</v>
      </c>
      <c r="V24" s="62">
        <v>0</v>
      </c>
      <c r="W24" s="62">
        <v>0</v>
      </c>
      <c r="X24" s="62">
        <v>0</v>
      </c>
      <c r="Y24" s="66">
        <v>0</v>
      </c>
      <c r="Z24" s="66">
        <v>0</v>
      </c>
      <c r="AA24" s="67">
        <v>0</v>
      </c>
      <c r="AB24" s="68">
        <v>0</v>
      </c>
      <c r="AC24" s="69">
        <v>0</v>
      </c>
      <c r="AD24" s="69">
        <v>0</v>
      </c>
      <c r="AE24" s="68">
        <v>0</v>
      </c>
      <c r="AF24" s="68">
        <v>0</v>
      </c>
      <c r="AG24" s="68">
        <v>0</v>
      </c>
      <c r="AH24" s="69">
        <v>272.68886739412937</v>
      </c>
      <c r="AI24" s="69">
        <v>570.8040729999542</v>
      </c>
      <c r="AJ24" s="69">
        <v>1278.0750155766807</v>
      </c>
      <c r="AK24" s="69">
        <v>247.47471711635586</v>
      </c>
      <c r="AL24" s="69">
        <v>1590.8093506495156</v>
      </c>
      <c r="AM24" s="69">
        <v>1971.379843648275</v>
      </c>
      <c r="AN24" s="69">
        <v>603.06852483749378</v>
      </c>
      <c r="AO24" s="69">
        <v>402.32049415906266</v>
      </c>
      <c r="AP24" s="69">
        <v>91.893387806415561</v>
      </c>
      <c r="AQ24" s="69">
        <v>650.683582496643</v>
      </c>
    </row>
    <row r="25" spans="1:43" x14ac:dyDescent="0.25">
      <c r="A25" s="11">
        <v>42387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0</v>
      </c>
      <c r="J25" s="60">
        <v>0</v>
      </c>
      <c r="K25" s="60">
        <v>0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0</v>
      </c>
      <c r="V25" s="62">
        <v>0</v>
      </c>
      <c r="W25" s="62">
        <v>0</v>
      </c>
      <c r="X25" s="62">
        <v>0</v>
      </c>
      <c r="Y25" s="66">
        <v>0</v>
      </c>
      <c r="Z25" s="66">
        <v>0</v>
      </c>
      <c r="AA25" s="67">
        <v>0</v>
      </c>
      <c r="AB25" s="68">
        <v>0</v>
      </c>
      <c r="AC25" s="69">
        <v>0</v>
      </c>
      <c r="AD25" s="69">
        <v>0</v>
      </c>
      <c r="AE25" s="68">
        <v>0</v>
      </c>
      <c r="AF25" s="68">
        <v>0</v>
      </c>
      <c r="AG25" s="68">
        <v>0</v>
      </c>
      <c r="AH25" s="69">
        <v>248.65907998085021</v>
      </c>
      <c r="AI25" s="69">
        <v>528.04040870666506</v>
      </c>
      <c r="AJ25" s="69">
        <v>1243.0846866607667</v>
      </c>
      <c r="AK25" s="69">
        <v>229.61774993737541</v>
      </c>
      <c r="AL25" s="69">
        <v>1569.3391554514571</v>
      </c>
      <c r="AM25" s="69">
        <v>1897.4757478078209</v>
      </c>
      <c r="AN25" s="69">
        <v>592.78980274200444</v>
      </c>
      <c r="AO25" s="69">
        <v>389.72614526748657</v>
      </c>
      <c r="AP25" s="69">
        <v>90.312990188598633</v>
      </c>
      <c r="AQ25" s="69">
        <v>666.44932228724167</v>
      </c>
    </row>
    <row r="26" spans="1:43" x14ac:dyDescent="0.25">
      <c r="A26" s="11">
        <v>42388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0</v>
      </c>
      <c r="J26" s="60">
        <v>0</v>
      </c>
      <c r="K26" s="60">
        <v>0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0</v>
      </c>
      <c r="V26" s="62">
        <v>0</v>
      </c>
      <c r="W26" s="62">
        <v>0</v>
      </c>
      <c r="X26" s="62">
        <v>0</v>
      </c>
      <c r="Y26" s="66">
        <v>0</v>
      </c>
      <c r="Z26" s="66">
        <v>0</v>
      </c>
      <c r="AA26" s="67">
        <v>0</v>
      </c>
      <c r="AB26" s="68">
        <v>0</v>
      </c>
      <c r="AC26" s="69">
        <v>0</v>
      </c>
      <c r="AD26" s="69">
        <v>0</v>
      </c>
      <c r="AE26" s="68">
        <v>0</v>
      </c>
      <c r="AF26" s="68">
        <v>0</v>
      </c>
      <c r="AG26" s="68">
        <v>0</v>
      </c>
      <c r="AH26" s="69">
        <v>242.05375518798832</v>
      </c>
      <c r="AI26" s="69">
        <v>517.27866290410361</v>
      </c>
      <c r="AJ26" s="69">
        <v>1256.6335901260372</v>
      </c>
      <c r="AK26" s="69">
        <v>226.66798575719196</v>
      </c>
      <c r="AL26" s="69">
        <v>1703.6723119099934</v>
      </c>
      <c r="AM26" s="69">
        <v>1963.4325266520184</v>
      </c>
      <c r="AN26" s="69">
        <v>601.72897275288892</v>
      </c>
      <c r="AO26" s="69">
        <v>348.30390796661374</v>
      </c>
      <c r="AP26" s="69">
        <v>89.286972045898438</v>
      </c>
      <c r="AQ26" s="69">
        <v>674.5308828671773</v>
      </c>
    </row>
    <row r="27" spans="1:43" x14ac:dyDescent="0.25">
      <c r="A27" s="11">
        <v>42389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0</v>
      </c>
      <c r="J27" s="60">
        <v>0</v>
      </c>
      <c r="K27" s="60">
        <v>0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72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247.3277489980062</v>
      </c>
      <c r="AI27" s="69">
        <v>525.17671117782595</v>
      </c>
      <c r="AJ27" s="69">
        <v>1288.2630937576293</v>
      </c>
      <c r="AK27" s="69">
        <v>231.92830343246462</v>
      </c>
      <c r="AL27" s="69">
        <v>1699.2894296010338</v>
      </c>
      <c r="AM27" s="69">
        <v>1982.3961364746094</v>
      </c>
      <c r="AN27" s="69">
        <v>601.85366083780923</v>
      </c>
      <c r="AO27" s="69">
        <v>352.6866938908895</v>
      </c>
      <c r="AP27" s="69">
        <v>93.405919603506703</v>
      </c>
      <c r="AQ27" s="69">
        <v>695.99599154790235</v>
      </c>
    </row>
    <row r="28" spans="1:43" x14ac:dyDescent="0.25">
      <c r="A28" s="11">
        <v>42390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0</v>
      </c>
      <c r="J28" s="60">
        <v>0</v>
      </c>
      <c r="K28" s="60">
        <v>0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0</v>
      </c>
      <c r="V28" s="62">
        <v>0</v>
      </c>
      <c r="W28" s="62">
        <v>0</v>
      </c>
      <c r="X28" s="62">
        <v>0</v>
      </c>
      <c r="Y28" s="66">
        <v>0</v>
      </c>
      <c r="Z28" s="66">
        <v>0</v>
      </c>
      <c r="AA28" s="67">
        <v>0</v>
      </c>
      <c r="AB28" s="68">
        <v>0</v>
      </c>
      <c r="AC28" s="69">
        <v>0</v>
      </c>
      <c r="AD28" s="69">
        <v>0</v>
      </c>
      <c r="AE28" s="68">
        <v>0</v>
      </c>
      <c r="AF28" s="68">
        <v>0</v>
      </c>
      <c r="AG28" s="68">
        <v>0</v>
      </c>
      <c r="AH28" s="69">
        <v>252.89086739222211</v>
      </c>
      <c r="AI28" s="69">
        <v>536.66204420725501</v>
      </c>
      <c r="AJ28" s="69">
        <v>1314.315392367045</v>
      </c>
      <c r="AK28" s="69">
        <v>235.69110701084136</v>
      </c>
      <c r="AL28" s="69">
        <v>1700.9526335398357</v>
      </c>
      <c r="AM28" s="69">
        <v>2027.6230583190918</v>
      </c>
      <c r="AN28" s="69">
        <v>606.97489910125728</v>
      </c>
      <c r="AO28" s="69">
        <v>354.83463115692143</v>
      </c>
      <c r="AP28" s="69">
        <v>91.498613007863355</v>
      </c>
      <c r="AQ28" s="69">
        <v>707.94113591512053</v>
      </c>
    </row>
    <row r="29" spans="1:43" x14ac:dyDescent="0.25">
      <c r="A29" s="11">
        <v>42391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0</v>
      </c>
      <c r="J29" s="60">
        <v>0</v>
      </c>
      <c r="K29" s="60">
        <v>0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0</v>
      </c>
      <c r="V29" s="62">
        <v>0</v>
      </c>
      <c r="W29" s="62">
        <v>0</v>
      </c>
      <c r="X29" s="62">
        <v>0</v>
      </c>
      <c r="Y29" s="66">
        <v>0</v>
      </c>
      <c r="Z29" s="66">
        <v>0</v>
      </c>
      <c r="AA29" s="67">
        <v>0</v>
      </c>
      <c r="AB29" s="68">
        <v>0</v>
      </c>
      <c r="AC29" s="69">
        <v>0</v>
      </c>
      <c r="AD29" s="69">
        <v>0</v>
      </c>
      <c r="AE29" s="68">
        <v>0</v>
      </c>
      <c r="AF29" s="68">
        <v>0</v>
      </c>
      <c r="AG29" s="68">
        <v>0</v>
      </c>
      <c r="AH29" s="69">
        <v>239.97305412292482</v>
      </c>
      <c r="AI29" s="69">
        <v>507.25967458089195</v>
      </c>
      <c r="AJ29" s="69">
        <v>1261.0491233189903</v>
      </c>
      <c r="AK29" s="69">
        <v>230.91093107064569</v>
      </c>
      <c r="AL29" s="69">
        <v>1674.1342682520544</v>
      </c>
      <c r="AM29" s="69">
        <v>1977.2969037373862</v>
      </c>
      <c r="AN29" s="69">
        <v>593.25192203521715</v>
      </c>
      <c r="AO29" s="69">
        <v>353.76237215995786</v>
      </c>
      <c r="AP29" s="69">
        <v>87.959877157211309</v>
      </c>
      <c r="AQ29" s="69">
        <v>651.50907739003492</v>
      </c>
    </row>
    <row r="30" spans="1:43" x14ac:dyDescent="0.25">
      <c r="A30" s="11">
        <v>42392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0</v>
      </c>
      <c r="J30" s="60">
        <v>0</v>
      </c>
      <c r="K30" s="60">
        <v>0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0</v>
      </c>
      <c r="V30" s="62">
        <v>0</v>
      </c>
      <c r="W30" s="62">
        <v>0</v>
      </c>
      <c r="X30" s="62">
        <v>0</v>
      </c>
      <c r="Y30" s="66">
        <v>0</v>
      </c>
      <c r="Z30" s="66">
        <v>0</v>
      </c>
      <c r="AA30" s="67">
        <v>0</v>
      </c>
      <c r="AB30" s="68">
        <v>0</v>
      </c>
      <c r="AC30" s="69">
        <v>0</v>
      </c>
      <c r="AD30" s="69">
        <v>0</v>
      </c>
      <c r="AE30" s="68">
        <v>0</v>
      </c>
      <c r="AF30" s="68">
        <v>0</v>
      </c>
      <c r="AG30" s="68">
        <v>0</v>
      </c>
      <c r="AH30" s="69">
        <v>217.24469911257427</v>
      </c>
      <c r="AI30" s="69">
        <v>439.0998160044353</v>
      </c>
      <c r="AJ30" s="69">
        <v>1184.2396915435793</v>
      </c>
      <c r="AK30" s="69">
        <v>209.58584863344828</v>
      </c>
      <c r="AL30" s="69">
        <v>1651.4498966217041</v>
      </c>
      <c r="AM30" s="69">
        <v>1829.5494291941332</v>
      </c>
      <c r="AN30" s="69">
        <v>589.42259222666428</v>
      </c>
      <c r="AO30" s="69">
        <v>367.28413476943973</v>
      </c>
      <c r="AP30" s="69">
        <v>85.151635726292938</v>
      </c>
      <c r="AQ30" s="69">
        <v>621.17934023539226</v>
      </c>
    </row>
    <row r="31" spans="1:43" x14ac:dyDescent="0.25">
      <c r="A31" s="11">
        <v>42393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0</v>
      </c>
      <c r="J31" s="60">
        <v>0</v>
      </c>
      <c r="K31" s="60">
        <v>0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0</v>
      </c>
      <c r="V31" s="62">
        <v>0</v>
      </c>
      <c r="W31" s="62">
        <v>0</v>
      </c>
      <c r="X31" s="62">
        <v>0</v>
      </c>
      <c r="Y31" s="66">
        <v>0</v>
      </c>
      <c r="Z31" s="66">
        <v>0</v>
      </c>
      <c r="AA31" s="67">
        <v>0</v>
      </c>
      <c r="AB31" s="68">
        <v>0</v>
      </c>
      <c r="AC31" s="69">
        <v>0</v>
      </c>
      <c r="AD31" s="69">
        <v>0</v>
      </c>
      <c r="AE31" s="68">
        <v>0</v>
      </c>
      <c r="AF31" s="68">
        <v>0</v>
      </c>
      <c r="AG31" s="68">
        <v>0</v>
      </c>
      <c r="AH31" s="69">
        <v>223.64173527558646</v>
      </c>
      <c r="AI31" s="69">
        <v>444.6017688751221</v>
      </c>
      <c r="AJ31" s="69">
        <v>1206.964628092448</v>
      </c>
      <c r="AK31" s="69">
        <v>216.05247229735059</v>
      </c>
      <c r="AL31" s="69">
        <v>1688.6097696940105</v>
      </c>
      <c r="AM31" s="69">
        <v>1835.9734362284346</v>
      </c>
      <c r="AN31" s="69">
        <v>593.74880622227988</v>
      </c>
      <c r="AO31" s="69">
        <v>337.53156280517578</v>
      </c>
      <c r="AP31" s="69">
        <v>85.535290324687963</v>
      </c>
      <c r="AQ31" s="69">
        <v>645.39330126444509</v>
      </c>
    </row>
    <row r="32" spans="1:43" x14ac:dyDescent="0.25">
      <c r="A32" s="11">
        <v>42394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0</v>
      </c>
      <c r="J32" s="60">
        <v>0</v>
      </c>
      <c r="K32" s="60">
        <v>0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0</v>
      </c>
      <c r="V32" s="62">
        <v>0</v>
      </c>
      <c r="W32" s="62">
        <v>0</v>
      </c>
      <c r="X32" s="62">
        <v>0</v>
      </c>
      <c r="Y32" s="66">
        <v>0</v>
      </c>
      <c r="Z32" s="66">
        <v>0</v>
      </c>
      <c r="AA32" s="67">
        <v>0</v>
      </c>
      <c r="AB32" s="68">
        <v>0</v>
      </c>
      <c r="AC32" s="69">
        <v>0</v>
      </c>
      <c r="AD32" s="69">
        <v>0</v>
      </c>
      <c r="AE32" s="68">
        <v>0</v>
      </c>
      <c r="AF32" s="68">
        <v>0</v>
      </c>
      <c r="AG32" s="68">
        <v>0</v>
      </c>
      <c r="AH32" s="69">
        <v>246.91852293014523</v>
      </c>
      <c r="AI32" s="69">
        <v>510.11360653241479</v>
      </c>
      <c r="AJ32" s="69">
        <v>1288.2179917653402</v>
      </c>
      <c r="AK32" s="69">
        <v>231.57850493590038</v>
      </c>
      <c r="AL32" s="69">
        <v>1752.6736750284831</v>
      </c>
      <c r="AM32" s="69">
        <v>1960.3910425821937</v>
      </c>
      <c r="AN32" s="69">
        <v>612.63163410822563</v>
      </c>
      <c r="AO32" s="69">
        <v>347.22279397646588</v>
      </c>
      <c r="AP32" s="69">
        <v>87.241365734736135</v>
      </c>
      <c r="AQ32" s="69">
        <v>708.60103025436399</v>
      </c>
    </row>
    <row r="33" spans="1:43" x14ac:dyDescent="0.25">
      <c r="A33" s="11">
        <v>42395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0</v>
      </c>
      <c r="J33" s="60">
        <v>0</v>
      </c>
      <c r="K33" s="60">
        <v>0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0</v>
      </c>
      <c r="V33" s="62">
        <v>0</v>
      </c>
      <c r="W33" s="62">
        <v>0</v>
      </c>
      <c r="X33" s="62">
        <v>0</v>
      </c>
      <c r="Y33" s="66">
        <v>0</v>
      </c>
      <c r="Z33" s="66">
        <v>0</v>
      </c>
      <c r="AA33" s="67">
        <v>0</v>
      </c>
      <c r="AB33" s="68">
        <v>0</v>
      </c>
      <c r="AC33" s="69">
        <v>0</v>
      </c>
      <c r="AD33" s="69">
        <v>0</v>
      </c>
      <c r="AE33" s="68">
        <v>0</v>
      </c>
      <c r="AF33" s="68">
        <v>0</v>
      </c>
      <c r="AG33" s="68">
        <v>0</v>
      </c>
      <c r="AH33" s="69">
        <v>271.9675047794978</v>
      </c>
      <c r="AI33" s="69">
        <v>573.92737693786626</v>
      </c>
      <c r="AJ33" s="69">
        <v>1378.2601694742841</v>
      </c>
      <c r="AK33" s="69">
        <v>249.85048821767177</v>
      </c>
      <c r="AL33" s="69">
        <v>1664.1758120218913</v>
      </c>
      <c r="AM33" s="69">
        <v>2022.2771479288735</v>
      </c>
      <c r="AN33" s="69">
        <v>599.59649704297385</v>
      </c>
      <c r="AO33" s="69">
        <v>379.454632584254</v>
      </c>
      <c r="AP33" s="69">
        <v>96.579469263553619</v>
      </c>
      <c r="AQ33" s="69">
        <v>704.91062043507895</v>
      </c>
    </row>
    <row r="34" spans="1:43" x14ac:dyDescent="0.25">
      <c r="A34" s="11">
        <v>42396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0</v>
      </c>
      <c r="J34" s="60">
        <v>0</v>
      </c>
      <c r="K34" s="60">
        <v>0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0</v>
      </c>
      <c r="V34" s="62">
        <v>0</v>
      </c>
      <c r="W34" s="62">
        <v>0</v>
      </c>
      <c r="X34" s="62">
        <v>0</v>
      </c>
      <c r="Y34" s="66">
        <v>0</v>
      </c>
      <c r="Z34" s="66">
        <v>0</v>
      </c>
      <c r="AA34" s="67">
        <v>0</v>
      </c>
      <c r="AB34" s="68">
        <v>0</v>
      </c>
      <c r="AC34" s="69">
        <v>0</v>
      </c>
      <c r="AD34" s="69">
        <v>0</v>
      </c>
      <c r="AE34" s="68">
        <v>0</v>
      </c>
      <c r="AF34" s="68">
        <v>0</v>
      </c>
      <c r="AG34" s="68">
        <v>0</v>
      </c>
      <c r="AH34" s="69">
        <v>241.63774213790899</v>
      </c>
      <c r="AI34" s="69">
        <v>522.87749697367349</v>
      </c>
      <c r="AJ34" s="69">
        <v>1368.7409786224366</v>
      </c>
      <c r="AK34" s="69">
        <v>237.88952506383265</v>
      </c>
      <c r="AL34" s="69">
        <v>1659.5354874928789</v>
      </c>
      <c r="AM34" s="69">
        <v>2014.746616744995</v>
      </c>
      <c r="AN34" s="69">
        <v>574.69673436482753</v>
      </c>
      <c r="AO34" s="69">
        <v>361.89161249796553</v>
      </c>
      <c r="AP34" s="69">
        <v>93.575885089238483</v>
      </c>
      <c r="AQ34" s="69">
        <v>680.82593695322669</v>
      </c>
    </row>
    <row r="35" spans="1:43" x14ac:dyDescent="0.25">
      <c r="A35" s="11">
        <v>42397</v>
      </c>
      <c r="B35" s="59"/>
      <c r="C35" s="60">
        <v>0</v>
      </c>
      <c r="D35" s="60">
        <v>0</v>
      </c>
      <c r="E35" s="60">
        <v>0</v>
      </c>
      <c r="F35" s="60">
        <v>0.6249561190605164</v>
      </c>
      <c r="G35" s="60">
        <v>0</v>
      </c>
      <c r="H35" s="61">
        <v>0</v>
      </c>
      <c r="I35" s="59">
        <v>0</v>
      </c>
      <c r="J35" s="60">
        <v>0</v>
      </c>
      <c r="K35" s="60">
        <v>0</v>
      </c>
      <c r="L35" s="60">
        <v>0</v>
      </c>
      <c r="M35" s="60">
        <v>0</v>
      </c>
      <c r="N35" s="61">
        <v>0.68754923343658447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0</v>
      </c>
      <c r="V35" s="62">
        <v>0</v>
      </c>
      <c r="W35" s="62">
        <v>0</v>
      </c>
      <c r="X35" s="62">
        <v>0</v>
      </c>
      <c r="Y35" s="66">
        <v>0</v>
      </c>
      <c r="Z35" s="66">
        <v>0</v>
      </c>
      <c r="AA35" s="67">
        <v>0</v>
      </c>
      <c r="AB35" s="68">
        <v>0</v>
      </c>
      <c r="AC35" s="69">
        <v>0</v>
      </c>
      <c r="AD35" s="69">
        <v>0</v>
      </c>
      <c r="AE35" s="68">
        <v>0</v>
      </c>
      <c r="AF35" s="68">
        <v>0</v>
      </c>
      <c r="AG35" s="68">
        <v>0</v>
      </c>
      <c r="AH35" s="69">
        <v>221.61959715684256</v>
      </c>
      <c r="AI35" s="69">
        <v>482.32972439130151</v>
      </c>
      <c r="AJ35" s="69">
        <v>1410.102866236369</v>
      </c>
      <c r="AK35" s="69">
        <v>232.67089068094884</v>
      </c>
      <c r="AL35" s="69">
        <v>1638.5602801640832</v>
      </c>
      <c r="AM35" s="69">
        <v>1950.8496275583898</v>
      </c>
      <c r="AN35" s="69">
        <v>572.43512396812434</v>
      </c>
      <c r="AO35" s="69">
        <v>343.89268825848899</v>
      </c>
      <c r="AP35" s="69">
        <v>87.635934352874756</v>
      </c>
      <c r="AQ35" s="69">
        <v>684.62044496536259</v>
      </c>
    </row>
    <row r="36" spans="1:43" x14ac:dyDescent="0.25">
      <c r="A36" s="11">
        <v>42398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0</v>
      </c>
      <c r="J36" s="60">
        <v>0</v>
      </c>
      <c r="K36" s="60">
        <v>0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0</v>
      </c>
      <c r="V36" s="62">
        <v>0</v>
      </c>
      <c r="W36" s="62">
        <v>0</v>
      </c>
      <c r="X36" s="62">
        <v>0</v>
      </c>
      <c r="Y36" s="66">
        <v>0</v>
      </c>
      <c r="Z36" s="66">
        <v>0</v>
      </c>
      <c r="AA36" s="67">
        <v>0</v>
      </c>
      <c r="AB36" s="68">
        <v>0</v>
      </c>
      <c r="AC36" s="69">
        <v>0</v>
      </c>
      <c r="AD36" s="69">
        <v>0</v>
      </c>
      <c r="AE36" s="68">
        <v>0</v>
      </c>
      <c r="AF36" s="68">
        <v>0</v>
      </c>
      <c r="AG36" s="68">
        <v>0</v>
      </c>
      <c r="AH36" s="69">
        <v>216.04368199507394</v>
      </c>
      <c r="AI36" s="69">
        <v>476.4684872309366</v>
      </c>
      <c r="AJ36" s="69">
        <v>1444.0671686808264</v>
      </c>
      <c r="AK36" s="69">
        <v>228.91549750169119</v>
      </c>
      <c r="AL36" s="69">
        <v>1658.2831799825037</v>
      </c>
      <c r="AM36" s="69">
        <v>1940.1164230346676</v>
      </c>
      <c r="AN36" s="69">
        <v>592.13021210034697</v>
      </c>
      <c r="AO36" s="69">
        <v>319.48160502115888</v>
      </c>
      <c r="AP36" s="69">
        <v>70.936870721975964</v>
      </c>
      <c r="AQ36" s="69">
        <v>692.23976373672485</v>
      </c>
    </row>
    <row r="37" spans="1:43" x14ac:dyDescent="0.25">
      <c r="A37" s="11">
        <v>42399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0</v>
      </c>
      <c r="J37" s="60">
        <v>0</v>
      </c>
      <c r="K37" s="60">
        <v>0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0</v>
      </c>
      <c r="V37" s="62">
        <v>0</v>
      </c>
      <c r="W37" s="62">
        <v>0</v>
      </c>
      <c r="X37" s="62">
        <v>0</v>
      </c>
      <c r="Y37" s="66">
        <v>0</v>
      </c>
      <c r="Z37" s="66">
        <v>0</v>
      </c>
      <c r="AA37" s="67">
        <v>0</v>
      </c>
      <c r="AB37" s="68">
        <v>0</v>
      </c>
      <c r="AC37" s="69">
        <v>0</v>
      </c>
      <c r="AD37" s="69">
        <v>0</v>
      </c>
      <c r="AE37" s="68">
        <v>0</v>
      </c>
      <c r="AF37" s="68">
        <v>0</v>
      </c>
      <c r="AG37" s="68">
        <v>0</v>
      </c>
      <c r="AH37" s="69">
        <v>213.1168386379878</v>
      </c>
      <c r="AI37" s="69">
        <v>470.79925894737249</v>
      </c>
      <c r="AJ37" s="69">
        <v>1410.5039667129513</v>
      </c>
      <c r="AK37" s="69">
        <v>227.65094889005027</v>
      </c>
      <c r="AL37" s="69">
        <v>1662.1240404764812</v>
      </c>
      <c r="AM37" s="69">
        <v>1847.0616996765136</v>
      </c>
      <c r="AN37" s="69">
        <v>581.28252539634707</v>
      </c>
      <c r="AO37" s="69">
        <v>284.143225034078</v>
      </c>
      <c r="AP37" s="69">
        <v>71.652241321404773</v>
      </c>
      <c r="AQ37" s="69">
        <v>638.88257735570255</v>
      </c>
    </row>
    <row r="38" spans="1:43" ht="15.75" thickBot="1" x14ac:dyDescent="0.3">
      <c r="A38" s="11">
        <v>42400</v>
      </c>
      <c r="B38" s="73"/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5">
        <v>0</v>
      </c>
      <c r="I38" s="76">
        <v>0</v>
      </c>
      <c r="J38" s="74">
        <v>0</v>
      </c>
      <c r="K38" s="74">
        <v>0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0</v>
      </c>
      <c r="V38" s="80">
        <v>0</v>
      </c>
      <c r="W38" s="81">
        <v>0</v>
      </c>
      <c r="X38" s="81">
        <v>0</v>
      </c>
      <c r="Y38" s="80">
        <v>0</v>
      </c>
      <c r="Z38" s="80">
        <v>0</v>
      </c>
      <c r="AA38" s="82">
        <v>0</v>
      </c>
      <c r="AB38" s="83">
        <v>0</v>
      </c>
      <c r="AC38" s="84">
        <v>0</v>
      </c>
      <c r="AD38" s="85">
        <v>0</v>
      </c>
      <c r="AE38" s="83">
        <v>0</v>
      </c>
      <c r="AF38" s="83">
        <v>0</v>
      </c>
      <c r="AG38" s="83">
        <v>0</v>
      </c>
      <c r="AH38" s="84">
        <v>253.49062345027923</v>
      </c>
      <c r="AI38" s="84">
        <v>533.01506935755413</v>
      </c>
      <c r="AJ38" s="84">
        <v>1457.4633443196612</v>
      </c>
      <c r="AK38" s="84">
        <v>251.76312623818711</v>
      </c>
      <c r="AL38" s="84">
        <v>1718.4110795974732</v>
      </c>
      <c r="AM38" s="84">
        <v>1964.0803023020424</v>
      </c>
      <c r="AN38" s="84">
        <v>601.68202395439152</v>
      </c>
      <c r="AO38" s="84">
        <v>295.08129487037661</v>
      </c>
      <c r="AP38" s="84">
        <v>116.33473205566406</v>
      </c>
      <c r="AQ38" s="84">
        <v>614.49741989771508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0</v>
      </c>
      <c r="D39" s="30">
        <f t="shared" si="0"/>
        <v>1.5311390161514282E-2</v>
      </c>
      <c r="E39" s="30">
        <f t="shared" si="0"/>
        <v>0</v>
      </c>
      <c r="F39" s="30">
        <f t="shared" si="0"/>
        <v>0.6249561190605164</v>
      </c>
      <c r="G39" s="30">
        <f t="shared" si="0"/>
        <v>0</v>
      </c>
      <c r="H39" s="31">
        <f t="shared" si="0"/>
        <v>0</v>
      </c>
      <c r="I39" s="29">
        <f t="shared" si="0"/>
        <v>0</v>
      </c>
      <c r="J39" s="30">
        <f t="shared" si="0"/>
        <v>0</v>
      </c>
      <c r="K39" s="30">
        <f t="shared" si="0"/>
        <v>0</v>
      </c>
      <c r="L39" s="30">
        <f t="shared" si="0"/>
        <v>0</v>
      </c>
      <c r="M39" s="30">
        <f t="shared" si="0"/>
        <v>0</v>
      </c>
      <c r="N39" s="31">
        <f t="shared" si="0"/>
        <v>0.68754923343658447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0</v>
      </c>
      <c r="V39" s="262">
        <f t="shared" si="0"/>
        <v>0</v>
      </c>
      <c r="W39" s="262">
        <f t="shared" si="0"/>
        <v>0</v>
      </c>
      <c r="X39" s="262">
        <f t="shared" si="0"/>
        <v>0</v>
      </c>
      <c r="Y39" s="262">
        <f t="shared" si="0"/>
        <v>0</v>
      </c>
      <c r="Z39" s="262">
        <f t="shared" si="0"/>
        <v>0</v>
      </c>
      <c r="AA39" s="270">
        <f t="shared" si="0"/>
        <v>0</v>
      </c>
      <c r="AB39" s="273">
        <f t="shared" si="0"/>
        <v>0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159</v>
      </c>
      <c r="AH39" s="273">
        <f t="shared" ref="AH39:AQ39" si="1">SUM(AH8:AH38)</f>
        <v>7916.0501931985218</v>
      </c>
      <c r="AI39" s="273">
        <f t="shared" si="1"/>
        <v>16612.744535160065</v>
      </c>
      <c r="AJ39" s="273">
        <f t="shared" si="1"/>
        <v>41553.432955169672</v>
      </c>
      <c r="AK39" s="273">
        <f t="shared" si="1"/>
        <v>7405.5711641947419</v>
      </c>
      <c r="AL39" s="273">
        <f t="shared" si="1"/>
        <v>49379.0273367564</v>
      </c>
      <c r="AM39" s="273">
        <f t="shared" si="1"/>
        <v>60532.553948720291</v>
      </c>
      <c r="AN39" s="273">
        <f t="shared" si="1"/>
        <v>18203.151582765578</v>
      </c>
      <c r="AO39" s="273">
        <f t="shared" si="1"/>
        <v>10947.061925482754</v>
      </c>
      <c r="AP39" s="273">
        <f t="shared" si="1"/>
        <v>2818.9017841100695</v>
      </c>
      <c r="AQ39" s="273">
        <f t="shared" si="1"/>
        <v>21302.768412653611</v>
      </c>
    </row>
    <row r="40" spans="1:43" ht="15.75" thickBot="1" x14ac:dyDescent="0.3">
      <c r="A40" s="47" t="s">
        <v>174</v>
      </c>
      <c r="B40" s="32">
        <f>Projection!$AA$30</f>
        <v>0.80583665399999982</v>
      </c>
      <c r="C40" s="33">
        <f>Projection!$AA$28</f>
        <v>1.3221902399999999</v>
      </c>
      <c r="D40" s="33">
        <f>Projection!$AA$31</f>
        <v>2.1962556000000002</v>
      </c>
      <c r="E40" s="33">
        <f>Projection!$AA$26</f>
        <v>4.3368000000000002</v>
      </c>
      <c r="F40" s="33">
        <f>Projection!$AA$23</f>
        <v>0</v>
      </c>
      <c r="G40" s="33">
        <f>Projection!$AA$24</f>
        <v>5.2499999999999998E-2</v>
      </c>
      <c r="H40" s="34">
        <f>Projection!$AA$29</f>
        <v>3.6159737999999999</v>
      </c>
      <c r="I40" s="32">
        <f>Projection!$AA$30</f>
        <v>0.80583665399999982</v>
      </c>
      <c r="J40" s="33">
        <f>Projection!$AA$28</f>
        <v>1.3221902399999999</v>
      </c>
      <c r="K40" s="33">
        <f>Projection!$AA$26</f>
        <v>4.3368000000000002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1.3221902399999999</v>
      </c>
      <c r="T40" s="38">
        <f>Projection!$AA$28</f>
        <v>1.3221902399999999</v>
      </c>
      <c r="U40" s="26">
        <f>Projection!$AA$27</f>
        <v>0.25650000000000001</v>
      </c>
      <c r="V40" s="27">
        <f>Projection!$AA$27</f>
        <v>0.25650000000000001</v>
      </c>
      <c r="W40" s="27">
        <f>Projection!$AA$22</f>
        <v>1.625</v>
      </c>
      <c r="X40" s="27">
        <f>Projection!$AA$22</f>
        <v>1.625</v>
      </c>
      <c r="Y40" s="27">
        <f>Projection!$AA$31</f>
        <v>2.1962556000000002</v>
      </c>
      <c r="Z40" s="27">
        <f>Projection!$AA$31</f>
        <v>2.1962556000000002</v>
      </c>
      <c r="AA40" s="28">
        <v>0</v>
      </c>
      <c r="AB40" s="41">
        <f>Projection!$AA$27</f>
        <v>0.25650000000000001</v>
      </c>
      <c r="AC40" s="41">
        <f>Projection!$AA$30</f>
        <v>0.80583665399999982</v>
      </c>
      <c r="AD40" s="277">
        <f>SUM(AD8:AD38)</f>
        <v>0</v>
      </c>
      <c r="AE40" s="277">
        <f>SUM(AE8:AE38)</f>
        <v>0</v>
      </c>
      <c r="AF40" s="277">
        <f>SUM(AF8:AF38)</f>
        <v>0</v>
      </c>
      <c r="AG40" s="277">
        <f>IF(SUM(AE40:AF40)&gt;0, AE40/(AE40+AF40),0)</f>
        <v>0</v>
      </c>
      <c r="AH40" s="313">
        <v>6.5000000000000002E-2</v>
      </c>
      <c r="AI40" s="313">
        <f t="shared" ref="AI40:AQ40" si="2">$AH$40</f>
        <v>6.5000000000000002E-2</v>
      </c>
      <c r="AJ40" s="313">
        <f t="shared" si="2"/>
        <v>6.5000000000000002E-2</v>
      </c>
      <c r="AK40" s="313">
        <f t="shared" si="2"/>
        <v>6.5000000000000002E-2</v>
      </c>
      <c r="AL40" s="313">
        <f t="shared" si="2"/>
        <v>6.5000000000000002E-2</v>
      </c>
      <c r="AM40" s="313">
        <f t="shared" si="2"/>
        <v>6.5000000000000002E-2</v>
      </c>
      <c r="AN40" s="313">
        <f t="shared" si="2"/>
        <v>6.5000000000000002E-2</v>
      </c>
      <c r="AO40" s="313">
        <f t="shared" si="2"/>
        <v>6.5000000000000002E-2</v>
      </c>
      <c r="AP40" s="313">
        <f t="shared" si="2"/>
        <v>6.5000000000000002E-2</v>
      </c>
      <c r="AQ40" s="313">
        <f t="shared" si="2"/>
        <v>6.5000000000000002E-2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3.3627726386010651E-2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0</v>
      </c>
      <c r="J41" s="36">
        <f t="shared" si="3"/>
        <v>0</v>
      </c>
      <c r="K41" s="36">
        <f t="shared" si="3"/>
        <v>0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0</v>
      </c>
      <c r="V41" s="268">
        <f t="shared" si="3"/>
        <v>0</v>
      </c>
      <c r="W41" s="268">
        <f t="shared" si="3"/>
        <v>0</v>
      </c>
      <c r="X41" s="268">
        <f t="shared" si="3"/>
        <v>0</v>
      </c>
      <c r="Y41" s="268">
        <f t="shared" si="3"/>
        <v>0</v>
      </c>
      <c r="Z41" s="268">
        <f t="shared" si="3"/>
        <v>0</v>
      </c>
      <c r="AA41" s="272">
        <f t="shared" si="3"/>
        <v>0</v>
      </c>
      <c r="AB41" s="275">
        <f t="shared" si="3"/>
        <v>0</v>
      </c>
      <c r="AC41" s="275">
        <f t="shared" si="3"/>
        <v>0</v>
      </c>
      <c r="AH41" s="278">
        <f t="shared" ref="AH41:AQ41" si="4">AH40*AH39</f>
        <v>514.54326255790397</v>
      </c>
      <c r="AI41" s="278">
        <f t="shared" si="4"/>
        <v>1079.8283947854043</v>
      </c>
      <c r="AJ41" s="278">
        <f t="shared" si="4"/>
        <v>2700.9731420860289</v>
      </c>
      <c r="AK41" s="278">
        <f t="shared" si="4"/>
        <v>481.36212567265824</v>
      </c>
      <c r="AL41" s="278">
        <f t="shared" si="4"/>
        <v>3209.636776889166</v>
      </c>
      <c r="AM41" s="278">
        <f t="shared" si="4"/>
        <v>3934.616006666819</v>
      </c>
      <c r="AN41" s="278">
        <f t="shared" si="4"/>
        <v>1183.2048528797627</v>
      </c>
      <c r="AO41" s="278">
        <f t="shared" si="4"/>
        <v>711.55902515637911</v>
      </c>
      <c r="AP41" s="278">
        <f t="shared" si="4"/>
        <v>183.22861596715452</v>
      </c>
      <c r="AQ41" s="278">
        <f t="shared" si="4"/>
        <v>1384.6799468224847</v>
      </c>
    </row>
    <row r="42" spans="1:43" ht="49.5" customHeight="1" thickTop="1" thickBot="1" x14ac:dyDescent="0.3">
      <c r="A42" s="576" t="s">
        <v>223</v>
      </c>
      <c r="B42" s="577"/>
      <c r="C42" s="577"/>
      <c r="D42" s="577"/>
      <c r="E42" s="577"/>
      <c r="F42" s="577"/>
      <c r="G42" s="577"/>
      <c r="H42" s="577"/>
      <c r="I42" s="577"/>
      <c r="J42" s="577"/>
      <c r="K42" s="57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6" t="s">
        <v>186</v>
      </c>
      <c r="AH42" s="295">
        <v>867.46</v>
      </c>
      <c r="AI42" s="278" t="s">
        <v>199</v>
      </c>
      <c r="AJ42" s="278">
        <v>2506.16</v>
      </c>
      <c r="AK42" s="278">
        <v>1052.5999999999999</v>
      </c>
      <c r="AL42" s="278">
        <v>1331.75</v>
      </c>
      <c r="AM42" s="278">
        <v>2831.88</v>
      </c>
      <c r="AN42" s="278">
        <v>1550.18</v>
      </c>
      <c r="AO42" s="278" t="s">
        <v>199</v>
      </c>
      <c r="AP42" s="278">
        <v>218.23</v>
      </c>
      <c r="AQ42" s="278">
        <v>619.69000000000005</v>
      </c>
    </row>
    <row r="43" spans="1:43" ht="38.25" customHeight="1" thickTop="1" thickBot="1" x14ac:dyDescent="0.3">
      <c r="A43" s="608" t="s">
        <v>49</v>
      </c>
      <c r="B43" s="605"/>
      <c r="C43" s="289"/>
      <c r="D43" s="605" t="s">
        <v>47</v>
      </c>
      <c r="E43" s="605"/>
      <c r="F43" s="289"/>
      <c r="G43" s="605" t="s">
        <v>48</v>
      </c>
      <c r="H43" s="605"/>
      <c r="I43" s="290"/>
      <c r="J43" s="605" t="s">
        <v>50</v>
      </c>
      <c r="K43" s="578"/>
      <c r="L43" s="44"/>
      <c r="M43" s="44"/>
      <c r="N43" s="44"/>
      <c r="O43" s="45"/>
      <c r="P43" s="45"/>
      <c r="Q43" s="45"/>
      <c r="R43" s="568" t="s">
        <v>168</v>
      </c>
      <c r="S43" s="569"/>
      <c r="T43" s="569"/>
      <c r="U43" s="570"/>
      <c r="AC43" s="45"/>
    </row>
    <row r="44" spans="1:43" ht="24.75" thickTop="1" thickBot="1" x14ac:dyDescent="0.3">
      <c r="A44" s="282" t="s">
        <v>135</v>
      </c>
      <c r="B44" s="283">
        <f>SUM(B41:AC41)</f>
        <v>3.3627726386010651E-2</v>
      </c>
      <c r="C44" s="12"/>
      <c r="D44" s="282" t="s">
        <v>135</v>
      </c>
      <c r="E44" s="283">
        <f>SUM(B41:H41)+P41+R41+T41+V41+X41+Z41</f>
        <v>3.3627726386010651E-2</v>
      </c>
      <c r="F44" s="12"/>
      <c r="G44" s="282" t="s">
        <v>135</v>
      </c>
      <c r="H44" s="283">
        <f>SUM(I41:N41)+O41+Q41+S41+U41+W41+Y41</f>
        <v>0</v>
      </c>
      <c r="I44" s="12"/>
      <c r="J44" s="282" t="s">
        <v>200</v>
      </c>
      <c r="K44" s="283">
        <v>121864.95</v>
      </c>
      <c r="L44" s="12"/>
      <c r="M44" s="12"/>
      <c r="N44" s="12"/>
      <c r="O44" s="12"/>
      <c r="P44" s="12"/>
      <c r="Q44" s="12"/>
      <c r="R44" s="301" t="s">
        <v>135</v>
      </c>
      <c r="S44" s="302"/>
      <c r="T44" s="297" t="s">
        <v>169</v>
      </c>
      <c r="U44" s="255" t="s">
        <v>170</v>
      </c>
    </row>
    <row r="45" spans="1:43" ht="24" thickBot="1" x14ac:dyDescent="0.4">
      <c r="A45" s="284" t="s">
        <v>185</v>
      </c>
      <c r="B45" s="285">
        <f>SUM(AH41:AQ41)</f>
        <v>15383.632149483763</v>
      </c>
      <c r="C45" s="12"/>
      <c r="D45" s="284" t="s">
        <v>185</v>
      </c>
      <c r="E45" s="285">
        <f>AH41*(1-$AG$40)+AI41+AJ41*0.5+AL41+AM41*(1-$AG$40)+AN41*(1-$AG$40)+AO41*(1-$AG$40)+AP41*0.5+AQ41*0.5</f>
        <v>12767.829171373267</v>
      </c>
      <c r="F45" s="24"/>
      <c r="G45" s="284" t="s">
        <v>185</v>
      </c>
      <c r="H45" s="285">
        <f>AH41*AG40+AJ41*0.5+AK41+AM41*AG40+AN41*AG40+AO41*AG40+AP41*0.5+AQ41*0.5</f>
        <v>2615.8029781104924</v>
      </c>
      <c r="I45" s="12"/>
      <c r="J45" s="12"/>
      <c r="K45" s="288"/>
      <c r="L45" s="12"/>
      <c r="M45" s="12"/>
      <c r="N45" s="12"/>
      <c r="O45" s="12"/>
      <c r="P45" s="12"/>
      <c r="Q45" s="12"/>
      <c r="R45" s="299" t="s">
        <v>141</v>
      </c>
      <c r="S45" s="300"/>
      <c r="T45" s="254">
        <f>$W$39+$X$39</f>
        <v>0</v>
      </c>
      <c r="U45" s="256">
        <f>(T45*8.34*0.895)/27000</f>
        <v>0</v>
      </c>
    </row>
    <row r="46" spans="1:43" ht="32.25" thickBot="1" x14ac:dyDescent="0.3">
      <c r="A46" s="286" t="s">
        <v>186</v>
      </c>
      <c r="B46" s="287">
        <f>SUM(AH42:AQ42)</f>
        <v>10977.949999999999</v>
      </c>
      <c r="C46" s="12"/>
      <c r="D46" s="286" t="s">
        <v>186</v>
      </c>
      <c r="E46" s="287">
        <f>AH42*(1-$AG$40)+AJ42*0.5+AL42+AM42*(1-$AG$40)+AN42*(1-$AG$40)+AP42*0.5+AQ42*0.5</f>
        <v>8253.31</v>
      </c>
      <c r="F46" s="23"/>
      <c r="G46" s="286" t="s">
        <v>186</v>
      </c>
      <c r="H46" s="287">
        <f>AH42*AG40+AJ42*0.5+AK42+AM42*AG40+AN42*AG40+AP42*0.5+AQ42*0.5</f>
        <v>2724.6399999999994</v>
      </c>
      <c r="I46" s="12"/>
      <c r="J46" s="606" t="s">
        <v>201</v>
      </c>
      <c r="K46" s="607"/>
      <c r="L46" s="12"/>
      <c r="M46" s="12"/>
      <c r="N46" s="12"/>
      <c r="O46" s="12"/>
      <c r="P46" s="12"/>
      <c r="Q46" s="12"/>
      <c r="R46" s="299" t="s">
        <v>145</v>
      </c>
      <c r="S46" s="300"/>
      <c r="T46" s="254">
        <f>$M$39+$N$39+$F$39</f>
        <v>1.3125053524971009</v>
      </c>
      <c r="U46" s="257">
        <f>(((T46*8.34)*0.005)/(8.34*1.055))/400</f>
        <v>1.5551011285510674E-5</v>
      </c>
    </row>
    <row r="47" spans="1:43" ht="24.75" thickTop="1" thickBot="1" x14ac:dyDescent="0.4">
      <c r="A47" s="286" t="s">
        <v>187</v>
      </c>
      <c r="B47" s="287">
        <f>K44</f>
        <v>121864.95</v>
      </c>
      <c r="C47" s="12"/>
      <c r="D47" s="286" t="s">
        <v>189</v>
      </c>
      <c r="E47" s="287">
        <f>K44*0.5</f>
        <v>60932.474999999999</v>
      </c>
      <c r="F47" s="24"/>
      <c r="G47" s="286" t="s">
        <v>187</v>
      </c>
      <c r="H47" s="287">
        <f>K44*0.5</f>
        <v>60932.474999999999</v>
      </c>
      <c r="I47" s="12"/>
      <c r="J47" s="282" t="s">
        <v>200</v>
      </c>
      <c r="K47" s="283">
        <v>33933.120000000003</v>
      </c>
      <c r="L47" s="12"/>
      <c r="M47" s="12"/>
      <c r="N47" s="12"/>
      <c r="O47" s="12"/>
      <c r="P47" s="12"/>
      <c r="Q47" s="12"/>
      <c r="R47" s="299" t="s">
        <v>148</v>
      </c>
      <c r="S47" s="300"/>
      <c r="T47" s="254">
        <f>$G$39</f>
        <v>0</v>
      </c>
      <c r="U47" s="256">
        <f>T47/40000</f>
        <v>0</v>
      </c>
    </row>
    <row r="48" spans="1:43" ht="24" thickBot="1" x14ac:dyDescent="0.3">
      <c r="A48" s="286" t="s">
        <v>188</v>
      </c>
      <c r="B48" s="287">
        <f>K47</f>
        <v>33933.120000000003</v>
      </c>
      <c r="C48" s="12"/>
      <c r="D48" s="286" t="s">
        <v>188</v>
      </c>
      <c r="E48" s="287">
        <f>K47*0.5</f>
        <v>16966.560000000001</v>
      </c>
      <c r="F48" s="23"/>
      <c r="G48" s="286" t="s">
        <v>188</v>
      </c>
      <c r="H48" s="287">
        <f>K47*0.5</f>
        <v>16966.560000000001</v>
      </c>
      <c r="I48" s="12"/>
      <c r="J48" s="12"/>
      <c r="K48" s="86"/>
      <c r="L48" s="12"/>
      <c r="M48" s="12"/>
      <c r="N48" s="12"/>
      <c r="O48" s="12"/>
      <c r="P48" s="12"/>
      <c r="Q48" s="12"/>
      <c r="R48" s="299" t="s">
        <v>150</v>
      </c>
      <c r="S48" s="300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196</v>
      </c>
      <c r="B49" s="292">
        <f>AD40</f>
        <v>0</v>
      </c>
      <c r="C49" s="12"/>
      <c r="D49" s="291" t="s">
        <v>197</v>
      </c>
      <c r="E49" s="292">
        <f>AF40</f>
        <v>0</v>
      </c>
      <c r="F49" s="23"/>
      <c r="G49" s="291" t="s">
        <v>198</v>
      </c>
      <c r="H49" s="292">
        <f>AE40</f>
        <v>0</v>
      </c>
      <c r="I49" s="12"/>
      <c r="J49" s="12"/>
      <c r="K49" s="86"/>
      <c r="L49" s="12"/>
      <c r="M49" s="12"/>
      <c r="N49" s="12"/>
      <c r="O49" s="12"/>
      <c r="P49" s="12"/>
      <c r="Q49" s="12"/>
      <c r="R49" s="299" t="s">
        <v>152</v>
      </c>
      <c r="S49" s="300"/>
      <c r="T49" s="254">
        <f>$E$39+$K$39</f>
        <v>0</v>
      </c>
      <c r="U49" s="256">
        <f>(T49*8.34*1.04)/45000</f>
        <v>0</v>
      </c>
    </row>
    <row r="50" spans="1:25" ht="48" thickTop="1" thickBot="1" x14ac:dyDescent="0.3">
      <c r="A50" s="291" t="s">
        <v>192</v>
      </c>
      <c r="B50" s="293" t="e">
        <f>(SUM(B44:B48)/AD40)</f>
        <v>#DIV/0!</v>
      </c>
      <c r="C50" s="12"/>
      <c r="D50" s="291" t="s">
        <v>190</v>
      </c>
      <c r="E50" s="293" t="e">
        <f>SUM(E44:E48)/AF40</f>
        <v>#DIV/0!</v>
      </c>
      <c r="F50" s="23"/>
      <c r="G50" s="291" t="s">
        <v>191</v>
      </c>
      <c r="H50" s="293" t="e">
        <f>SUM(H44:H48)/AE40</f>
        <v>#DIV/0!</v>
      </c>
      <c r="I50" s="12"/>
      <c r="J50" s="12"/>
      <c r="K50" s="86"/>
      <c r="L50" s="12"/>
      <c r="M50" s="12"/>
      <c r="N50" s="12"/>
      <c r="O50" s="12"/>
      <c r="P50" s="12"/>
      <c r="Q50" s="12"/>
      <c r="R50" s="299" t="s">
        <v>153</v>
      </c>
      <c r="S50" s="300"/>
      <c r="T50" s="254">
        <f>$U$39+$V$39+$AB$39</f>
        <v>0</v>
      </c>
      <c r="U50" s="256">
        <f>T50/2000/8</f>
        <v>0</v>
      </c>
    </row>
    <row r="51" spans="1:25" ht="47.25" customHeight="1" thickTop="1" thickBot="1" x14ac:dyDescent="0.3">
      <c r="A51" s="281" t="s">
        <v>193</v>
      </c>
      <c r="B51" s="294" t="e">
        <f>B50/1000</f>
        <v>#DIV/0!</v>
      </c>
      <c r="C51" s="12"/>
      <c r="D51" s="281" t="s">
        <v>194</v>
      </c>
      <c r="E51" s="294" t="e">
        <f>E50/1000</f>
        <v>#DIV/0!</v>
      </c>
      <c r="F51" s="12"/>
      <c r="G51" s="281" t="s">
        <v>195</v>
      </c>
      <c r="H51" s="294" t="e">
        <f>H50/1000</f>
        <v>#DIV/0!</v>
      </c>
      <c r="I51" s="12"/>
      <c r="J51" s="12"/>
      <c r="K51" s="86"/>
      <c r="L51" s="12"/>
      <c r="M51" s="12"/>
      <c r="N51" s="12"/>
      <c r="O51" s="12"/>
      <c r="P51" s="12"/>
      <c r="Q51" s="12"/>
      <c r="R51" s="299" t="s">
        <v>154</v>
      </c>
      <c r="S51" s="300"/>
      <c r="T51" s="254">
        <f>$C$39+$J$39+$S$39+$T$39</f>
        <v>0</v>
      </c>
      <c r="U51" s="256">
        <f>(T51*8.34*1.4)/45000</f>
        <v>0</v>
      </c>
    </row>
    <row r="52" spans="1:25" ht="16.5" thickTop="1" thickBot="1" x14ac:dyDescent="0.3">
      <c r="A52" s="303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299" t="s">
        <v>155</v>
      </c>
      <c r="S52" s="300"/>
      <c r="T52" s="254">
        <f>$H$39</f>
        <v>0</v>
      </c>
      <c r="U52" s="256">
        <f>(T52*8.34*1.135)/45000</f>
        <v>0</v>
      </c>
    </row>
    <row r="53" spans="1:25" ht="48" customHeight="1" thickTop="1" thickBot="1" x14ac:dyDescent="0.3">
      <c r="A53" s="571" t="s">
        <v>51</v>
      </c>
      <c r="B53" s="572"/>
      <c r="C53" s="572"/>
      <c r="D53" s="572"/>
      <c r="E53" s="573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299" t="s">
        <v>156</v>
      </c>
      <c r="S53" s="300"/>
      <c r="T53" s="254">
        <f>$B$39+$I$39+$AC$39</f>
        <v>0</v>
      </c>
      <c r="U53" s="256">
        <f>(T53*8.34*1.029*0.03)/3300</f>
        <v>0</v>
      </c>
    </row>
    <row r="54" spans="1:25" ht="57" customHeight="1" thickBot="1" x14ac:dyDescent="0.3">
      <c r="A54" s="602" t="s">
        <v>202</v>
      </c>
      <c r="B54" s="603"/>
      <c r="C54" s="603"/>
      <c r="D54" s="603"/>
      <c r="E54" s="60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65" t="s">
        <v>158</v>
      </c>
      <c r="S54" s="566"/>
      <c r="T54" s="258">
        <f>$D$39+$Y$39+$Z$39</f>
        <v>1.5311390161514282E-2</v>
      </c>
      <c r="U54" s="259">
        <f>(T54*1.54*8.34)/45000</f>
        <v>4.3700749039649967E-6</v>
      </c>
    </row>
    <row r="55" spans="1:25" ht="15.75" thickTop="1" x14ac:dyDescent="0.25">
      <c r="A55" s="304"/>
      <c r="B55" s="304"/>
      <c r="C55" s="304"/>
      <c r="D55" s="304"/>
      <c r="E55" s="304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567"/>
      <c r="S55" s="567"/>
      <c r="T55" s="311"/>
      <c r="U55" s="312"/>
    </row>
    <row r="56" spans="1:25" x14ac:dyDescent="0.25">
      <c r="A56" s="315"/>
      <c r="B56" s="316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322"/>
      <c r="B57" s="31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316"/>
      <c r="B58" s="31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322"/>
      <c r="B59" s="31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316"/>
      <c r="B60" s="316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</sheetData>
  <sheetProtection selectLockedCells="1" selectUnlockedCells="1"/>
  <mergeCells count="31">
    <mergeCell ref="A54:E54"/>
    <mergeCell ref="J43:K43"/>
    <mergeCell ref="J46:K46"/>
    <mergeCell ref="A43:B43"/>
    <mergeCell ref="D43:E43"/>
    <mergeCell ref="G43:H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R54:S54"/>
    <mergeCell ref="R55:S55"/>
    <mergeCell ref="R43:U43"/>
    <mergeCell ref="A53:E53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5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2"/>
  <sheetViews>
    <sheetView topLeftCell="A25" zoomScale="80" zoomScaleNormal="80" workbookViewId="0">
      <selection activeCell="B47" sqref="B47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425781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81" t="s">
        <v>3</v>
      </c>
      <c r="C4" s="582"/>
      <c r="D4" s="582"/>
      <c r="E4" s="582"/>
      <c r="F4" s="582"/>
      <c r="G4" s="582"/>
      <c r="H4" s="583"/>
      <c r="I4" s="581" t="s">
        <v>4</v>
      </c>
      <c r="J4" s="582"/>
      <c r="K4" s="582"/>
      <c r="L4" s="582"/>
      <c r="M4" s="582"/>
      <c r="N4" s="583"/>
      <c r="O4" s="587" t="s">
        <v>5</v>
      </c>
      <c r="P4" s="588"/>
      <c r="Q4" s="589"/>
      <c r="R4" s="589"/>
      <c r="S4" s="589"/>
      <c r="T4" s="590"/>
      <c r="U4" s="581" t="s">
        <v>6</v>
      </c>
      <c r="V4" s="594"/>
      <c r="W4" s="594"/>
      <c r="X4" s="594"/>
      <c r="Y4" s="594"/>
      <c r="Z4" s="594"/>
      <c r="AA4" s="595"/>
      <c r="AB4" s="574" t="s">
        <v>7</v>
      </c>
      <c r="AC4" s="600" t="s">
        <v>8</v>
      </c>
      <c r="AD4" s="579" t="s">
        <v>27</v>
      </c>
      <c r="AE4" s="579" t="s">
        <v>31</v>
      </c>
      <c r="AF4" s="579" t="s">
        <v>32</v>
      </c>
      <c r="AG4" s="579" t="s">
        <v>33</v>
      </c>
      <c r="AH4" s="574" t="s">
        <v>175</v>
      </c>
      <c r="AI4" s="574" t="s">
        <v>176</v>
      </c>
      <c r="AJ4" s="574" t="s">
        <v>177</v>
      </c>
      <c r="AK4" s="574" t="s">
        <v>178</v>
      </c>
      <c r="AL4" s="574" t="s">
        <v>179</v>
      </c>
      <c r="AM4" s="574" t="s">
        <v>180</v>
      </c>
      <c r="AN4" s="574" t="s">
        <v>181</v>
      </c>
      <c r="AO4" s="574" t="s">
        <v>184</v>
      </c>
      <c r="AP4" s="574" t="s">
        <v>182</v>
      </c>
      <c r="AQ4" s="574" t="s">
        <v>183</v>
      </c>
    </row>
    <row r="5" spans="1:47" ht="30" customHeight="1" thickBot="1" x14ac:dyDescent="0.3">
      <c r="A5" s="13"/>
      <c r="B5" s="584"/>
      <c r="C5" s="585"/>
      <c r="D5" s="585"/>
      <c r="E5" s="585"/>
      <c r="F5" s="585"/>
      <c r="G5" s="585"/>
      <c r="H5" s="586"/>
      <c r="I5" s="584"/>
      <c r="J5" s="585"/>
      <c r="K5" s="585"/>
      <c r="L5" s="585"/>
      <c r="M5" s="585"/>
      <c r="N5" s="586"/>
      <c r="O5" s="591"/>
      <c r="P5" s="592"/>
      <c r="Q5" s="592"/>
      <c r="R5" s="592"/>
      <c r="S5" s="592"/>
      <c r="T5" s="593"/>
      <c r="U5" s="596"/>
      <c r="V5" s="597"/>
      <c r="W5" s="597"/>
      <c r="X5" s="597"/>
      <c r="Y5" s="597"/>
      <c r="Z5" s="597"/>
      <c r="AA5" s="598"/>
      <c r="AB5" s="599"/>
      <c r="AC5" s="601"/>
      <c r="AD5" s="580"/>
      <c r="AE5" s="580"/>
      <c r="AF5" s="580"/>
      <c r="AG5" s="580"/>
      <c r="AH5" s="575"/>
      <c r="AI5" s="575"/>
      <c r="AJ5" s="575"/>
      <c r="AK5" s="575"/>
      <c r="AL5" s="575"/>
      <c r="AM5" s="575"/>
      <c r="AN5" s="575"/>
      <c r="AO5" s="575"/>
      <c r="AP5" s="575"/>
      <c r="AQ5" s="575"/>
      <c r="AT5" t="s">
        <v>171</v>
      </c>
      <c r="AU5" s="338" t="s">
        <v>209</v>
      </c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6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42401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0</v>
      </c>
      <c r="J8" s="50">
        <v>0</v>
      </c>
      <c r="K8" s="50">
        <v>0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5">
        <v>0</v>
      </c>
      <c r="AB8" s="56">
        <v>0</v>
      </c>
      <c r="AC8" s="57">
        <v>0</v>
      </c>
      <c r="AD8" s="57">
        <v>0</v>
      </c>
      <c r="AE8" s="58">
        <v>0</v>
      </c>
      <c r="AF8" s="58">
        <v>0</v>
      </c>
      <c r="AG8" s="58">
        <v>0</v>
      </c>
      <c r="AH8" s="57">
        <v>288.35249952475226</v>
      </c>
      <c r="AI8" s="57">
        <v>600.27027608553556</v>
      </c>
      <c r="AJ8" s="57">
        <v>1561.2731443405148</v>
      </c>
      <c r="AK8" s="57">
        <v>272.63443338871008</v>
      </c>
      <c r="AL8" s="57">
        <v>1748.0409046808877</v>
      </c>
      <c r="AM8" s="57">
        <v>2009.758727518717</v>
      </c>
      <c r="AN8" s="57">
        <v>597.03326571782418</v>
      </c>
      <c r="AO8" s="57">
        <v>351.42691040039062</v>
      </c>
      <c r="AP8" s="57">
        <v>116.33473205566406</v>
      </c>
      <c r="AQ8" s="57">
        <v>683.37401132583602</v>
      </c>
    </row>
    <row r="9" spans="1:47" x14ac:dyDescent="0.25">
      <c r="A9" s="11">
        <v>42402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0</v>
      </c>
      <c r="J9" s="60">
        <v>0</v>
      </c>
      <c r="K9" s="60">
        <v>0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0</v>
      </c>
      <c r="V9" s="62">
        <v>0</v>
      </c>
      <c r="W9" s="62">
        <v>0</v>
      </c>
      <c r="X9" s="62">
        <v>0</v>
      </c>
      <c r="Y9" s="66">
        <v>0</v>
      </c>
      <c r="Z9" s="66">
        <v>0</v>
      </c>
      <c r="AA9" s="67">
        <v>0</v>
      </c>
      <c r="AB9" s="68">
        <v>0</v>
      </c>
      <c r="AC9" s="69">
        <v>0</v>
      </c>
      <c r="AD9" s="69">
        <v>0</v>
      </c>
      <c r="AE9" s="68">
        <v>0</v>
      </c>
      <c r="AF9" s="68">
        <v>0</v>
      </c>
      <c r="AG9" s="68">
        <v>0</v>
      </c>
      <c r="AH9" s="69">
        <v>311.73646356264743</v>
      </c>
      <c r="AI9" s="69">
        <v>641.52305973370869</v>
      </c>
      <c r="AJ9" s="69">
        <v>1654.7725001653037</v>
      </c>
      <c r="AK9" s="69">
        <v>294.90370473066963</v>
      </c>
      <c r="AL9" s="69">
        <v>1668.0867550532023</v>
      </c>
      <c r="AM9" s="69">
        <v>2045.1824745178221</v>
      </c>
      <c r="AN9" s="69">
        <v>602.50818452835085</v>
      </c>
      <c r="AO9" s="69">
        <v>347.62720088958741</v>
      </c>
      <c r="AP9" s="69">
        <v>72.425039994716641</v>
      </c>
      <c r="AQ9" s="69">
        <v>687.98382568359364</v>
      </c>
    </row>
    <row r="10" spans="1:47" x14ac:dyDescent="0.25">
      <c r="A10" s="11">
        <v>42403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0</v>
      </c>
      <c r="J10" s="60">
        <v>0</v>
      </c>
      <c r="K10" s="60">
        <v>0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0</v>
      </c>
      <c r="V10" s="62">
        <v>0</v>
      </c>
      <c r="W10" s="62">
        <v>0</v>
      </c>
      <c r="X10" s="62">
        <v>0</v>
      </c>
      <c r="Y10" s="66">
        <v>0</v>
      </c>
      <c r="Z10" s="66">
        <v>0</v>
      </c>
      <c r="AA10" s="67">
        <v>0</v>
      </c>
      <c r="AB10" s="68">
        <v>0</v>
      </c>
      <c r="AC10" s="69">
        <v>0</v>
      </c>
      <c r="AD10" s="69">
        <v>0</v>
      </c>
      <c r="AE10" s="68">
        <v>0</v>
      </c>
      <c r="AF10" s="68">
        <v>0</v>
      </c>
      <c r="AG10" s="68">
        <v>0</v>
      </c>
      <c r="AH10" s="69">
        <v>297.68537944952641</v>
      </c>
      <c r="AI10" s="69">
        <v>624.7336972236634</v>
      </c>
      <c r="AJ10" s="69">
        <v>1655.9985612869264</v>
      </c>
      <c r="AK10" s="69">
        <v>298.84991911252337</v>
      </c>
      <c r="AL10" s="69">
        <v>1678.5741333643596</v>
      </c>
      <c r="AM10" s="69">
        <v>2093.7928708394365</v>
      </c>
      <c r="AN10" s="69">
        <v>615.15642404556286</v>
      </c>
      <c r="AO10" s="69">
        <v>347.18916905721028</v>
      </c>
      <c r="AP10" s="69">
        <v>94.186672302087146</v>
      </c>
      <c r="AQ10" s="69">
        <v>722.01867256164564</v>
      </c>
    </row>
    <row r="11" spans="1:47" x14ac:dyDescent="0.25">
      <c r="A11" s="11">
        <v>42404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0</v>
      </c>
      <c r="J11" s="60">
        <v>0</v>
      </c>
      <c r="K11" s="60">
        <v>0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0</v>
      </c>
      <c r="V11" s="62">
        <v>0</v>
      </c>
      <c r="W11" s="62">
        <v>0</v>
      </c>
      <c r="X11" s="62">
        <v>0</v>
      </c>
      <c r="Y11" s="66">
        <v>0</v>
      </c>
      <c r="Z11" s="66">
        <v>0</v>
      </c>
      <c r="AA11" s="67">
        <v>0</v>
      </c>
      <c r="AB11" s="68">
        <v>0</v>
      </c>
      <c r="AC11" s="69">
        <v>0</v>
      </c>
      <c r="AD11" s="69">
        <v>0</v>
      </c>
      <c r="AE11" s="68">
        <v>0</v>
      </c>
      <c r="AF11" s="68">
        <v>0</v>
      </c>
      <c r="AG11" s="68">
        <v>0</v>
      </c>
      <c r="AH11" s="69">
        <v>285.33555469512942</v>
      </c>
      <c r="AI11" s="69">
        <v>605.89448877970381</v>
      </c>
      <c r="AJ11" s="69">
        <v>1670.423768679301</v>
      </c>
      <c r="AK11" s="69">
        <v>291.25147002538051</v>
      </c>
      <c r="AL11" s="69">
        <v>1640.2984923680624</v>
      </c>
      <c r="AM11" s="69">
        <v>2074.0428450266522</v>
      </c>
      <c r="AN11" s="69">
        <v>604.96109313964837</v>
      </c>
      <c r="AO11" s="69">
        <v>359.66997728347781</v>
      </c>
      <c r="AP11" s="69">
        <v>99.081214014689124</v>
      </c>
      <c r="AQ11" s="69">
        <v>715.37456722259526</v>
      </c>
    </row>
    <row r="12" spans="1:47" x14ac:dyDescent="0.25">
      <c r="A12" s="11">
        <v>42405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0</v>
      </c>
      <c r="J12" s="60">
        <v>0</v>
      </c>
      <c r="K12" s="60">
        <v>0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0</v>
      </c>
      <c r="V12" s="62">
        <v>0</v>
      </c>
      <c r="W12" s="62">
        <v>0</v>
      </c>
      <c r="X12" s="62">
        <v>0</v>
      </c>
      <c r="Y12" s="66">
        <v>0</v>
      </c>
      <c r="Z12" s="66">
        <v>0</v>
      </c>
      <c r="AA12" s="67">
        <v>0</v>
      </c>
      <c r="AB12" s="68">
        <v>0</v>
      </c>
      <c r="AC12" s="69">
        <v>0</v>
      </c>
      <c r="AD12" s="69">
        <v>0</v>
      </c>
      <c r="AE12" s="68">
        <v>0</v>
      </c>
      <c r="AF12" s="68">
        <v>0</v>
      </c>
      <c r="AG12" s="68">
        <v>0</v>
      </c>
      <c r="AH12" s="69">
        <v>260.90835491021477</v>
      </c>
      <c r="AI12" s="69">
        <v>552.82840449015305</v>
      </c>
      <c r="AJ12" s="69">
        <v>1545.5758728663127</v>
      </c>
      <c r="AK12" s="69">
        <v>266.58429343700408</v>
      </c>
      <c r="AL12" s="69">
        <v>1638.6136882781984</v>
      </c>
      <c r="AM12" s="69">
        <v>2047.0570639292398</v>
      </c>
      <c r="AN12" s="69">
        <v>546.87199300130214</v>
      </c>
      <c r="AO12" s="69">
        <v>356.13240273793542</v>
      </c>
      <c r="AP12" s="69">
        <v>66.347545174757641</v>
      </c>
      <c r="AQ12" s="69">
        <v>701.31043202082299</v>
      </c>
    </row>
    <row r="13" spans="1:47" x14ac:dyDescent="0.25">
      <c r="A13" s="11">
        <v>42406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0</v>
      </c>
      <c r="J13" s="60">
        <v>0</v>
      </c>
      <c r="K13" s="60">
        <v>0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0</v>
      </c>
      <c r="V13" s="62">
        <v>0</v>
      </c>
      <c r="W13" s="62">
        <v>0</v>
      </c>
      <c r="X13" s="62">
        <v>0</v>
      </c>
      <c r="Y13" s="66">
        <v>0</v>
      </c>
      <c r="Z13" s="66">
        <v>0</v>
      </c>
      <c r="AA13" s="67">
        <v>0</v>
      </c>
      <c r="AB13" s="68">
        <v>0</v>
      </c>
      <c r="AC13" s="69">
        <v>0</v>
      </c>
      <c r="AD13" s="69">
        <v>0</v>
      </c>
      <c r="AE13" s="68">
        <v>0</v>
      </c>
      <c r="AF13" s="68">
        <v>0</v>
      </c>
      <c r="AG13" s="68">
        <v>0</v>
      </c>
      <c r="AH13" s="69">
        <v>252.28820904890696</v>
      </c>
      <c r="AI13" s="69">
        <v>540.10640479723622</v>
      </c>
      <c r="AJ13" s="69">
        <v>1526.095045471191</v>
      </c>
      <c r="AK13" s="69">
        <v>263.63142178058627</v>
      </c>
      <c r="AL13" s="69">
        <v>1604.7008193333943</v>
      </c>
      <c r="AM13" s="69">
        <v>1984.0879305521651</v>
      </c>
      <c r="AN13" s="69">
        <v>533.55659783681233</v>
      </c>
      <c r="AO13" s="69">
        <v>330.97901099522909</v>
      </c>
      <c r="AP13" s="69">
        <v>66.940974835554755</v>
      </c>
      <c r="AQ13" s="69">
        <v>658.56589612960829</v>
      </c>
    </row>
    <row r="14" spans="1:47" x14ac:dyDescent="0.25">
      <c r="A14" s="11">
        <v>42407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0</v>
      </c>
      <c r="J14" s="60">
        <v>0</v>
      </c>
      <c r="K14" s="60">
        <v>0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0</v>
      </c>
      <c r="V14" s="62">
        <v>0</v>
      </c>
      <c r="W14" s="62">
        <v>0</v>
      </c>
      <c r="X14" s="62">
        <v>0</v>
      </c>
      <c r="Y14" s="66">
        <v>0</v>
      </c>
      <c r="Z14" s="66">
        <v>0</v>
      </c>
      <c r="AA14" s="67">
        <v>0</v>
      </c>
      <c r="AB14" s="68">
        <v>0</v>
      </c>
      <c r="AC14" s="69">
        <v>0</v>
      </c>
      <c r="AD14" s="69">
        <v>0</v>
      </c>
      <c r="AE14" s="68">
        <v>0</v>
      </c>
      <c r="AF14" s="68">
        <v>0</v>
      </c>
      <c r="AG14" s="68">
        <v>0</v>
      </c>
      <c r="AH14" s="69">
        <v>252.7792581319809</v>
      </c>
      <c r="AI14" s="69">
        <v>531.29320440292349</v>
      </c>
      <c r="AJ14" s="69">
        <v>1502.3099498112997</v>
      </c>
      <c r="AK14" s="69">
        <v>253.75925525824232</v>
      </c>
      <c r="AL14" s="69">
        <v>1657.1322792689004</v>
      </c>
      <c r="AM14" s="69">
        <v>1930.7363931020102</v>
      </c>
      <c r="AN14" s="69">
        <v>513.28797621726983</v>
      </c>
      <c r="AO14" s="69">
        <v>309.01652158101399</v>
      </c>
      <c r="AP14" s="69">
        <v>67.226247366269433</v>
      </c>
      <c r="AQ14" s="69">
        <v>681.07791016896567</v>
      </c>
    </row>
    <row r="15" spans="1:47" x14ac:dyDescent="0.25">
      <c r="A15" s="11">
        <v>42408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0</v>
      </c>
      <c r="J15" s="60">
        <v>0</v>
      </c>
      <c r="K15" s="60">
        <v>0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0</v>
      </c>
      <c r="V15" s="62">
        <v>0</v>
      </c>
      <c r="W15" s="62">
        <v>0</v>
      </c>
      <c r="X15" s="62">
        <v>0</v>
      </c>
      <c r="Y15" s="66">
        <v>0</v>
      </c>
      <c r="Z15" s="66">
        <v>0</v>
      </c>
      <c r="AA15" s="67">
        <v>0</v>
      </c>
      <c r="AB15" s="68">
        <v>0</v>
      </c>
      <c r="AC15" s="69">
        <v>0</v>
      </c>
      <c r="AD15" s="69">
        <v>0</v>
      </c>
      <c r="AE15" s="68">
        <v>0</v>
      </c>
      <c r="AF15" s="68">
        <v>0</v>
      </c>
      <c r="AG15" s="68">
        <v>0</v>
      </c>
      <c r="AH15" s="69">
        <v>256.3850768486659</v>
      </c>
      <c r="AI15" s="69">
        <v>547.33699932098398</v>
      </c>
      <c r="AJ15" s="69">
        <v>1541.4396608352661</v>
      </c>
      <c r="AK15" s="69">
        <v>262.58441591262817</v>
      </c>
      <c r="AL15" s="69">
        <v>1646.4861429850257</v>
      </c>
      <c r="AM15" s="69">
        <v>2001.790288670858</v>
      </c>
      <c r="AN15" s="69">
        <v>533.99436316490176</v>
      </c>
      <c r="AO15" s="69">
        <v>363.96053719520569</v>
      </c>
      <c r="AP15" s="69">
        <v>71.707941055297852</v>
      </c>
      <c r="AQ15" s="69">
        <v>687.07660878499348</v>
      </c>
    </row>
    <row r="16" spans="1:47" x14ac:dyDescent="0.25">
      <c r="A16" s="11">
        <v>42409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0</v>
      </c>
      <c r="J16" s="60">
        <v>0</v>
      </c>
      <c r="K16" s="60">
        <v>0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0</v>
      </c>
      <c r="V16" s="62">
        <v>0</v>
      </c>
      <c r="W16" s="62">
        <v>0</v>
      </c>
      <c r="X16" s="62">
        <v>0</v>
      </c>
      <c r="Y16" s="66">
        <v>0</v>
      </c>
      <c r="Z16" s="66">
        <v>0</v>
      </c>
      <c r="AA16" s="67">
        <v>0</v>
      </c>
      <c r="AB16" s="68">
        <v>0</v>
      </c>
      <c r="AC16" s="69">
        <v>0</v>
      </c>
      <c r="AD16" s="69">
        <v>0</v>
      </c>
      <c r="AE16" s="68">
        <v>0</v>
      </c>
      <c r="AF16" s="68">
        <v>0</v>
      </c>
      <c r="AG16" s="68">
        <v>0</v>
      </c>
      <c r="AH16" s="69">
        <v>229.01908719539639</v>
      </c>
      <c r="AI16" s="69">
        <v>498.82907797495523</v>
      </c>
      <c r="AJ16" s="69">
        <v>1480.6560075759887</v>
      </c>
      <c r="AK16" s="69">
        <v>237.19805623690286</v>
      </c>
      <c r="AL16" s="69">
        <v>1654.3475619633996</v>
      </c>
      <c r="AM16" s="69">
        <v>1956.1269643147784</v>
      </c>
      <c r="AN16" s="69">
        <v>505.45186050732934</v>
      </c>
      <c r="AO16" s="69">
        <v>361.97169674237568</v>
      </c>
      <c r="AP16" s="69">
        <v>68.16970520019531</v>
      </c>
      <c r="AQ16" s="69">
        <v>676.17107957204189</v>
      </c>
    </row>
    <row r="17" spans="1:43" x14ac:dyDescent="0.25">
      <c r="A17" s="11">
        <v>42410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0</v>
      </c>
      <c r="J17" s="50">
        <v>0</v>
      </c>
      <c r="K17" s="50">
        <v>0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0</v>
      </c>
      <c r="V17" s="66">
        <v>0</v>
      </c>
      <c r="W17" s="62">
        <v>0</v>
      </c>
      <c r="X17" s="62">
        <v>0</v>
      </c>
      <c r="Y17" s="66">
        <v>0</v>
      </c>
      <c r="Z17" s="66">
        <v>0</v>
      </c>
      <c r="AA17" s="67">
        <v>0</v>
      </c>
      <c r="AB17" s="68">
        <v>0</v>
      </c>
      <c r="AC17" s="69">
        <v>0</v>
      </c>
      <c r="AD17" s="69">
        <v>0</v>
      </c>
      <c r="AE17" s="68">
        <v>0</v>
      </c>
      <c r="AF17" s="68">
        <v>0</v>
      </c>
      <c r="AG17" s="68">
        <v>0</v>
      </c>
      <c r="AH17" s="69">
        <v>211.49091258049017</v>
      </c>
      <c r="AI17" s="69">
        <v>466.08445499738059</v>
      </c>
      <c r="AJ17" s="69">
        <v>1371.0927023569743</v>
      </c>
      <c r="AK17" s="69">
        <v>221.55956250031784</v>
      </c>
      <c r="AL17" s="69">
        <v>1633.0846408208211</v>
      </c>
      <c r="AM17" s="69">
        <v>1910.8050285339355</v>
      </c>
      <c r="AN17" s="69">
        <v>611.70935556093843</v>
      </c>
      <c r="AO17" s="69">
        <v>360.91289294560755</v>
      </c>
      <c r="AP17" s="69">
        <v>63.169140628973643</v>
      </c>
      <c r="AQ17" s="69">
        <v>768.25625778834035</v>
      </c>
    </row>
    <row r="18" spans="1:43" x14ac:dyDescent="0.25">
      <c r="A18" s="11">
        <v>42411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0</v>
      </c>
      <c r="J18" s="60">
        <v>0</v>
      </c>
      <c r="K18" s="60">
        <v>0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0</v>
      </c>
      <c r="V18" s="62">
        <v>0</v>
      </c>
      <c r="W18" s="62">
        <v>0</v>
      </c>
      <c r="X18" s="62">
        <v>0</v>
      </c>
      <c r="Y18" s="66">
        <v>0</v>
      </c>
      <c r="Z18" s="66">
        <v>0</v>
      </c>
      <c r="AA18" s="67">
        <v>0</v>
      </c>
      <c r="AB18" s="68">
        <v>0</v>
      </c>
      <c r="AC18" s="69">
        <v>0</v>
      </c>
      <c r="AD18" s="69">
        <v>0</v>
      </c>
      <c r="AE18" s="68">
        <v>0</v>
      </c>
      <c r="AF18" s="68">
        <v>0</v>
      </c>
      <c r="AG18" s="68">
        <v>0</v>
      </c>
      <c r="AH18" s="69">
        <v>209.42494769891098</v>
      </c>
      <c r="AI18" s="69">
        <v>459.60333681106573</v>
      </c>
      <c r="AJ18" s="69">
        <v>1419.6401292800906</v>
      </c>
      <c r="AK18" s="69">
        <v>215.56960306962338</v>
      </c>
      <c r="AL18" s="69">
        <v>1609.6007770538333</v>
      </c>
      <c r="AM18" s="69">
        <v>1868.3540184020999</v>
      </c>
      <c r="AN18" s="69">
        <v>585.06223622957862</v>
      </c>
      <c r="AO18" s="69">
        <v>325.06715933481848</v>
      </c>
      <c r="AP18" s="69">
        <v>62.443046899636592</v>
      </c>
      <c r="AQ18" s="69">
        <v>771.74531176884989</v>
      </c>
    </row>
    <row r="19" spans="1:43" x14ac:dyDescent="0.25">
      <c r="A19" s="11">
        <v>42412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0</v>
      </c>
      <c r="J19" s="60">
        <v>0</v>
      </c>
      <c r="K19" s="60">
        <v>0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0</v>
      </c>
      <c r="V19" s="62">
        <v>0</v>
      </c>
      <c r="W19" s="62">
        <v>0</v>
      </c>
      <c r="X19" s="62">
        <v>0</v>
      </c>
      <c r="Y19" s="66">
        <v>0</v>
      </c>
      <c r="Z19" s="66">
        <v>0</v>
      </c>
      <c r="AA19" s="67">
        <v>0</v>
      </c>
      <c r="AB19" s="68">
        <v>0</v>
      </c>
      <c r="AC19" s="69">
        <v>0</v>
      </c>
      <c r="AD19" s="69">
        <v>0</v>
      </c>
      <c r="AE19" s="68">
        <v>0</v>
      </c>
      <c r="AF19" s="68">
        <v>0</v>
      </c>
      <c r="AG19" s="68">
        <v>0</v>
      </c>
      <c r="AH19" s="69">
        <v>208.13442073663077</v>
      </c>
      <c r="AI19" s="69">
        <v>456.15631035168963</v>
      </c>
      <c r="AJ19" s="69">
        <v>1391.7961320241291</v>
      </c>
      <c r="AK19" s="69">
        <v>221.30843636194865</v>
      </c>
      <c r="AL19" s="69">
        <v>1634.7486104965212</v>
      </c>
      <c r="AM19" s="69">
        <v>1854.504005304972</v>
      </c>
      <c r="AN19" s="69">
        <v>585.17970005671191</v>
      </c>
      <c r="AO19" s="69">
        <v>347.65907017389935</v>
      </c>
      <c r="AP19" s="69">
        <v>64.995798381169635</v>
      </c>
      <c r="AQ19" s="69">
        <v>650.84248603185006</v>
      </c>
    </row>
    <row r="20" spans="1:43" x14ac:dyDescent="0.25">
      <c r="A20" s="11">
        <v>42413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0</v>
      </c>
      <c r="J20" s="60">
        <v>0</v>
      </c>
      <c r="K20" s="60">
        <v>0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0</v>
      </c>
      <c r="V20" s="62">
        <v>0</v>
      </c>
      <c r="W20" s="62">
        <v>0</v>
      </c>
      <c r="X20" s="62">
        <v>0</v>
      </c>
      <c r="Y20" s="66">
        <v>0</v>
      </c>
      <c r="Z20" s="66">
        <v>0</v>
      </c>
      <c r="AA20" s="67">
        <v>0</v>
      </c>
      <c r="AB20" s="68">
        <v>0</v>
      </c>
      <c r="AC20" s="69">
        <v>0</v>
      </c>
      <c r="AD20" s="69">
        <v>0</v>
      </c>
      <c r="AE20" s="68">
        <v>0</v>
      </c>
      <c r="AF20" s="68">
        <v>0</v>
      </c>
      <c r="AG20" s="68">
        <v>0</v>
      </c>
      <c r="AH20" s="69">
        <v>200.54265955289205</v>
      </c>
      <c r="AI20" s="69">
        <v>443.31485164960225</v>
      </c>
      <c r="AJ20" s="69">
        <v>1365.5918934504189</v>
      </c>
      <c r="AK20" s="69">
        <v>214.65183058579765</v>
      </c>
      <c r="AL20" s="69">
        <v>1615.4571662902833</v>
      </c>
      <c r="AM20" s="69">
        <v>1749.6286467234293</v>
      </c>
      <c r="AN20" s="69">
        <v>575.51034768422437</v>
      </c>
      <c r="AO20" s="69">
        <v>292.53708456357322</v>
      </c>
      <c r="AP20" s="69">
        <v>65.503114700317383</v>
      </c>
      <c r="AQ20" s="69">
        <v>632.52989803949993</v>
      </c>
    </row>
    <row r="21" spans="1:43" x14ac:dyDescent="0.25">
      <c r="A21" s="11">
        <v>42414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0</v>
      </c>
      <c r="J21" s="60">
        <v>0</v>
      </c>
      <c r="K21" s="60">
        <v>0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0</v>
      </c>
      <c r="V21" s="62">
        <v>0</v>
      </c>
      <c r="W21" s="62">
        <v>0</v>
      </c>
      <c r="X21" s="62">
        <v>0</v>
      </c>
      <c r="Y21" s="66">
        <v>0</v>
      </c>
      <c r="Z21" s="66">
        <v>0</v>
      </c>
      <c r="AA21" s="67">
        <v>0</v>
      </c>
      <c r="AB21" s="68">
        <v>0</v>
      </c>
      <c r="AC21" s="69">
        <v>0</v>
      </c>
      <c r="AD21" s="69">
        <v>0</v>
      </c>
      <c r="AE21" s="68">
        <v>0</v>
      </c>
      <c r="AF21" s="68">
        <v>0</v>
      </c>
      <c r="AG21" s="68">
        <v>0</v>
      </c>
      <c r="AH21" s="69">
        <v>223.82366615931195</v>
      </c>
      <c r="AI21" s="69">
        <v>483.7318333148956</v>
      </c>
      <c r="AJ21" s="69">
        <v>1436.6928828557334</v>
      </c>
      <c r="AK21" s="69">
        <v>234.41963680585224</v>
      </c>
      <c r="AL21" s="69">
        <v>1645.0933184305825</v>
      </c>
      <c r="AM21" s="69">
        <v>1785.8042981465655</v>
      </c>
      <c r="AN21" s="69">
        <v>581.09672436714175</v>
      </c>
      <c r="AO21" s="69">
        <v>342.45824422836301</v>
      </c>
      <c r="AP21" s="69">
        <v>64.91190003951391</v>
      </c>
      <c r="AQ21" s="69">
        <v>593.84196780522677</v>
      </c>
    </row>
    <row r="22" spans="1:43" x14ac:dyDescent="0.25">
      <c r="A22" s="11">
        <v>42415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0</v>
      </c>
      <c r="J22" s="60">
        <v>0</v>
      </c>
      <c r="K22" s="60">
        <v>0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0</v>
      </c>
      <c r="V22" s="62">
        <v>0</v>
      </c>
      <c r="W22" s="62">
        <v>0</v>
      </c>
      <c r="X22" s="62">
        <v>0</v>
      </c>
      <c r="Y22" s="66">
        <v>0</v>
      </c>
      <c r="Z22" s="66">
        <v>0</v>
      </c>
      <c r="AA22" s="67">
        <v>0</v>
      </c>
      <c r="AB22" s="68">
        <v>0</v>
      </c>
      <c r="AC22" s="69">
        <v>0</v>
      </c>
      <c r="AD22" s="69">
        <v>0</v>
      </c>
      <c r="AE22" s="68">
        <v>0</v>
      </c>
      <c r="AF22" s="68">
        <v>0</v>
      </c>
      <c r="AG22" s="68">
        <v>0</v>
      </c>
      <c r="AH22" s="69">
        <v>230.95096959273019</v>
      </c>
      <c r="AI22" s="69">
        <v>492.94618384043372</v>
      </c>
      <c r="AJ22" s="69">
        <v>1499.5927693049114</v>
      </c>
      <c r="AK22" s="69">
        <v>228.73216387430824</v>
      </c>
      <c r="AL22" s="69">
        <v>1681.5303717295328</v>
      </c>
      <c r="AM22" s="69">
        <v>1848.6332706451421</v>
      </c>
      <c r="AN22" s="69">
        <v>589.5678039709727</v>
      </c>
      <c r="AO22" s="69">
        <v>341.88806667327879</v>
      </c>
      <c r="AP22" s="69">
        <v>63.894087290763856</v>
      </c>
      <c r="AQ22" s="69">
        <v>650.14661092758172</v>
      </c>
    </row>
    <row r="23" spans="1:43" x14ac:dyDescent="0.25">
      <c r="A23" s="11">
        <v>42416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0</v>
      </c>
      <c r="J23" s="60">
        <v>0</v>
      </c>
      <c r="K23" s="60">
        <v>0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0</v>
      </c>
      <c r="V23" s="62">
        <v>0</v>
      </c>
      <c r="W23" s="62">
        <v>0</v>
      </c>
      <c r="X23" s="62">
        <v>0</v>
      </c>
      <c r="Y23" s="66">
        <v>0</v>
      </c>
      <c r="Z23" s="66">
        <v>0</v>
      </c>
      <c r="AA23" s="67">
        <v>0</v>
      </c>
      <c r="AB23" s="68">
        <v>0</v>
      </c>
      <c r="AC23" s="69">
        <v>0</v>
      </c>
      <c r="AD23" s="69">
        <v>0</v>
      </c>
      <c r="AE23" s="68">
        <v>0</v>
      </c>
      <c r="AF23" s="68">
        <v>0</v>
      </c>
      <c r="AG23" s="68">
        <v>0</v>
      </c>
      <c r="AH23" s="69">
        <v>218.45815889040628</v>
      </c>
      <c r="AI23" s="69">
        <v>475.63853863080345</v>
      </c>
      <c r="AJ23" s="69">
        <v>1548.9618541081743</v>
      </c>
      <c r="AK23" s="69">
        <v>224.61591712633768</v>
      </c>
      <c r="AL23" s="69">
        <v>1671.5649775822958</v>
      </c>
      <c r="AM23" s="69">
        <v>1929.0860621134439</v>
      </c>
      <c r="AN23" s="69">
        <v>588.23121940294914</v>
      </c>
      <c r="AO23" s="69">
        <v>346.34799879391988</v>
      </c>
      <c r="AP23" s="69">
        <v>72.34491554101308</v>
      </c>
      <c r="AQ23" s="69">
        <v>642.52795966466249</v>
      </c>
    </row>
    <row r="24" spans="1:43" x14ac:dyDescent="0.25">
      <c r="A24" s="11">
        <v>42417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0</v>
      </c>
      <c r="J24" s="60">
        <v>0</v>
      </c>
      <c r="K24" s="60">
        <v>0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0</v>
      </c>
      <c r="V24" s="62">
        <v>0</v>
      </c>
      <c r="W24" s="62">
        <v>0</v>
      </c>
      <c r="X24" s="62">
        <v>0</v>
      </c>
      <c r="Y24" s="66">
        <v>0</v>
      </c>
      <c r="Z24" s="66">
        <v>0</v>
      </c>
      <c r="AA24" s="67">
        <v>0</v>
      </c>
      <c r="AB24" s="68">
        <v>0</v>
      </c>
      <c r="AC24" s="69">
        <v>0</v>
      </c>
      <c r="AD24" s="69">
        <v>0</v>
      </c>
      <c r="AE24" s="68">
        <v>0</v>
      </c>
      <c r="AF24" s="68">
        <v>0</v>
      </c>
      <c r="AG24" s="68">
        <v>0</v>
      </c>
      <c r="AH24" s="69">
        <v>209.2536458571752</v>
      </c>
      <c r="AI24" s="69">
        <v>464.47724688847865</v>
      </c>
      <c r="AJ24" s="69">
        <v>1482.0903284708659</v>
      </c>
      <c r="AK24" s="69">
        <v>223.81124574343369</v>
      </c>
      <c r="AL24" s="69">
        <v>1585.5243769963579</v>
      </c>
      <c r="AM24" s="69">
        <v>1902.9286073048909</v>
      </c>
      <c r="AN24" s="69">
        <v>577.92794011433921</v>
      </c>
      <c r="AO24" s="69">
        <v>352.8847136497497</v>
      </c>
      <c r="AP24" s="69">
        <v>76.346852274735767</v>
      </c>
      <c r="AQ24" s="69">
        <v>700.56267350514725</v>
      </c>
    </row>
    <row r="25" spans="1:43" x14ac:dyDescent="0.25">
      <c r="A25" s="11">
        <v>42418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0</v>
      </c>
      <c r="J25" s="60">
        <v>0</v>
      </c>
      <c r="K25" s="60">
        <v>0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0</v>
      </c>
      <c r="V25" s="62">
        <v>0</v>
      </c>
      <c r="W25" s="62">
        <v>0</v>
      </c>
      <c r="X25" s="62">
        <v>0</v>
      </c>
      <c r="Y25" s="66">
        <v>0</v>
      </c>
      <c r="Z25" s="66">
        <v>0</v>
      </c>
      <c r="AA25" s="67">
        <v>0</v>
      </c>
      <c r="AB25" s="68">
        <v>0</v>
      </c>
      <c r="AC25" s="69">
        <v>0</v>
      </c>
      <c r="AD25" s="69">
        <v>0</v>
      </c>
      <c r="AE25" s="68">
        <v>0</v>
      </c>
      <c r="AF25" s="68">
        <v>0</v>
      </c>
      <c r="AG25" s="68">
        <v>0</v>
      </c>
      <c r="AH25" s="69">
        <v>188.13019877274834</v>
      </c>
      <c r="AI25" s="69">
        <v>423.44532521565765</v>
      </c>
      <c r="AJ25" s="69">
        <v>1394.3988374710084</v>
      </c>
      <c r="AK25" s="69">
        <v>193.14303737481436</v>
      </c>
      <c r="AL25" s="69">
        <v>1557.775601832072</v>
      </c>
      <c r="AM25" s="69">
        <v>1829.4645140329997</v>
      </c>
      <c r="AN25" s="69">
        <v>584.36645766894026</v>
      </c>
      <c r="AO25" s="69">
        <v>299.46530239582069</v>
      </c>
      <c r="AP25" s="69">
        <v>61.427839279174805</v>
      </c>
      <c r="AQ25" s="69">
        <v>798.24517965316772</v>
      </c>
    </row>
    <row r="26" spans="1:43" x14ac:dyDescent="0.25">
      <c r="A26" s="11">
        <v>42419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0</v>
      </c>
      <c r="J26" s="60">
        <v>0</v>
      </c>
      <c r="K26" s="60">
        <v>0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72">
        <v>0</v>
      </c>
      <c r="AB26" s="69">
        <v>0</v>
      </c>
      <c r="AC26" s="69">
        <v>0</v>
      </c>
      <c r="AD26" s="69">
        <v>0</v>
      </c>
      <c r="AE26" s="69">
        <v>0</v>
      </c>
      <c r="AF26" s="69">
        <v>0</v>
      </c>
      <c r="AG26" s="69">
        <v>0</v>
      </c>
      <c r="AH26" s="69">
        <v>203.44967979590098</v>
      </c>
      <c r="AI26" s="69">
        <v>443.55038854281105</v>
      </c>
      <c r="AJ26" s="69">
        <v>1438.9370962778726</v>
      </c>
      <c r="AK26" s="69">
        <v>220.91148248513537</v>
      </c>
      <c r="AL26" s="69">
        <v>1584.0793978373213</v>
      </c>
      <c r="AM26" s="69">
        <v>1843.0205364227297</v>
      </c>
      <c r="AN26" s="69">
        <v>589.86558678944914</v>
      </c>
      <c r="AO26" s="69">
        <v>317.63200011253355</v>
      </c>
      <c r="AP26" s="69">
        <v>61.427839279174805</v>
      </c>
      <c r="AQ26" s="69">
        <v>684.60737422307352</v>
      </c>
    </row>
    <row r="27" spans="1:43" x14ac:dyDescent="0.25">
      <c r="A27" s="11">
        <v>42420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0</v>
      </c>
      <c r="J27" s="60">
        <v>0</v>
      </c>
      <c r="K27" s="60">
        <v>0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0</v>
      </c>
      <c r="V27" s="62">
        <v>0</v>
      </c>
      <c r="W27" s="62">
        <v>0</v>
      </c>
      <c r="X27" s="62">
        <v>0</v>
      </c>
      <c r="Y27" s="66">
        <v>0</v>
      </c>
      <c r="Z27" s="66">
        <v>0</v>
      </c>
      <c r="AA27" s="67">
        <v>0</v>
      </c>
      <c r="AB27" s="68">
        <v>0</v>
      </c>
      <c r="AC27" s="69">
        <v>0</v>
      </c>
      <c r="AD27" s="69">
        <v>0</v>
      </c>
      <c r="AE27" s="68">
        <v>0</v>
      </c>
      <c r="AF27" s="68">
        <v>0</v>
      </c>
      <c r="AG27" s="68">
        <v>0</v>
      </c>
      <c r="AH27" s="69">
        <v>206.06331965923306</v>
      </c>
      <c r="AI27" s="69">
        <v>452.52883381843554</v>
      </c>
      <c r="AJ27" s="69">
        <v>1403.0192333857217</v>
      </c>
      <c r="AK27" s="69">
        <v>212.11651581923169</v>
      </c>
      <c r="AL27" s="69">
        <v>1524.8935861587522</v>
      </c>
      <c r="AM27" s="69">
        <v>1666.9628022511797</v>
      </c>
      <c r="AN27" s="69">
        <v>589.85224526723221</v>
      </c>
      <c r="AO27" s="69">
        <v>336.31184326012925</v>
      </c>
      <c r="AP27" s="69">
        <v>60.479644417762756</v>
      </c>
      <c r="AQ27" s="69">
        <v>592.13589324951181</v>
      </c>
    </row>
    <row r="28" spans="1:43" x14ac:dyDescent="0.25">
      <c r="A28" s="11">
        <v>42421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0</v>
      </c>
      <c r="J28" s="60">
        <v>0</v>
      </c>
      <c r="K28" s="60">
        <v>0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0</v>
      </c>
      <c r="V28" s="62">
        <v>0</v>
      </c>
      <c r="W28" s="62">
        <v>0</v>
      </c>
      <c r="X28" s="62">
        <v>0</v>
      </c>
      <c r="Y28" s="66">
        <v>0</v>
      </c>
      <c r="Z28" s="66">
        <v>0</v>
      </c>
      <c r="AA28" s="67">
        <v>0</v>
      </c>
      <c r="AB28" s="68">
        <v>0</v>
      </c>
      <c r="AC28" s="69">
        <v>0</v>
      </c>
      <c r="AD28" s="69">
        <v>0</v>
      </c>
      <c r="AE28" s="68">
        <v>0</v>
      </c>
      <c r="AF28" s="68">
        <v>0</v>
      </c>
      <c r="AG28" s="68">
        <v>0</v>
      </c>
      <c r="AH28" s="69">
        <v>228.35734899044033</v>
      </c>
      <c r="AI28" s="69">
        <v>493.04274814923599</v>
      </c>
      <c r="AJ28" s="69">
        <v>1486.3577873229985</v>
      </c>
      <c r="AK28" s="69">
        <v>233.87011021773023</v>
      </c>
      <c r="AL28" s="69">
        <v>1515.0099952061971</v>
      </c>
      <c r="AM28" s="69">
        <v>1669.0782035827638</v>
      </c>
      <c r="AN28" s="69">
        <v>607.72082633972173</v>
      </c>
      <c r="AO28" s="69">
        <v>345.26291656494141</v>
      </c>
      <c r="AP28" s="69">
        <v>65.211846085389453</v>
      </c>
      <c r="AQ28" s="69">
        <v>614.79722248713176</v>
      </c>
    </row>
    <row r="29" spans="1:43" x14ac:dyDescent="0.25">
      <c r="A29" s="11">
        <v>42422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0</v>
      </c>
      <c r="J29" s="60">
        <v>0</v>
      </c>
      <c r="K29" s="60">
        <v>0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0</v>
      </c>
      <c r="V29" s="62">
        <v>0</v>
      </c>
      <c r="W29" s="62">
        <v>0</v>
      </c>
      <c r="X29" s="62">
        <v>0</v>
      </c>
      <c r="Y29" s="66">
        <v>0</v>
      </c>
      <c r="Z29" s="66">
        <v>0</v>
      </c>
      <c r="AA29" s="67">
        <v>0</v>
      </c>
      <c r="AB29" s="68">
        <v>0</v>
      </c>
      <c r="AC29" s="69">
        <v>0</v>
      </c>
      <c r="AD29" s="69">
        <v>0</v>
      </c>
      <c r="AE29" s="68">
        <v>0</v>
      </c>
      <c r="AF29" s="68">
        <v>0</v>
      </c>
      <c r="AG29" s="68">
        <v>0</v>
      </c>
      <c r="AH29" s="69">
        <v>234.08843913078312</v>
      </c>
      <c r="AI29" s="69">
        <v>496.22385807037347</v>
      </c>
      <c r="AJ29" s="69">
        <v>1477.4979729334509</v>
      </c>
      <c r="AK29" s="69">
        <v>241.28032168547313</v>
      </c>
      <c r="AL29" s="69">
        <v>1566.6125457763674</v>
      </c>
      <c r="AM29" s="69">
        <v>1697.5646556218464</v>
      </c>
      <c r="AN29" s="69">
        <v>622.41476430892942</v>
      </c>
      <c r="AO29" s="69">
        <v>351.1587835629781</v>
      </c>
      <c r="AP29" s="69">
        <v>65.1636468410492</v>
      </c>
      <c r="AQ29" s="69">
        <v>665.09262733459479</v>
      </c>
    </row>
    <row r="30" spans="1:43" x14ac:dyDescent="0.25">
      <c r="A30" s="11">
        <v>42423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0</v>
      </c>
      <c r="J30" s="60">
        <v>0</v>
      </c>
      <c r="K30" s="60">
        <v>0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0</v>
      </c>
      <c r="V30" s="62">
        <v>0</v>
      </c>
      <c r="W30" s="62">
        <v>0</v>
      </c>
      <c r="X30" s="62">
        <v>0</v>
      </c>
      <c r="Y30" s="66">
        <v>0</v>
      </c>
      <c r="Z30" s="66">
        <v>0</v>
      </c>
      <c r="AA30" s="67">
        <v>0</v>
      </c>
      <c r="AB30" s="68">
        <v>0</v>
      </c>
      <c r="AC30" s="69">
        <v>0</v>
      </c>
      <c r="AD30" s="69">
        <v>0</v>
      </c>
      <c r="AE30" s="68">
        <v>0</v>
      </c>
      <c r="AF30" s="68">
        <v>0</v>
      </c>
      <c r="AG30" s="68">
        <v>0</v>
      </c>
      <c r="AH30" s="69">
        <v>250.99179422060649</v>
      </c>
      <c r="AI30" s="69">
        <v>520.67610301971433</v>
      </c>
      <c r="AJ30" s="69">
        <v>1563.5044392267862</v>
      </c>
      <c r="AK30" s="69">
        <v>247.28060065110523</v>
      </c>
      <c r="AL30" s="69">
        <v>1622.9519457499187</v>
      </c>
      <c r="AM30" s="69">
        <v>1579.3338746388756</v>
      </c>
      <c r="AN30" s="69">
        <v>628.29144074122109</v>
      </c>
      <c r="AO30" s="69">
        <v>369.86731251080829</v>
      </c>
      <c r="AP30" s="69">
        <v>60.190964094797771</v>
      </c>
      <c r="AQ30" s="69">
        <v>676.41437244415272</v>
      </c>
    </row>
    <row r="31" spans="1:43" x14ac:dyDescent="0.25">
      <c r="A31" s="11">
        <v>42424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0</v>
      </c>
      <c r="J31" s="60">
        <v>0</v>
      </c>
      <c r="K31" s="60">
        <v>0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0</v>
      </c>
      <c r="V31" s="62">
        <v>0</v>
      </c>
      <c r="W31" s="62">
        <v>0</v>
      </c>
      <c r="X31" s="62">
        <v>0</v>
      </c>
      <c r="Y31" s="66">
        <v>0</v>
      </c>
      <c r="Z31" s="66">
        <v>0</v>
      </c>
      <c r="AA31" s="67">
        <v>0</v>
      </c>
      <c r="AB31" s="68">
        <v>0</v>
      </c>
      <c r="AC31" s="69">
        <v>0</v>
      </c>
      <c r="AD31" s="69">
        <v>0</v>
      </c>
      <c r="AE31" s="68">
        <v>0</v>
      </c>
      <c r="AF31" s="68">
        <v>0</v>
      </c>
      <c r="AG31" s="68">
        <v>0</v>
      </c>
      <c r="AH31" s="69">
        <v>241.07705409526827</v>
      </c>
      <c r="AI31" s="69">
        <v>514.48121941884358</v>
      </c>
      <c r="AJ31" s="69">
        <v>1545.7648943583172</v>
      </c>
      <c r="AK31" s="69">
        <v>244.99402135213219</v>
      </c>
      <c r="AL31" s="69">
        <v>1598.8275339126587</v>
      </c>
      <c r="AM31" s="69">
        <v>1527.9633002599078</v>
      </c>
      <c r="AN31" s="69">
        <v>632.93092972437535</v>
      </c>
      <c r="AO31" s="69">
        <v>364.11293330192569</v>
      </c>
      <c r="AP31" s="69">
        <v>56.941983783245085</v>
      </c>
      <c r="AQ31" s="69">
        <v>693.91180477142336</v>
      </c>
    </row>
    <row r="32" spans="1:43" x14ac:dyDescent="0.25">
      <c r="A32" s="11">
        <v>42425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0</v>
      </c>
      <c r="J32" s="60">
        <v>0</v>
      </c>
      <c r="K32" s="60">
        <v>0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0</v>
      </c>
      <c r="V32" s="62">
        <v>0</v>
      </c>
      <c r="W32" s="62">
        <v>0</v>
      </c>
      <c r="X32" s="62">
        <v>0</v>
      </c>
      <c r="Y32" s="66">
        <v>0</v>
      </c>
      <c r="Z32" s="66">
        <v>0</v>
      </c>
      <c r="AA32" s="67">
        <v>0</v>
      </c>
      <c r="AB32" s="68">
        <v>0</v>
      </c>
      <c r="AC32" s="69">
        <v>0</v>
      </c>
      <c r="AD32" s="69">
        <v>0</v>
      </c>
      <c r="AE32" s="68">
        <v>0</v>
      </c>
      <c r="AF32" s="68">
        <v>0</v>
      </c>
      <c r="AG32" s="68">
        <v>0</v>
      </c>
      <c r="AH32" s="69">
        <v>235.80946369965869</v>
      </c>
      <c r="AI32" s="69">
        <v>532.80280318260191</v>
      </c>
      <c r="AJ32" s="69">
        <v>1525.7130681991573</v>
      </c>
      <c r="AK32" s="69">
        <v>238.78076266447701</v>
      </c>
      <c r="AL32" s="69">
        <v>1593.6032964706424</v>
      </c>
      <c r="AM32" s="69">
        <v>1535.8421659469607</v>
      </c>
      <c r="AN32" s="69">
        <v>622.96092446645093</v>
      </c>
      <c r="AO32" s="69">
        <v>388.19129293759664</v>
      </c>
      <c r="AP32" s="69">
        <v>50.823032706975937</v>
      </c>
      <c r="AQ32" s="69">
        <v>699.85176305770892</v>
      </c>
    </row>
    <row r="33" spans="1:43" x14ac:dyDescent="0.25">
      <c r="A33" s="11">
        <v>42426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0</v>
      </c>
      <c r="J33" s="60">
        <v>0</v>
      </c>
      <c r="K33" s="60">
        <v>0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0</v>
      </c>
      <c r="V33" s="62">
        <v>0</v>
      </c>
      <c r="W33" s="62">
        <v>0</v>
      </c>
      <c r="X33" s="62">
        <v>0</v>
      </c>
      <c r="Y33" s="66">
        <v>0</v>
      </c>
      <c r="Z33" s="66">
        <v>0</v>
      </c>
      <c r="AA33" s="67">
        <v>0</v>
      </c>
      <c r="AB33" s="68">
        <v>0</v>
      </c>
      <c r="AC33" s="69">
        <v>0</v>
      </c>
      <c r="AD33" s="69">
        <v>0</v>
      </c>
      <c r="AE33" s="68">
        <v>0</v>
      </c>
      <c r="AF33" s="68">
        <v>0</v>
      </c>
      <c r="AG33" s="68">
        <v>0</v>
      </c>
      <c r="AH33" s="69">
        <v>212.39656351407368</v>
      </c>
      <c r="AI33" s="69">
        <v>494.19276781082152</v>
      </c>
      <c r="AJ33" s="69">
        <v>1518.1567091623942</v>
      </c>
      <c r="AK33" s="69">
        <v>221.94064632256823</v>
      </c>
      <c r="AL33" s="69">
        <v>1540.3908728281656</v>
      </c>
      <c r="AM33" s="69">
        <v>1476.2796795527138</v>
      </c>
      <c r="AN33" s="69">
        <v>590.36357475916543</v>
      </c>
      <c r="AO33" s="69">
        <v>355.47265044053393</v>
      </c>
      <c r="AP33" s="69">
        <v>51.279976888497671</v>
      </c>
      <c r="AQ33" s="69">
        <v>673.95848582585666</v>
      </c>
    </row>
    <row r="34" spans="1:43" x14ac:dyDescent="0.25">
      <c r="A34" s="11">
        <v>42427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0</v>
      </c>
      <c r="J34" s="60">
        <v>0</v>
      </c>
      <c r="K34" s="60">
        <v>0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0</v>
      </c>
      <c r="V34" s="62">
        <v>0</v>
      </c>
      <c r="W34" s="62">
        <v>0</v>
      </c>
      <c r="X34" s="62">
        <v>0</v>
      </c>
      <c r="Y34" s="66">
        <v>0</v>
      </c>
      <c r="Z34" s="66">
        <v>0</v>
      </c>
      <c r="AA34" s="67">
        <v>0</v>
      </c>
      <c r="AB34" s="68">
        <v>0</v>
      </c>
      <c r="AC34" s="69">
        <v>0</v>
      </c>
      <c r="AD34" s="69">
        <v>0</v>
      </c>
      <c r="AE34" s="68">
        <v>0</v>
      </c>
      <c r="AF34" s="68">
        <v>0</v>
      </c>
      <c r="AG34" s="68">
        <v>0</v>
      </c>
      <c r="AH34" s="69">
        <v>194.40666027069094</v>
      </c>
      <c r="AI34" s="69">
        <v>431.51097650527953</v>
      </c>
      <c r="AJ34" s="69">
        <v>1429.4391129811609</v>
      </c>
      <c r="AK34" s="69">
        <v>199.23569053014117</v>
      </c>
      <c r="AL34" s="69">
        <v>1549.0679658889767</v>
      </c>
      <c r="AM34" s="69">
        <v>1355.6953962326049</v>
      </c>
      <c r="AN34" s="69">
        <v>575.35814692179372</v>
      </c>
      <c r="AO34" s="69">
        <v>300.9193367322286</v>
      </c>
      <c r="AP34" s="69">
        <v>50.92069896658262</v>
      </c>
      <c r="AQ34" s="69">
        <v>664.62916259765609</v>
      </c>
    </row>
    <row r="35" spans="1:43" x14ac:dyDescent="0.25">
      <c r="A35" s="11">
        <v>42428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0</v>
      </c>
      <c r="J35" s="60">
        <v>0</v>
      </c>
      <c r="K35" s="60">
        <v>0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0</v>
      </c>
      <c r="V35" s="62">
        <v>0</v>
      </c>
      <c r="W35" s="62">
        <v>0</v>
      </c>
      <c r="X35" s="62">
        <v>0</v>
      </c>
      <c r="Y35" s="66">
        <v>0</v>
      </c>
      <c r="Z35" s="66">
        <v>0</v>
      </c>
      <c r="AA35" s="67">
        <v>0</v>
      </c>
      <c r="AB35" s="68">
        <v>0</v>
      </c>
      <c r="AC35" s="69">
        <v>0</v>
      </c>
      <c r="AD35" s="69">
        <v>0</v>
      </c>
      <c r="AE35" s="68">
        <v>0</v>
      </c>
      <c r="AF35" s="68">
        <v>0</v>
      </c>
      <c r="AG35" s="68">
        <v>0</v>
      </c>
      <c r="AH35" s="69">
        <v>197.67995017369589</v>
      </c>
      <c r="AI35" s="69">
        <v>435.77622513771053</v>
      </c>
      <c r="AJ35" s="69">
        <v>1384.0035486221311</v>
      </c>
      <c r="AK35" s="69">
        <v>204.14383957386019</v>
      </c>
      <c r="AL35" s="69">
        <v>1551.4165833155316</v>
      </c>
      <c r="AM35" s="69">
        <v>1352.7261828104656</v>
      </c>
      <c r="AN35" s="69">
        <v>509.79896356264749</v>
      </c>
      <c r="AO35" s="69">
        <v>321.92548538049056</v>
      </c>
      <c r="AP35" s="69">
        <v>50.261432647705078</v>
      </c>
      <c r="AQ35" s="69">
        <v>586.89501673380528</v>
      </c>
    </row>
    <row r="36" spans="1:43" x14ac:dyDescent="0.25">
      <c r="A36" s="11">
        <v>42429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0</v>
      </c>
      <c r="J36" s="60">
        <v>0</v>
      </c>
      <c r="K36" s="60">
        <v>0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0</v>
      </c>
      <c r="V36" s="62">
        <v>0</v>
      </c>
      <c r="W36" s="62">
        <v>0</v>
      </c>
      <c r="X36" s="62">
        <v>0</v>
      </c>
      <c r="Y36" s="66">
        <v>0</v>
      </c>
      <c r="Z36" s="66">
        <v>0</v>
      </c>
      <c r="AA36" s="67">
        <v>0</v>
      </c>
      <c r="AB36" s="68">
        <v>0</v>
      </c>
      <c r="AC36" s="69">
        <v>0</v>
      </c>
      <c r="AD36" s="69">
        <v>0</v>
      </c>
      <c r="AE36" s="68">
        <v>0</v>
      </c>
      <c r="AF36" s="68">
        <v>0</v>
      </c>
      <c r="AG36" s="68">
        <v>0</v>
      </c>
      <c r="AH36" s="69">
        <v>201.81358190377551</v>
      </c>
      <c r="AI36" s="69">
        <v>486.48559001286827</v>
      </c>
      <c r="AJ36" s="69">
        <v>1453.5070646286013</v>
      </c>
      <c r="AK36" s="69">
        <v>204.99844281673433</v>
      </c>
      <c r="AL36" s="69">
        <v>1494.373010571798</v>
      </c>
      <c r="AM36" s="69">
        <v>1451.9242546081543</v>
      </c>
      <c r="AN36" s="69">
        <v>409.60883188247675</v>
      </c>
      <c r="AO36" s="69">
        <v>326.57729054292042</v>
      </c>
      <c r="AP36" s="69">
        <v>50.261432647705078</v>
      </c>
      <c r="AQ36" s="69">
        <v>670.59281263351443</v>
      </c>
    </row>
    <row r="37" spans="1:43" ht="15.75" thickBot="1" x14ac:dyDescent="0.3">
      <c r="A37" s="11"/>
      <c r="B37" s="73"/>
      <c r="C37" s="74"/>
      <c r="D37" s="74"/>
      <c r="E37" s="74"/>
      <c r="F37" s="74"/>
      <c r="G37" s="74"/>
      <c r="H37" s="75"/>
      <c r="I37" s="76"/>
      <c r="J37" s="74"/>
      <c r="K37" s="74"/>
      <c r="L37" s="74"/>
      <c r="M37" s="74"/>
      <c r="N37" s="75"/>
      <c r="O37" s="76"/>
      <c r="P37" s="74"/>
      <c r="Q37" s="74"/>
      <c r="R37" s="77"/>
      <c r="S37" s="74"/>
      <c r="T37" s="78"/>
      <c r="U37" s="79"/>
      <c r="V37" s="80"/>
      <c r="W37" s="81"/>
      <c r="X37" s="81"/>
      <c r="Y37" s="80"/>
      <c r="Z37" s="80"/>
      <c r="AA37" s="82"/>
      <c r="AB37" s="83"/>
      <c r="AC37" s="84"/>
      <c r="AD37" s="85"/>
      <c r="AE37" s="83"/>
      <c r="AF37" s="83"/>
      <c r="AG37" s="83"/>
      <c r="AH37" s="84"/>
      <c r="AI37" s="84"/>
      <c r="AJ37" s="84"/>
      <c r="AK37" s="84"/>
      <c r="AL37" s="84"/>
      <c r="AM37" s="84"/>
      <c r="AN37" s="84"/>
      <c r="AO37" s="84"/>
      <c r="AP37" s="84"/>
      <c r="AQ37" s="84"/>
    </row>
    <row r="38" spans="1:43" ht="15.75" thickTop="1" x14ac:dyDescent="0.25">
      <c r="A38" s="46" t="s">
        <v>173</v>
      </c>
      <c r="B38" s="29">
        <f t="shared" ref="B38:AC38" si="0">SUM(B8:B37)</f>
        <v>0</v>
      </c>
      <c r="C38" s="30">
        <f t="shared" si="0"/>
        <v>0</v>
      </c>
      <c r="D38" s="30">
        <f t="shared" si="0"/>
        <v>0</v>
      </c>
      <c r="E38" s="30">
        <f t="shared" si="0"/>
        <v>0</v>
      </c>
      <c r="F38" s="30">
        <f t="shared" si="0"/>
        <v>0</v>
      </c>
      <c r="G38" s="30">
        <f t="shared" si="0"/>
        <v>0</v>
      </c>
      <c r="H38" s="31">
        <f t="shared" si="0"/>
        <v>0</v>
      </c>
      <c r="I38" s="29">
        <f t="shared" si="0"/>
        <v>0</v>
      </c>
      <c r="J38" s="30">
        <f t="shared" si="0"/>
        <v>0</v>
      </c>
      <c r="K38" s="30">
        <f t="shared" si="0"/>
        <v>0</v>
      </c>
      <c r="L38" s="30">
        <f t="shared" si="0"/>
        <v>0</v>
      </c>
      <c r="M38" s="30">
        <f t="shared" si="0"/>
        <v>0</v>
      </c>
      <c r="N38" s="31">
        <f t="shared" si="0"/>
        <v>0</v>
      </c>
      <c r="O38" s="261">
        <f t="shared" si="0"/>
        <v>0</v>
      </c>
      <c r="P38" s="262">
        <f t="shared" si="0"/>
        <v>0</v>
      </c>
      <c r="Q38" s="262">
        <f t="shared" si="0"/>
        <v>0</v>
      </c>
      <c r="R38" s="262">
        <f t="shared" si="0"/>
        <v>0</v>
      </c>
      <c r="S38" s="262">
        <f t="shared" si="0"/>
        <v>0</v>
      </c>
      <c r="T38" s="263">
        <f t="shared" si="0"/>
        <v>0</v>
      </c>
      <c r="U38" s="261">
        <f t="shared" si="0"/>
        <v>0</v>
      </c>
      <c r="V38" s="262">
        <f t="shared" si="0"/>
        <v>0</v>
      </c>
      <c r="W38" s="262">
        <f t="shared" si="0"/>
        <v>0</v>
      </c>
      <c r="X38" s="262">
        <f t="shared" si="0"/>
        <v>0</v>
      </c>
      <c r="Y38" s="262">
        <f t="shared" si="0"/>
        <v>0</v>
      </c>
      <c r="Z38" s="262">
        <f t="shared" si="0"/>
        <v>0</v>
      </c>
      <c r="AA38" s="270">
        <f t="shared" si="0"/>
        <v>0</v>
      </c>
      <c r="AB38" s="273">
        <f t="shared" si="0"/>
        <v>0</v>
      </c>
      <c r="AC38" s="273">
        <f t="shared" si="0"/>
        <v>0</v>
      </c>
      <c r="AD38" s="276" t="s">
        <v>29</v>
      </c>
      <c r="AE38" s="276" t="s">
        <v>29</v>
      </c>
      <c r="AF38" s="276" t="s">
        <v>29</v>
      </c>
      <c r="AG38" s="276" t="s">
        <v>159</v>
      </c>
      <c r="AH38" s="273">
        <f t="shared" ref="AH38:AQ38" si="1">SUM(AH8:AH37)</f>
        <v>6740.8333186626433</v>
      </c>
      <c r="AI38" s="273">
        <f t="shared" si="1"/>
        <v>14609.485208177568</v>
      </c>
      <c r="AJ38" s="273">
        <f t="shared" si="1"/>
        <v>43274.302967453012</v>
      </c>
      <c r="AK38" s="273">
        <f t="shared" si="1"/>
        <v>6888.7608374436713</v>
      </c>
      <c r="AL38" s="273">
        <f t="shared" si="1"/>
        <v>46711.887352244063</v>
      </c>
      <c r="AM38" s="273">
        <f t="shared" si="1"/>
        <v>51978.17506160737</v>
      </c>
      <c r="AN38" s="273">
        <f t="shared" si="1"/>
        <v>16710.639777978256</v>
      </c>
      <c r="AO38" s="273">
        <f t="shared" si="1"/>
        <v>9914.62580498854</v>
      </c>
      <c r="AP38" s="273">
        <f t="shared" si="1"/>
        <v>1940.419265393416</v>
      </c>
      <c r="AQ38" s="273">
        <f t="shared" si="1"/>
        <v>19644.537884012854</v>
      </c>
    </row>
    <row r="39" spans="1:43" ht="15.75" thickBot="1" x14ac:dyDescent="0.3">
      <c r="A39" s="47" t="s">
        <v>174</v>
      </c>
      <c r="B39" s="32">
        <f>Projection!$AA$30</f>
        <v>0.80583665399999982</v>
      </c>
      <c r="C39" s="33">
        <f>Projection!$AA$28</f>
        <v>1.3221902399999999</v>
      </c>
      <c r="D39" s="33">
        <f>Projection!$AA$31</f>
        <v>2.1962556000000002</v>
      </c>
      <c r="E39" s="33">
        <f>Projection!$AA$26</f>
        <v>4.3368000000000002</v>
      </c>
      <c r="F39" s="33">
        <f>Projection!$AA$23</f>
        <v>0</v>
      </c>
      <c r="G39" s="33">
        <f>Projection!$AA$24</f>
        <v>5.2499999999999998E-2</v>
      </c>
      <c r="H39" s="34">
        <f>Projection!$AA$29</f>
        <v>3.6159737999999999</v>
      </c>
      <c r="I39" s="32">
        <f>Projection!$AA$30</f>
        <v>0.80583665399999982</v>
      </c>
      <c r="J39" s="33">
        <f>Projection!$AA$28</f>
        <v>1.3221902399999999</v>
      </c>
      <c r="K39" s="33">
        <f>Projection!$AA$26</f>
        <v>4.3368000000000002</v>
      </c>
      <c r="L39" s="33">
        <f>Projection!$AA$25</f>
        <v>0</v>
      </c>
      <c r="M39" s="33">
        <f>Projection!$AA$23</f>
        <v>0</v>
      </c>
      <c r="N39" s="34">
        <f>Projection!$AA$23</f>
        <v>0</v>
      </c>
      <c r="O39" s="26">
        <v>15.77</v>
      </c>
      <c r="P39" s="27">
        <v>15.77</v>
      </c>
      <c r="Q39" s="27">
        <v>15.77</v>
      </c>
      <c r="R39" s="27">
        <v>15.77</v>
      </c>
      <c r="S39" s="27">
        <f>Projection!$AA$28</f>
        <v>1.3221902399999999</v>
      </c>
      <c r="T39" s="38">
        <f>Projection!$AA$28</f>
        <v>1.3221902399999999</v>
      </c>
      <c r="U39" s="26">
        <f>Projection!$AA$27</f>
        <v>0.25650000000000001</v>
      </c>
      <c r="V39" s="27">
        <f>Projection!$AA$27</f>
        <v>0.25650000000000001</v>
      </c>
      <c r="W39" s="27">
        <f>Projection!$AA$22</f>
        <v>1.625</v>
      </c>
      <c r="X39" s="27">
        <f>Projection!$AA$22</f>
        <v>1.625</v>
      </c>
      <c r="Y39" s="27">
        <f>Projection!$AA$31</f>
        <v>2.1962556000000002</v>
      </c>
      <c r="Z39" s="27">
        <f>Projection!$AA$31</f>
        <v>2.1962556000000002</v>
      </c>
      <c r="AA39" s="28">
        <v>0</v>
      </c>
      <c r="AB39" s="41">
        <f>Projection!$AA$27</f>
        <v>0.25650000000000001</v>
      </c>
      <c r="AC39" s="41">
        <f>Projection!$AA$30</f>
        <v>0.80583665399999982</v>
      </c>
      <c r="AD39" s="277">
        <f>SUM(AD8:AD37)</f>
        <v>0</v>
      </c>
      <c r="AE39" s="277">
        <f>SUM(AE8:AE37)</f>
        <v>0</v>
      </c>
      <c r="AF39" s="277">
        <f>SUM(AF8:AF37)</f>
        <v>0</v>
      </c>
      <c r="AG39" s="277">
        <v>0</v>
      </c>
      <c r="AH39" s="313">
        <v>6.3E-2</v>
      </c>
      <c r="AI39" s="313">
        <f t="shared" ref="AI39:AQ39" si="2">$AH$39</f>
        <v>6.3E-2</v>
      </c>
      <c r="AJ39" s="313">
        <f t="shared" si="2"/>
        <v>6.3E-2</v>
      </c>
      <c r="AK39" s="313">
        <f t="shared" si="2"/>
        <v>6.3E-2</v>
      </c>
      <c r="AL39" s="313">
        <f t="shared" si="2"/>
        <v>6.3E-2</v>
      </c>
      <c r="AM39" s="313">
        <f t="shared" si="2"/>
        <v>6.3E-2</v>
      </c>
      <c r="AN39" s="313">
        <f t="shared" si="2"/>
        <v>6.3E-2</v>
      </c>
      <c r="AO39" s="313">
        <f t="shared" si="2"/>
        <v>6.3E-2</v>
      </c>
      <c r="AP39" s="313">
        <f t="shared" si="2"/>
        <v>6.3E-2</v>
      </c>
      <c r="AQ39" s="313">
        <f t="shared" si="2"/>
        <v>6.3E-2</v>
      </c>
    </row>
    <row r="40" spans="1:43" ht="16.5" thickTop="1" thickBot="1" x14ac:dyDescent="0.3">
      <c r="A40" s="48" t="s">
        <v>26</v>
      </c>
      <c r="B40" s="35">
        <f t="shared" ref="B40:AC40" si="3">B39*B38</f>
        <v>0</v>
      </c>
      <c r="C40" s="36">
        <f t="shared" si="3"/>
        <v>0</v>
      </c>
      <c r="D40" s="36">
        <f t="shared" si="3"/>
        <v>0</v>
      </c>
      <c r="E40" s="36">
        <f t="shared" si="3"/>
        <v>0</v>
      </c>
      <c r="F40" s="36">
        <f t="shared" si="3"/>
        <v>0</v>
      </c>
      <c r="G40" s="36">
        <f t="shared" si="3"/>
        <v>0</v>
      </c>
      <c r="H40" s="37">
        <f t="shared" si="3"/>
        <v>0</v>
      </c>
      <c r="I40" s="35">
        <f t="shared" si="3"/>
        <v>0</v>
      </c>
      <c r="J40" s="36">
        <f t="shared" si="3"/>
        <v>0</v>
      </c>
      <c r="K40" s="36">
        <f t="shared" si="3"/>
        <v>0</v>
      </c>
      <c r="L40" s="36">
        <f t="shared" si="3"/>
        <v>0</v>
      </c>
      <c r="M40" s="36">
        <f t="shared" si="3"/>
        <v>0</v>
      </c>
      <c r="N40" s="37">
        <f t="shared" si="3"/>
        <v>0</v>
      </c>
      <c r="O40" s="267">
        <f t="shared" si="3"/>
        <v>0</v>
      </c>
      <c r="P40" s="268">
        <f t="shared" si="3"/>
        <v>0</v>
      </c>
      <c r="Q40" s="268">
        <f t="shared" si="3"/>
        <v>0</v>
      </c>
      <c r="R40" s="268">
        <f t="shared" si="3"/>
        <v>0</v>
      </c>
      <c r="S40" s="268">
        <f t="shared" si="3"/>
        <v>0</v>
      </c>
      <c r="T40" s="269">
        <f t="shared" si="3"/>
        <v>0</v>
      </c>
      <c r="U40" s="267">
        <f t="shared" si="3"/>
        <v>0</v>
      </c>
      <c r="V40" s="268">
        <f t="shared" si="3"/>
        <v>0</v>
      </c>
      <c r="W40" s="268">
        <f t="shared" si="3"/>
        <v>0</v>
      </c>
      <c r="X40" s="268">
        <f t="shared" si="3"/>
        <v>0</v>
      </c>
      <c r="Y40" s="268">
        <f t="shared" si="3"/>
        <v>0</v>
      </c>
      <c r="Z40" s="268">
        <f t="shared" si="3"/>
        <v>0</v>
      </c>
      <c r="AA40" s="272">
        <f t="shared" si="3"/>
        <v>0</v>
      </c>
      <c r="AB40" s="275">
        <f t="shared" si="3"/>
        <v>0</v>
      </c>
      <c r="AC40" s="275">
        <f t="shared" si="3"/>
        <v>0</v>
      </c>
      <c r="AH40" s="278">
        <f t="shared" ref="AH40:AQ40" si="4">AH39*AH38</f>
        <v>424.67249907574654</v>
      </c>
      <c r="AI40" s="278">
        <f t="shared" si="4"/>
        <v>920.3975681151868</v>
      </c>
      <c r="AJ40" s="278">
        <f t="shared" si="4"/>
        <v>2726.2810869495397</v>
      </c>
      <c r="AK40" s="278">
        <f t="shared" si="4"/>
        <v>433.99193275895129</v>
      </c>
      <c r="AL40" s="278">
        <f t="shared" si="4"/>
        <v>2942.8489031913759</v>
      </c>
      <c r="AM40" s="278">
        <f t="shared" si="4"/>
        <v>3274.6250288812644</v>
      </c>
      <c r="AN40" s="278">
        <f t="shared" si="4"/>
        <v>1052.7703060126303</v>
      </c>
      <c r="AO40" s="278">
        <f t="shared" si="4"/>
        <v>624.62142571427808</v>
      </c>
      <c r="AP40" s="278">
        <f t="shared" si="4"/>
        <v>122.24641371978521</v>
      </c>
      <c r="AQ40" s="278">
        <f t="shared" si="4"/>
        <v>1237.6058866928099</v>
      </c>
    </row>
    <row r="41" spans="1:43" ht="49.5" customHeight="1" thickTop="1" thickBot="1" x14ac:dyDescent="0.3">
      <c r="A41" s="576" t="s">
        <v>224</v>
      </c>
      <c r="B41" s="577"/>
      <c r="C41" s="577"/>
      <c r="D41" s="577"/>
      <c r="E41" s="577"/>
      <c r="F41" s="577"/>
      <c r="G41" s="577"/>
      <c r="H41" s="577"/>
      <c r="I41" s="577"/>
      <c r="J41" s="577"/>
      <c r="K41" s="578"/>
      <c r="L41" s="44"/>
      <c r="M41" s="44"/>
      <c r="N41" s="44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G41" s="296" t="s">
        <v>186</v>
      </c>
      <c r="AH41" s="295">
        <v>968.58</v>
      </c>
      <c r="AI41" s="278" t="s">
        <v>199</v>
      </c>
      <c r="AJ41" s="278">
        <v>2366.2800000000002</v>
      </c>
      <c r="AK41" s="278">
        <v>951.48</v>
      </c>
      <c r="AL41" s="278">
        <v>1103.22</v>
      </c>
      <c r="AM41" s="278">
        <v>5043.74</v>
      </c>
      <c r="AN41" s="278">
        <v>1264.97</v>
      </c>
      <c r="AO41" s="278" t="s">
        <v>199</v>
      </c>
      <c r="AP41" s="278">
        <v>196.95</v>
      </c>
      <c r="AQ41" s="278">
        <v>571.34</v>
      </c>
    </row>
    <row r="42" spans="1:43" ht="38.25" customHeight="1" thickTop="1" thickBot="1" x14ac:dyDescent="0.3">
      <c r="A42" s="608" t="s">
        <v>49</v>
      </c>
      <c r="B42" s="605"/>
      <c r="C42" s="289"/>
      <c r="D42" s="605" t="s">
        <v>47</v>
      </c>
      <c r="E42" s="605"/>
      <c r="F42" s="289"/>
      <c r="G42" s="605" t="s">
        <v>48</v>
      </c>
      <c r="H42" s="605"/>
      <c r="I42" s="290"/>
      <c r="J42" s="605" t="s">
        <v>50</v>
      </c>
      <c r="K42" s="578"/>
      <c r="L42" s="44"/>
      <c r="M42" s="44"/>
      <c r="N42" s="44"/>
      <c r="O42" s="45"/>
      <c r="P42" s="45"/>
      <c r="Q42" s="45"/>
      <c r="R42" s="568" t="s">
        <v>168</v>
      </c>
      <c r="S42" s="569"/>
      <c r="T42" s="569"/>
      <c r="U42" s="570"/>
      <c r="AC42" s="45"/>
    </row>
    <row r="43" spans="1:43" ht="24.75" thickTop="1" thickBot="1" x14ac:dyDescent="0.3">
      <c r="A43" s="282" t="s">
        <v>135</v>
      </c>
      <c r="B43" s="283">
        <f>SUM(B40:AC40)</f>
        <v>0</v>
      </c>
      <c r="C43" s="12"/>
      <c r="D43" s="282" t="s">
        <v>135</v>
      </c>
      <c r="E43" s="283">
        <f>SUM(B40:H40)+P40+R40+T40+V40+X40+Z40</f>
        <v>0</v>
      </c>
      <c r="F43" s="12"/>
      <c r="G43" s="282" t="s">
        <v>135</v>
      </c>
      <c r="H43" s="283">
        <f>SUM(I40:N40)+O40+Q40+S40+U40+W40+Y40</f>
        <v>0</v>
      </c>
      <c r="I43" s="12"/>
      <c r="J43" s="282" t="s">
        <v>200</v>
      </c>
      <c r="K43" s="283">
        <v>124579.86</v>
      </c>
      <c r="L43" s="12"/>
      <c r="M43" s="12"/>
      <c r="N43" s="12"/>
      <c r="O43" s="12"/>
      <c r="P43" s="12"/>
      <c r="Q43" s="12"/>
      <c r="R43" s="307" t="s">
        <v>135</v>
      </c>
      <c r="S43" s="308"/>
      <c r="T43" s="305" t="s">
        <v>169</v>
      </c>
      <c r="U43" s="255" t="s">
        <v>170</v>
      </c>
    </row>
    <row r="44" spans="1:43" ht="24" thickBot="1" x14ac:dyDescent="0.4">
      <c r="A44" s="284" t="s">
        <v>185</v>
      </c>
      <c r="B44" s="285">
        <f>SUM(AH40:AQ40)</f>
        <v>13760.06105111157</v>
      </c>
      <c r="C44" s="12"/>
      <c r="D44" s="284" t="s">
        <v>185</v>
      </c>
      <c r="E44" s="285">
        <f>AH40*(1-$AG$39)+AI40+AJ40*0.5+AL40+AM40*(1-$AG$39)+AN40*(1-$AG$39)+AO40*(1-$AG$39)+AP40*0.5+AQ40*0.5</f>
        <v>11283.002424671549</v>
      </c>
      <c r="F44" s="24"/>
      <c r="G44" s="284" t="s">
        <v>185</v>
      </c>
      <c r="H44" s="285">
        <f>AH40*AG39+AJ40*0.5+AK40+AM40*AG39+AN40*AG39+AO40*AG39+AP40*0.5+AQ40*0.5</f>
        <v>2477.058626440019</v>
      </c>
      <c r="I44" s="12"/>
      <c r="J44" s="12"/>
      <c r="K44" s="288"/>
      <c r="L44" s="12"/>
      <c r="M44" s="12"/>
      <c r="N44" s="12"/>
      <c r="O44" s="12"/>
      <c r="P44" s="12"/>
      <c r="Q44" s="12"/>
      <c r="R44" s="309" t="s">
        <v>141</v>
      </c>
      <c r="S44" s="310"/>
      <c r="T44" s="254">
        <f>$W$38+$X$38</f>
        <v>0</v>
      </c>
      <c r="U44" s="256">
        <f>(T44*8.34*0.895)/27000</f>
        <v>0</v>
      </c>
    </row>
    <row r="45" spans="1:43" ht="32.25" thickBot="1" x14ac:dyDescent="0.3">
      <c r="A45" s="286" t="s">
        <v>186</v>
      </c>
      <c r="B45" s="287">
        <f>SUM(AH41:AQ41)</f>
        <v>12466.56</v>
      </c>
      <c r="C45" s="12"/>
      <c r="D45" s="286" t="s">
        <v>186</v>
      </c>
      <c r="E45" s="287">
        <f>AH41*(1-$AG$39)+AJ41*0.5+AL41+AM41*(1-$AG$39)+AN41*(1-$AG$39)+AP41*0.5+AQ41*0.5</f>
        <v>9947.7950000000001</v>
      </c>
      <c r="F45" s="23"/>
      <c r="G45" s="286" t="s">
        <v>186</v>
      </c>
      <c r="H45" s="287">
        <f>AH41*AG39+AJ41*0.5+AK41+AM41*AG39+AN41*AG39+AP41*0.5+AQ41*0.5</f>
        <v>2518.7649999999999</v>
      </c>
      <c r="I45" s="12"/>
      <c r="J45" s="606" t="s">
        <v>201</v>
      </c>
      <c r="K45" s="607"/>
      <c r="L45" s="12"/>
      <c r="M45" s="12"/>
      <c r="N45" s="12"/>
      <c r="O45" s="12"/>
      <c r="P45" s="12"/>
      <c r="Q45" s="12"/>
      <c r="R45" s="309" t="s">
        <v>145</v>
      </c>
      <c r="S45" s="310"/>
      <c r="T45" s="254">
        <f>$M$38+$N$38+$F$38</f>
        <v>0</v>
      </c>
      <c r="U45" s="257">
        <f>(((T45*8.34)*0.005)/(8.34*1.055))/400</f>
        <v>0</v>
      </c>
    </row>
    <row r="46" spans="1:43" ht="24.75" thickTop="1" thickBot="1" x14ac:dyDescent="0.4">
      <c r="A46" s="286" t="s">
        <v>187</v>
      </c>
      <c r="B46" s="287">
        <f>K43</f>
        <v>124579.86</v>
      </c>
      <c r="C46" s="12"/>
      <c r="D46" s="286" t="s">
        <v>189</v>
      </c>
      <c r="E46" s="287">
        <f>K43*0.5</f>
        <v>62289.93</v>
      </c>
      <c r="F46" s="24"/>
      <c r="G46" s="286" t="s">
        <v>187</v>
      </c>
      <c r="H46" s="287">
        <f>K43*0.5</f>
        <v>62289.93</v>
      </c>
      <c r="I46" s="12"/>
      <c r="J46" s="282" t="s">
        <v>200</v>
      </c>
      <c r="K46" s="283">
        <v>33933.120000000003</v>
      </c>
      <c r="L46" s="12"/>
      <c r="M46" s="12"/>
      <c r="N46" s="12"/>
      <c r="O46" s="12"/>
      <c r="P46" s="12"/>
      <c r="Q46" s="12"/>
      <c r="R46" s="309" t="s">
        <v>148</v>
      </c>
      <c r="S46" s="310"/>
      <c r="T46" s="254">
        <f>$G$38</f>
        <v>0</v>
      </c>
      <c r="U46" s="256">
        <f>T46/40000</f>
        <v>0</v>
      </c>
    </row>
    <row r="47" spans="1:43" ht="24" thickBot="1" x14ac:dyDescent="0.3">
      <c r="A47" s="286" t="s">
        <v>188</v>
      </c>
      <c r="B47" s="287">
        <f>K46</f>
        <v>33933.120000000003</v>
      </c>
      <c r="C47" s="12"/>
      <c r="D47" s="286" t="s">
        <v>188</v>
      </c>
      <c r="E47" s="287">
        <f>K46*0.5</f>
        <v>16966.560000000001</v>
      </c>
      <c r="F47" s="23"/>
      <c r="G47" s="286" t="s">
        <v>188</v>
      </c>
      <c r="H47" s="287">
        <f>K46*0.5</f>
        <v>16966.560000000001</v>
      </c>
      <c r="I47" s="12"/>
      <c r="J47" s="12"/>
      <c r="K47" s="86"/>
      <c r="L47" s="12"/>
      <c r="M47" s="12"/>
      <c r="N47" s="12"/>
      <c r="O47" s="12"/>
      <c r="P47" s="12"/>
      <c r="Q47" s="12"/>
      <c r="R47" s="309" t="s">
        <v>150</v>
      </c>
      <c r="S47" s="310"/>
      <c r="T47" s="254">
        <f>$L$38</f>
        <v>0</v>
      </c>
      <c r="U47" s="256">
        <f>T47*9.34*0.107</f>
        <v>0</v>
      </c>
    </row>
    <row r="48" spans="1:43" ht="48" thickTop="1" thickBot="1" x14ac:dyDescent="0.3">
      <c r="A48" s="291" t="s">
        <v>196</v>
      </c>
      <c r="B48" s="292">
        <f>AD39</f>
        <v>0</v>
      </c>
      <c r="C48" s="12"/>
      <c r="D48" s="291" t="s">
        <v>197</v>
      </c>
      <c r="E48" s="292">
        <f>AF39</f>
        <v>0</v>
      </c>
      <c r="F48" s="23"/>
      <c r="G48" s="291" t="s">
        <v>198</v>
      </c>
      <c r="H48" s="292">
        <f>AE39</f>
        <v>0</v>
      </c>
      <c r="I48" s="12"/>
      <c r="J48" s="12"/>
      <c r="K48" s="86"/>
      <c r="L48" s="12"/>
      <c r="M48" s="12"/>
      <c r="N48" s="12"/>
      <c r="O48" s="12"/>
      <c r="P48" s="12"/>
      <c r="Q48" s="12"/>
      <c r="R48" s="309" t="s">
        <v>152</v>
      </c>
      <c r="S48" s="310"/>
      <c r="T48" s="254">
        <f>$E$38+$K$38</f>
        <v>0</v>
      </c>
      <c r="U48" s="256">
        <f>(T48*8.34*1.04)/45000</f>
        <v>0</v>
      </c>
    </row>
    <row r="49" spans="1:25" ht="48" thickTop="1" thickBot="1" x14ac:dyDescent="0.3">
      <c r="A49" s="291" t="s">
        <v>192</v>
      </c>
      <c r="B49" s="293" t="e">
        <f>(SUM(B43:B47)/AD39)</f>
        <v>#DIV/0!</v>
      </c>
      <c r="C49" s="12"/>
      <c r="D49" s="291" t="s">
        <v>190</v>
      </c>
      <c r="E49" s="293" t="e">
        <f>SUM(E43:E47)/AF39</f>
        <v>#DIV/0!</v>
      </c>
      <c r="F49" s="23"/>
      <c r="G49" s="291" t="s">
        <v>191</v>
      </c>
      <c r="H49" s="293" t="e">
        <f>SUM(H43:H47)/AE39</f>
        <v>#DIV/0!</v>
      </c>
      <c r="I49" s="12"/>
      <c r="J49" s="12"/>
      <c r="K49" s="86"/>
      <c r="L49" s="12"/>
      <c r="M49" s="12"/>
      <c r="N49" s="12"/>
      <c r="O49" s="12"/>
      <c r="P49" s="12"/>
      <c r="Q49" s="12"/>
      <c r="R49" s="309" t="s">
        <v>153</v>
      </c>
      <c r="S49" s="310"/>
      <c r="T49" s="254">
        <f>$U$38+$V$38+$AB$38</f>
        <v>0</v>
      </c>
      <c r="U49" s="256">
        <f>T49/2000/8</f>
        <v>0</v>
      </c>
    </row>
    <row r="50" spans="1:25" ht="47.25" customHeight="1" thickTop="1" thickBot="1" x14ac:dyDescent="0.3">
      <c r="A50" s="281" t="s">
        <v>193</v>
      </c>
      <c r="B50" s="294" t="e">
        <f>B49/1000</f>
        <v>#DIV/0!</v>
      </c>
      <c r="C50" s="12"/>
      <c r="D50" s="281" t="s">
        <v>194</v>
      </c>
      <c r="E50" s="294" t="e">
        <f>E49/1000</f>
        <v>#DIV/0!</v>
      </c>
      <c r="F50" s="12"/>
      <c r="G50" s="281" t="s">
        <v>195</v>
      </c>
      <c r="H50" s="294" t="e">
        <f>H49/1000</f>
        <v>#DIV/0!</v>
      </c>
      <c r="I50" s="12"/>
      <c r="J50" s="12"/>
      <c r="K50" s="86"/>
      <c r="L50" s="12"/>
      <c r="M50" s="12"/>
      <c r="N50" s="12"/>
      <c r="O50" s="12"/>
      <c r="P50" s="12"/>
      <c r="Q50" s="12"/>
      <c r="R50" s="309" t="s">
        <v>154</v>
      </c>
      <c r="S50" s="310"/>
      <c r="T50" s="254">
        <f>$C$38+$J$38+$S$38+$T$38</f>
        <v>0</v>
      </c>
      <c r="U50" s="256">
        <f>(T50*8.34*1.4)/45000</f>
        <v>0</v>
      </c>
    </row>
    <row r="51" spans="1:25" ht="16.5" thickTop="1" thickBot="1" x14ac:dyDescent="0.3">
      <c r="A51" s="303"/>
      <c r="B51" s="12"/>
      <c r="C51" s="12"/>
      <c r="D51" s="12"/>
      <c r="E51" s="12"/>
      <c r="F51" s="12"/>
      <c r="G51" s="12"/>
      <c r="H51" s="12"/>
      <c r="I51" s="12"/>
      <c r="J51" s="12"/>
      <c r="K51" s="86"/>
      <c r="L51" s="12"/>
      <c r="M51" s="12"/>
      <c r="N51" s="12"/>
      <c r="O51" s="12"/>
      <c r="P51" s="12"/>
      <c r="Q51" s="12"/>
      <c r="R51" s="309" t="s">
        <v>155</v>
      </c>
      <c r="S51" s="310"/>
      <c r="T51" s="254">
        <f>$H$38</f>
        <v>0</v>
      </c>
      <c r="U51" s="256">
        <f>(T51*8.34*1.135)/45000</f>
        <v>0</v>
      </c>
    </row>
    <row r="52" spans="1:25" ht="48" customHeight="1" thickTop="1" thickBot="1" x14ac:dyDescent="0.3">
      <c r="A52" s="571" t="s">
        <v>51</v>
      </c>
      <c r="B52" s="572"/>
      <c r="C52" s="572"/>
      <c r="D52" s="572"/>
      <c r="E52" s="573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09" t="s">
        <v>156</v>
      </c>
      <c r="S52" s="310"/>
      <c r="T52" s="254">
        <f>$B$38+$I$38+$AC$38</f>
        <v>0</v>
      </c>
      <c r="U52" s="256">
        <f>(T52*8.34*1.029*0.03)/3300</f>
        <v>0</v>
      </c>
    </row>
    <row r="53" spans="1:25" ht="42" customHeight="1" thickBot="1" x14ac:dyDescent="0.3">
      <c r="A53" s="602" t="s">
        <v>202</v>
      </c>
      <c r="B53" s="603"/>
      <c r="C53" s="603"/>
      <c r="D53" s="603"/>
      <c r="E53" s="604"/>
      <c r="F53" s="87"/>
      <c r="G53" s="87"/>
      <c r="H53" s="87"/>
      <c r="I53" s="87"/>
      <c r="J53" s="87"/>
      <c r="K53" s="88"/>
      <c r="L53" s="12"/>
      <c r="M53" s="12"/>
      <c r="N53" s="12"/>
      <c r="O53" s="12"/>
      <c r="P53" s="12"/>
      <c r="Q53" s="12"/>
      <c r="R53" s="565" t="s">
        <v>158</v>
      </c>
      <c r="S53" s="566"/>
      <c r="T53" s="258">
        <f>$D$38+$Y$38+$Z$38</f>
        <v>0</v>
      </c>
      <c r="U53" s="259">
        <f>(T53*1.54*8.34)/45000</f>
        <v>0</v>
      </c>
    </row>
    <row r="54" spans="1:25" ht="24" thickTop="1" x14ac:dyDescent="0.25">
      <c r="A54" s="611"/>
      <c r="B54" s="6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x14ac:dyDescent="0.25">
      <c r="A55" s="613"/>
      <c r="B55" s="61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609"/>
      <c r="B56" s="61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10"/>
      <c r="B57" s="61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09"/>
      <c r="B58" s="61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10"/>
      <c r="B59" s="610"/>
      <c r="C59" s="12"/>
      <c r="D59" s="12"/>
      <c r="E59" s="12"/>
      <c r="F59" s="12"/>
      <c r="G59" s="12"/>
      <c r="H59" s="12"/>
      <c r="I59" s="12"/>
      <c r="J59" s="12"/>
      <c r="K59" s="12"/>
    </row>
    <row r="60" spans="1:25" x14ac:dyDescent="0.25">
      <c r="A60" s="12"/>
      <c r="B60" s="12"/>
      <c r="C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</sheetData>
  <sheetProtection selectLockedCells="1" selectUnlockedCells="1"/>
  <mergeCells count="34">
    <mergeCell ref="AO4:AO5"/>
    <mergeCell ref="AP4:AP5"/>
    <mergeCell ref="AQ4:AQ5"/>
    <mergeCell ref="AH4:AH5"/>
    <mergeCell ref="AI4:AI5"/>
    <mergeCell ref="AJ4:AJ5"/>
    <mergeCell ref="AK4:AK5"/>
    <mergeCell ref="AL4:AL5"/>
    <mergeCell ref="AM4:AM5"/>
    <mergeCell ref="AC4:AC5"/>
    <mergeCell ref="J42:K42"/>
    <mergeCell ref="J45:K45"/>
    <mergeCell ref="A41:K41"/>
    <mergeCell ref="AN4:AN5"/>
    <mergeCell ref="R42:U42"/>
    <mergeCell ref="AD4:AD5"/>
    <mergeCell ref="AE4:AE5"/>
    <mergeCell ref="AF4:AF5"/>
    <mergeCell ref="AG4:AG5"/>
    <mergeCell ref="A42:B42"/>
    <mergeCell ref="D42:E42"/>
    <mergeCell ref="G42:H42"/>
    <mergeCell ref="B4:H5"/>
    <mergeCell ref="I4:N5"/>
    <mergeCell ref="O4:T5"/>
    <mergeCell ref="A56:B57"/>
    <mergeCell ref="A58:B59"/>
    <mergeCell ref="A54:B54"/>
    <mergeCell ref="A55:B55"/>
    <mergeCell ref="AB4:AB5"/>
    <mergeCell ref="A52:E52"/>
    <mergeCell ref="A53:E53"/>
    <mergeCell ref="R53:S53"/>
    <mergeCell ref="U4:AA5"/>
  </mergeCells>
  <pageMargins left="0.33" right="0.19" top="0.75" bottom="0.75" header="0.3" footer="0.3"/>
  <pageSetup scale="52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3"/>
  <sheetViews>
    <sheetView topLeftCell="AC25" zoomScale="80" zoomScaleNormal="80" workbookViewId="0">
      <selection activeCell="AN44" sqref="AN44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285156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81" t="s">
        <v>3</v>
      </c>
      <c r="C4" s="582"/>
      <c r="D4" s="582"/>
      <c r="E4" s="582"/>
      <c r="F4" s="582"/>
      <c r="G4" s="582"/>
      <c r="H4" s="583"/>
      <c r="I4" s="581" t="s">
        <v>4</v>
      </c>
      <c r="J4" s="582"/>
      <c r="K4" s="582"/>
      <c r="L4" s="582"/>
      <c r="M4" s="582"/>
      <c r="N4" s="583"/>
      <c r="O4" s="587" t="s">
        <v>5</v>
      </c>
      <c r="P4" s="588"/>
      <c r="Q4" s="589"/>
      <c r="R4" s="589"/>
      <c r="S4" s="589"/>
      <c r="T4" s="590"/>
      <c r="U4" s="581" t="s">
        <v>6</v>
      </c>
      <c r="V4" s="594"/>
      <c r="W4" s="594"/>
      <c r="X4" s="594"/>
      <c r="Y4" s="594"/>
      <c r="Z4" s="594"/>
      <c r="AA4" s="595"/>
      <c r="AB4" s="574" t="s">
        <v>7</v>
      </c>
      <c r="AC4" s="600" t="s">
        <v>8</v>
      </c>
      <c r="AD4" s="579" t="s">
        <v>27</v>
      </c>
      <c r="AE4" s="579" t="s">
        <v>31</v>
      </c>
      <c r="AF4" s="579" t="s">
        <v>32</v>
      </c>
      <c r="AG4" s="579" t="s">
        <v>33</v>
      </c>
      <c r="AH4" s="574" t="s">
        <v>175</v>
      </c>
      <c r="AI4" s="574" t="s">
        <v>176</v>
      </c>
      <c r="AJ4" s="574" t="s">
        <v>177</v>
      </c>
      <c r="AK4" s="574" t="s">
        <v>178</v>
      </c>
      <c r="AL4" s="574" t="s">
        <v>179</v>
      </c>
      <c r="AM4" s="574" t="s">
        <v>180</v>
      </c>
      <c r="AN4" s="574" t="s">
        <v>181</v>
      </c>
      <c r="AO4" s="574" t="s">
        <v>184</v>
      </c>
      <c r="AP4" s="574" t="s">
        <v>182</v>
      </c>
      <c r="AQ4" s="574" t="s">
        <v>183</v>
      </c>
      <c r="AT4" t="s">
        <v>171</v>
      </c>
      <c r="AU4" s="338" t="s">
        <v>209</v>
      </c>
    </row>
    <row r="5" spans="1:47" ht="30" customHeight="1" thickBot="1" x14ac:dyDescent="0.3">
      <c r="A5" s="13"/>
      <c r="B5" s="584"/>
      <c r="C5" s="585"/>
      <c r="D5" s="585"/>
      <c r="E5" s="585"/>
      <c r="F5" s="585"/>
      <c r="G5" s="585"/>
      <c r="H5" s="586"/>
      <c r="I5" s="584"/>
      <c r="J5" s="585"/>
      <c r="K5" s="585"/>
      <c r="L5" s="585"/>
      <c r="M5" s="585"/>
      <c r="N5" s="586"/>
      <c r="O5" s="591"/>
      <c r="P5" s="592"/>
      <c r="Q5" s="592"/>
      <c r="R5" s="592"/>
      <c r="S5" s="592"/>
      <c r="T5" s="593"/>
      <c r="U5" s="596"/>
      <c r="V5" s="597"/>
      <c r="W5" s="597"/>
      <c r="X5" s="597"/>
      <c r="Y5" s="597"/>
      <c r="Z5" s="597"/>
      <c r="AA5" s="598"/>
      <c r="AB5" s="599"/>
      <c r="AC5" s="601"/>
      <c r="AD5" s="580"/>
      <c r="AE5" s="580"/>
      <c r="AF5" s="580"/>
      <c r="AG5" s="580"/>
      <c r="AH5" s="575"/>
      <c r="AI5" s="575"/>
      <c r="AJ5" s="575"/>
      <c r="AK5" s="575"/>
      <c r="AL5" s="575"/>
      <c r="AM5" s="575"/>
      <c r="AN5" s="575"/>
      <c r="AO5" s="575"/>
      <c r="AP5" s="575"/>
      <c r="AQ5" s="575"/>
    </row>
    <row r="6" spans="1:47" ht="15.75" customHeight="1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customHeight="1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42430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0</v>
      </c>
      <c r="J8" s="50">
        <v>0</v>
      </c>
      <c r="K8" s="50">
        <v>0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5">
        <v>0</v>
      </c>
      <c r="AB8" s="56">
        <v>0</v>
      </c>
      <c r="AC8" s="57">
        <v>0</v>
      </c>
      <c r="AD8" s="57">
        <v>0</v>
      </c>
      <c r="AE8" s="58">
        <v>0</v>
      </c>
      <c r="AF8" s="58">
        <v>0</v>
      </c>
      <c r="AG8" s="58">
        <v>0</v>
      </c>
      <c r="AH8" s="57">
        <v>211.14382123152416</v>
      </c>
      <c r="AI8" s="57">
        <v>499.73818799654634</v>
      </c>
      <c r="AJ8" s="57">
        <v>1459.799731508891</v>
      </c>
      <c r="AK8" s="57">
        <v>220.13969690799712</v>
      </c>
      <c r="AL8" s="57">
        <v>1555.3059574127199</v>
      </c>
      <c r="AM8" s="57">
        <v>1466.8125354131064</v>
      </c>
      <c r="AN8" s="57">
        <v>479.44625910123182</v>
      </c>
      <c r="AO8" s="57">
        <v>359.62827604611709</v>
      </c>
      <c r="AP8" s="57">
        <v>52.22659850915273</v>
      </c>
      <c r="AQ8" s="57">
        <v>622.78568820953365</v>
      </c>
    </row>
    <row r="9" spans="1:47" x14ac:dyDescent="0.25">
      <c r="A9" s="11">
        <v>42431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0</v>
      </c>
      <c r="J9" s="60">
        <v>0</v>
      </c>
      <c r="K9" s="60">
        <v>0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0</v>
      </c>
      <c r="V9" s="62">
        <v>0</v>
      </c>
      <c r="W9" s="62">
        <v>0</v>
      </c>
      <c r="X9" s="62">
        <v>0</v>
      </c>
      <c r="Y9" s="66">
        <v>0</v>
      </c>
      <c r="Z9" s="66">
        <v>0</v>
      </c>
      <c r="AA9" s="67">
        <v>0</v>
      </c>
      <c r="AB9" s="68">
        <v>0</v>
      </c>
      <c r="AC9" s="69">
        <v>0</v>
      </c>
      <c r="AD9" s="69">
        <v>0</v>
      </c>
      <c r="AE9" s="68">
        <v>0</v>
      </c>
      <c r="AF9" s="68">
        <v>0</v>
      </c>
      <c r="AG9" s="68">
        <v>0</v>
      </c>
      <c r="AH9" s="69">
        <v>210.13500408331555</v>
      </c>
      <c r="AI9" s="69">
        <v>506.98368430137634</v>
      </c>
      <c r="AJ9" s="69">
        <v>1418.1189519246418</v>
      </c>
      <c r="AK9" s="69">
        <v>211.86639902591705</v>
      </c>
      <c r="AL9" s="69">
        <v>1504.3721428553263</v>
      </c>
      <c r="AM9" s="69">
        <v>1478.2439870198568</v>
      </c>
      <c r="AN9" s="69">
        <v>490.38352667490636</v>
      </c>
      <c r="AO9" s="69">
        <v>342.53625685373942</v>
      </c>
      <c r="AP9" s="69">
        <v>52.038694381713867</v>
      </c>
      <c r="AQ9" s="69">
        <v>671.16586589813221</v>
      </c>
    </row>
    <row r="10" spans="1:47" x14ac:dyDescent="0.25">
      <c r="A10" s="11">
        <v>42432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0</v>
      </c>
      <c r="J10" s="60">
        <v>0</v>
      </c>
      <c r="K10" s="60">
        <v>0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0</v>
      </c>
      <c r="V10" s="62">
        <v>0</v>
      </c>
      <c r="W10" s="62">
        <v>0</v>
      </c>
      <c r="X10" s="62">
        <v>0</v>
      </c>
      <c r="Y10" s="66">
        <v>0</v>
      </c>
      <c r="Z10" s="66">
        <v>0</v>
      </c>
      <c r="AA10" s="67">
        <v>0</v>
      </c>
      <c r="AB10" s="68">
        <v>0</v>
      </c>
      <c r="AC10" s="69">
        <v>0</v>
      </c>
      <c r="AD10" s="69">
        <v>0</v>
      </c>
      <c r="AE10" s="68">
        <v>0</v>
      </c>
      <c r="AF10" s="68">
        <v>0</v>
      </c>
      <c r="AG10" s="68">
        <v>0</v>
      </c>
      <c r="AH10" s="69">
        <v>205.89223152001696</v>
      </c>
      <c r="AI10" s="69">
        <v>489.55152510007213</v>
      </c>
      <c r="AJ10" s="69">
        <v>1350.9461144129436</v>
      </c>
      <c r="AK10" s="69">
        <v>209.08269093831382</v>
      </c>
      <c r="AL10" s="69">
        <v>1528.2081912358603</v>
      </c>
      <c r="AM10" s="69">
        <v>1469.0419980367028</v>
      </c>
      <c r="AN10" s="69">
        <v>478.88531861305239</v>
      </c>
      <c r="AO10" s="69">
        <v>301.40167765617372</v>
      </c>
      <c r="AP10" s="69">
        <v>50.094586348533632</v>
      </c>
      <c r="AQ10" s="69">
        <v>672.82880299886051</v>
      </c>
    </row>
    <row r="11" spans="1:47" x14ac:dyDescent="0.25">
      <c r="A11" s="11">
        <v>42433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0</v>
      </c>
      <c r="J11" s="60">
        <v>0</v>
      </c>
      <c r="K11" s="60">
        <v>0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0</v>
      </c>
      <c r="V11" s="62">
        <v>0</v>
      </c>
      <c r="W11" s="62">
        <v>0</v>
      </c>
      <c r="X11" s="62">
        <v>0</v>
      </c>
      <c r="Y11" s="66">
        <v>0</v>
      </c>
      <c r="Z11" s="66">
        <v>0</v>
      </c>
      <c r="AA11" s="67">
        <v>0</v>
      </c>
      <c r="AB11" s="68">
        <v>0</v>
      </c>
      <c r="AC11" s="69">
        <v>0</v>
      </c>
      <c r="AD11" s="69">
        <v>0</v>
      </c>
      <c r="AE11" s="68">
        <v>0</v>
      </c>
      <c r="AF11" s="68">
        <v>0</v>
      </c>
      <c r="AG11" s="68">
        <v>0</v>
      </c>
      <c r="AH11" s="69">
        <v>194.47606816291807</v>
      </c>
      <c r="AI11" s="69">
        <v>432.8060596466064</v>
      </c>
      <c r="AJ11" s="69">
        <v>1264.0781914393108</v>
      </c>
      <c r="AK11" s="69">
        <v>199.24787348111468</v>
      </c>
      <c r="AL11" s="69">
        <v>1504.5102881749474</v>
      </c>
      <c r="AM11" s="69">
        <v>1461.5316334406536</v>
      </c>
      <c r="AN11" s="69">
        <v>487.61875478426606</v>
      </c>
      <c r="AO11" s="69">
        <v>276.660739660263</v>
      </c>
      <c r="AP11" s="69">
        <v>49.290401458740234</v>
      </c>
      <c r="AQ11" s="69">
        <v>620.24144398371368</v>
      </c>
    </row>
    <row r="12" spans="1:47" x14ac:dyDescent="0.25">
      <c r="A12" s="11">
        <v>42434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0</v>
      </c>
      <c r="J12" s="60">
        <v>0</v>
      </c>
      <c r="K12" s="60">
        <v>0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0</v>
      </c>
      <c r="V12" s="62">
        <v>0</v>
      </c>
      <c r="W12" s="62">
        <v>0</v>
      </c>
      <c r="X12" s="62">
        <v>0</v>
      </c>
      <c r="Y12" s="66">
        <v>0</v>
      </c>
      <c r="Z12" s="66">
        <v>0</v>
      </c>
      <c r="AA12" s="67">
        <v>0</v>
      </c>
      <c r="AB12" s="68">
        <v>0</v>
      </c>
      <c r="AC12" s="69">
        <v>0</v>
      </c>
      <c r="AD12" s="69">
        <v>0</v>
      </c>
      <c r="AE12" s="68">
        <v>0</v>
      </c>
      <c r="AF12" s="68">
        <v>0</v>
      </c>
      <c r="AG12" s="68">
        <v>0</v>
      </c>
      <c r="AH12" s="69">
        <v>196.24508844216666</v>
      </c>
      <c r="AI12" s="69">
        <v>439.33165510495508</v>
      </c>
      <c r="AJ12" s="69">
        <v>1248.5852504094439</v>
      </c>
      <c r="AK12" s="69">
        <v>209.09299595355986</v>
      </c>
      <c r="AL12" s="69">
        <v>1516.9166610081993</v>
      </c>
      <c r="AM12" s="69">
        <v>1382.5472087860105</v>
      </c>
      <c r="AN12" s="69">
        <v>471.10644737879437</v>
      </c>
      <c r="AO12" s="69">
        <v>308.15694746971127</v>
      </c>
      <c r="AP12" s="69">
        <v>49.290401458740234</v>
      </c>
      <c r="AQ12" s="69">
        <v>696.89828783671055</v>
      </c>
    </row>
    <row r="13" spans="1:47" x14ac:dyDescent="0.25">
      <c r="A13" s="11">
        <v>42435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0</v>
      </c>
      <c r="J13" s="60">
        <v>0</v>
      </c>
      <c r="K13" s="60">
        <v>0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0</v>
      </c>
      <c r="V13" s="62">
        <v>0</v>
      </c>
      <c r="W13" s="62">
        <v>0</v>
      </c>
      <c r="X13" s="62">
        <v>0</v>
      </c>
      <c r="Y13" s="66">
        <v>0</v>
      </c>
      <c r="Z13" s="66">
        <v>0</v>
      </c>
      <c r="AA13" s="67">
        <v>0</v>
      </c>
      <c r="AB13" s="68">
        <v>0</v>
      </c>
      <c r="AC13" s="69">
        <v>0</v>
      </c>
      <c r="AD13" s="69">
        <v>0</v>
      </c>
      <c r="AE13" s="68">
        <v>0</v>
      </c>
      <c r="AF13" s="68">
        <v>0</v>
      </c>
      <c r="AG13" s="68">
        <v>0</v>
      </c>
      <c r="AH13" s="69">
        <v>184.42442917029061</v>
      </c>
      <c r="AI13" s="69">
        <v>410.83424218495685</v>
      </c>
      <c r="AJ13" s="69">
        <v>1231.871072324117</v>
      </c>
      <c r="AK13" s="69">
        <v>192.85242081483204</v>
      </c>
      <c r="AL13" s="69">
        <v>1483.4079826354978</v>
      </c>
      <c r="AM13" s="69">
        <v>1361.712995592753</v>
      </c>
      <c r="AN13" s="69">
        <v>478.9682519276937</v>
      </c>
      <c r="AO13" s="69">
        <v>283.24973056316372</v>
      </c>
      <c r="AP13" s="69">
        <v>49.290401458740234</v>
      </c>
      <c r="AQ13" s="69">
        <v>717.03867368698104</v>
      </c>
    </row>
    <row r="14" spans="1:47" x14ac:dyDescent="0.25">
      <c r="A14" s="11">
        <v>42436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0</v>
      </c>
      <c r="J14" s="60">
        <v>0</v>
      </c>
      <c r="K14" s="60">
        <v>0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0</v>
      </c>
      <c r="V14" s="62">
        <v>0</v>
      </c>
      <c r="W14" s="62">
        <v>0</v>
      </c>
      <c r="X14" s="62">
        <v>0</v>
      </c>
      <c r="Y14" s="66">
        <v>0</v>
      </c>
      <c r="Z14" s="66">
        <v>0</v>
      </c>
      <c r="AA14" s="67">
        <v>0</v>
      </c>
      <c r="AB14" s="68">
        <v>0</v>
      </c>
      <c r="AC14" s="69">
        <v>0</v>
      </c>
      <c r="AD14" s="69">
        <v>0</v>
      </c>
      <c r="AE14" s="68">
        <v>0</v>
      </c>
      <c r="AF14" s="68">
        <v>0</v>
      </c>
      <c r="AG14" s="68">
        <v>0</v>
      </c>
      <c r="AH14" s="69">
        <v>204.25262242158252</v>
      </c>
      <c r="AI14" s="69">
        <v>486.06095190048217</v>
      </c>
      <c r="AJ14" s="69">
        <v>1342.4262204488118</v>
      </c>
      <c r="AK14" s="69">
        <v>209.61832400957741</v>
      </c>
      <c r="AL14" s="69">
        <v>1438.3264505386348</v>
      </c>
      <c r="AM14" s="69">
        <v>1462.309615961711</v>
      </c>
      <c r="AN14" s="69">
        <v>494.12827421824136</v>
      </c>
      <c r="AO14" s="69">
        <v>345.06175171534221</v>
      </c>
      <c r="AP14" s="69">
        <v>60.034128642082209</v>
      </c>
      <c r="AQ14" s="69">
        <v>639.83817011515293</v>
      </c>
    </row>
    <row r="15" spans="1:47" x14ac:dyDescent="0.25">
      <c r="A15" s="11">
        <v>42437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0</v>
      </c>
      <c r="J15" s="60">
        <v>0</v>
      </c>
      <c r="K15" s="60">
        <v>0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0</v>
      </c>
      <c r="V15" s="62">
        <v>0</v>
      </c>
      <c r="W15" s="62">
        <v>0</v>
      </c>
      <c r="X15" s="62">
        <v>0</v>
      </c>
      <c r="Y15" s="66">
        <v>0</v>
      </c>
      <c r="Z15" s="66">
        <v>0</v>
      </c>
      <c r="AA15" s="67">
        <v>0</v>
      </c>
      <c r="AB15" s="68">
        <v>0</v>
      </c>
      <c r="AC15" s="69">
        <v>0</v>
      </c>
      <c r="AD15" s="69">
        <v>0</v>
      </c>
      <c r="AE15" s="68">
        <v>0</v>
      </c>
      <c r="AF15" s="68">
        <v>0</v>
      </c>
      <c r="AG15" s="68">
        <v>0</v>
      </c>
      <c r="AH15" s="69">
        <v>218.9416444381078</v>
      </c>
      <c r="AI15" s="69">
        <v>490.71033399899795</v>
      </c>
      <c r="AJ15" s="69">
        <v>1376.5144471486415</v>
      </c>
      <c r="AK15" s="69">
        <v>222.58258446057633</v>
      </c>
      <c r="AL15" s="69">
        <v>1538.5390042622887</v>
      </c>
      <c r="AM15" s="69">
        <v>1525.0270865758257</v>
      </c>
      <c r="AN15" s="69">
        <v>541.42681916554773</v>
      </c>
      <c r="AO15" s="69">
        <v>361.85423301060996</v>
      </c>
      <c r="AP15" s="69">
        <v>66.470424127578724</v>
      </c>
      <c r="AQ15" s="69">
        <v>623.97165908813474</v>
      </c>
    </row>
    <row r="16" spans="1:47" x14ac:dyDescent="0.25">
      <c r="A16" s="11">
        <v>42438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0</v>
      </c>
      <c r="J16" s="60">
        <v>0</v>
      </c>
      <c r="K16" s="60">
        <v>0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0</v>
      </c>
      <c r="V16" s="62">
        <v>0</v>
      </c>
      <c r="W16" s="62">
        <v>0</v>
      </c>
      <c r="X16" s="62">
        <v>0</v>
      </c>
      <c r="Y16" s="66">
        <v>0</v>
      </c>
      <c r="Z16" s="66">
        <v>0</v>
      </c>
      <c r="AA16" s="67">
        <v>0</v>
      </c>
      <c r="AB16" s="68">
        <v>0</v>
      </c>
      <c r="AC16" s="69">
        <v>0</v>
      </c>
      <c r="AD16" s="69">
        <v>0</v>
      </c>
      <c r="AE16" s="68">
        <v>0</v>
      </c>
      <c r="AF16" s="68">
        <v>0</v>
      </c>
      <c r="AG16" s="68">
        <v>0</v>
      </c>
      <c r="AH16" s="69">
        <v>211.59778560797372</v>
      </c>
      <c r="AI16" s="69">
        <v>487.08193855285646</v>
      </c>
      <c r="AJ16" s="69">
        <v>1346.5982721964519</v>
      </c>
      <c r="AK16" s="69">
        <v>211.78669342994692</v>
      </c>
      <c r="AL16" s="69">
        <v>1516.9422861735027</v>
      </c>
      <c r="AM16" s="69">
        <v>1569.0254328409833</v>
      </c>
      <c r="AN16" s="69">
        <v>510.00435476303107</v>
      </c>
      <c r="AO16" s="69">
        <v>345.49156022071838</v>
      </c>
      <c r="AP16" s="69">
        <v>49.151313100258513</v>
      </c>
      <c r="AQ16" s="69">
        <v>664.28709669113152</v>
      </c>
    </row>
    <row r="17" spans="1:43" x14ac:dyDescent="0.25">
      <c r="A17" s="11">
        <v>42439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0</v>
      </c>
      <c r="J17" s="50">
        <v>0</v>
      </c>
      <c r="K17" s="50">
        <v>0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0</v>
      </c>
      <c r="V17" s="66">
        <v>0</v>
      </c>
      <c r="W17" s="62">
        <v>0</v>
      </c>
      <c r="X17" s="62">
        <v>0</v>
      </c>
      <c r="Y17" s="66">
        <v>0</v>
      </c>
      <c r="Z17" s="66">
        <v>0</v>
      </c>
      <c r="AA17" s="67">
        <v>0</v>
      </c>
      <c r="AB17" s="68">
        <v>0</v>
      </c>
      <c r="AC17" s="69">
        <v>0</v>
      </c>
      <c r="AD17" s="69">
        <v>0</v>
      </c>
      <c r="AE17" s="68">
        <v>0</v>
      </c>
      <c r="AF17" s="68">
        <v>0</v>
      </c>
      <c r="AG17" s="68">
        <v>0</v>
      </c>
      <c r="AH17" s="69">
        <v>202.05069008668264</v>
      </c>
      <c r="AI17" s="69">
        <v>451.60071352322899</v>
      </c>
      <c r="AJ17" s="69">
        <v>1352.4669482549032</v>
      </c>
      <c r="AK17" s="69">
        <v>203.75391634305313</v>
      </c>
      <c r="AL17" s="69">
        <v>1569.2742198944093</v>
      </c>
      <c r="AM17" s="69">
        <v>1545.8996160507202</v>
      </c>
      <c r="AN17" s="69">
        <v>503.55539857546478</v>
      </c>
      <c r="AO17" s="69">
        <v>312.82853504816688</v>
      </c>
      <c r="AP17" s="69">
        <v>48.306677961349486</v>
      </c>
      <c r="AQ17" s="69">
        <v>717.65006796518958</v>
      </c>
    </row>
    <row r="18" spans="1:43" x14ac:dyDescent="0.25">
      <c r="A18" s="11">
        <v>42440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0</v>
      </c>
      <c r="J18" s="60">
        <v>0</v>
      </c>
      <c r="K18" s="60">
        <v>0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0</v>
      </c>
      <c r="V18" s="62">
        <v>0</v>
      </c>
      <c r="W18" s="62">
        <v>0</v>
      </c>
      <c r="X18" s="62">
        <v>0</v>
      </c>
      <c r="Y18" s="66">
        <v>0</v>
      </c>
      <c r="Z18" s="66">
        <v>0</v>
      </c>
      <c r="AA18" s="67">
        <v>0</v>
      </c>
      <c r="AB18" s="68">
        <v>0</v>
      </c>
      <c r="AC18" s="69">
        <v>0</v>
      </c>
      <c r="AD18" s="69">
        <v>0</v>
      </c>
      <c r="AE18" s="68">
        <v>0</v>
      </c>
      <c r="AF18" s="68">
        <v>0</v>
      </c>
      <c r="AG18" s="68">
        <v>0</v>
      </c>
      <c r="AH18" s="69">
        <v>178.74947436650592</v>
      </c>
      <c r="AI18" s="69">
        <v>412.39976394971205</v>
      </c>
      <c r="AJ18" s="69">
        <v>1311.959459431966</v>
      </c>
      <c r="AK18" s="69">
        <v>181.51761644681295</v>
      </c>
      <c r="AL18" s="69">
        <v>1586.8566728591916</v>
      </c>
      <c r="AM18" s="69">
        <v>1477.3422337214151</v>
      </c>
      <c r="AN18" s="69">
        <v>487.49984717369074</v>
      </c>
      <c r="AO18" s="69">
        <v>266.19496201674144</v>
      </c>
      <c r="AP18" s="69">
        <v>45.859333191315329</v>
      </c>
      <c r="AQ18" s="69">
        <v>718.85398976008105</v>
      </c>
    </row>
    <row r="19" spans="1:43" x14ac:dyDescent="0.25">
      <c r="A19" s="11">
        <v>42441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0</v>
      </c>
      <c r="J19" s="60">
        <v>0</v>
      </c>
      <c r="K19" s="60">
        <v>0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0</v>
      </c>
      <c r="V19" s="62">
        <v>0</v>
      </c>
      <c r="W19" s="62">
        <v>0</v>
      </c>
      <c r="X19" s="62">
        <v>0</v>
      </c>
      <c r="Y19" s="66">
        <v>0</v>
      </c>
      <c r="Z19" s="66">
        <v>0</v>
      </c>
      <c r="AA19" s="67">
        <v>0</v>
      </c>
      <c r="AB19" s="68">
        <v>0</v>
      </c>
      <c r="AC19" s="69">
        <v>0</v>
      </c>
      <c r="AD19" s="69">
        <v>0</v>
      </c>
      <c r="AE19" s="68">
        <v>0</v>
      </c>
      <c r="AF19" s="68">
        <v>0</v>
      </c>
      <c r="AG19" s="68">
        <v>0</v>
      </c>
      <c r="AH19" s="69">
        <v>175.51736825307208</v>
      </c>
      <c r="AI19" s="69">
        <v>397.30950994491576</v>
      </c>
      <c r="AJ19" s="69">
        <v>1239.5406754811604</v>
      </c>
      <c r="AK19" s="69">
        <v>177.86339837710062</v>
      </c>
      <c r="AL19" s="69">
        <v>1553.0269470214841</v>
      </c>
      <c r="AM19" s="69">
        <v>1419.7015442530317</v>
      </c>
      <c r="AN19" s="69">
        <v>469.0096657117208</v>
      </c>
      <c r="AO19" s="69">
        <v>250.99378021558124</v>
      </c>
      <c r="AP19" s="69">
        <v>47.119743674993508</v>
      </c>
      <c r="AQ19" s="69">
        <v>633.81142641703286</v>
      </c>
    </row>
    <row r="20" spans="1:43" x14ac:dyDescent="0.25">
      <c r="A20" s="11">
        <v>42442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0</v>
      </c>
      <c r="J20" s="60">
        <v>0</v>
      </c>
      <c r="K20" s="60">
        <v>0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0</v>
      </c>
      <c r="V20" s="62">
        <v>0</v>
      </c>
      <c r="W20" s="62">
        <v>0</v>
      </c>
      <c r="X20" s="62">
        <v>0</v>
      </c>
      <c r="Y20" s="66">
        <v>0</v>
      </c>
      <c r="Z20" s="66">
        <v>0</v>
      </c>
      <c r="AA20" s="67">
        <v>0</v>
      </c>
      <c r="AB20" s="68">
        <v>0</v>
      </c>
      <c r="AC20" s="69">
        <v>0</v>
      </c>
      <c r="AD20" s="69">
        <v>0</v>
      </c>
      <c r="AE20" s="68">
        <v>0</v>
      </c>
      <c r="AF20" s="68">
        <v>0</v>
      </c>
      <c r="AG20" s="68">
        <v>0</v>
      </c>
      <c r="AH20" s="69">
        <v>187.10698860486349</v>
      </c>
      <c r="AI20" s="69">
        <v>404.51524581909177</v>
      </c>
      <c r="AJ20" s="69">
        <v>1275.8673671722411</v>
      </c>
      <c r="AK20" s="69">
        <v>178.29161508083345</v>
      </c>
      <c r="AL20" s="69">
        <v>1504.3047573725385</v>
      </c>
      <c r="AM20" s="69">
        <v>1418.2140295028685</v>
      </c>
      <c r="AN20" s="69">
        <v>471.88023975690197</v>
      </c>
      <c r="AO20" s="69">
        <v>231.7078003247579</v>
      </c>
      <c r="AP20" s="69">
        <v>46.326238526900603</v>
      </c>
      <c r="AQ20" s="69">
        <v>622.31993532180786</v>
      </c>
    </row>
    <row r="21" spans="1:43" x14ac:dyDescent="0.25">
      <c r="A21" s="11">
        <v>42443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0</v>
      </c>
      <c r="J21" s="60">
        <v>0</v>
      </c>
      <c r="K21" s="60">
        <v>0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0</v>
      </c>
      <c r="V21" s="62">
        <v>0</v>
      </c>
      <c r="W21" s="62">
        <v>0</v>
      </c>
      <c r="X21" s="62">
        <v>0</v>
      </c>
      <c r="Y21" s="66">
        <v>0</v>
      </c>
      <c r="Z21" s="66">
        <v>0</v>
      </c>
      <c r="AA21" s="67">
        <v>0</v>
      </c>
      <c r="AB21" s="68">
        <v>0</v>
      </c>
      <c r="AC21" s="69">
        <v>0</v>
      </c>
      <c r="AD21" s="69">
        <v>0</v>
      </c>
      <c r="AE21" s="68">
        <v>0</v>
      </c>
      <c r="AF21" s="68">
        <v>0</v>
      </c>
      <c r="AG21" s="68">
        <v>0</v>
      </c>
      <c r="AH21" s="69">
        <v>187.45120012760162</v>
      </c>
      <c r="AI21" s="69">
        <v>412.65415086746208</v>
      </c>
      <c r="AJ21" s="69">
        <v>1346.7472312927246</v>
      </c>
      <c r="AK21" s="69">
        <v>185.41424081325533</v>
      </c>
      <c r="AL21" s="69">
        <v>1480.1579427083334</v>
      </c>
      <c r="AM21" s="69">
        <v>1498.5207216898602</v>
      </c>
      <c r="AN21" s="69">
        <v>469.7401489257814</v>
      </c>
      <c r="AO21" s="69">
        <v>245.38215610186262</v>
      </c>
      <c r="AP21" s="69">
        <v>45.659766489267348</v>
      </c>
      <c r="AQ21" s="69">
        <v>735.50620724360147</v>
      </c>
    </row>
    <row r="22" spans="1:43" x14ac:dyDescent="0.25">
      <c r="A22" s="11">
        <v>42444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0</v>
      </c>
      <c r="J22" s="60">
        <v>0</v>
      </c>
      <c r="K22" s="60">
        <v>0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0</v>
      </c>
      <c r="V22" s="62">
        <v>0</v>
      </c>
      <c r="W22" s="62">
        <v>0</v>
      </c>
      <c r="X22" s="62">
        <v>0</v>
      </c>
      <c r="Y22" s="66">
        <v>0</v>
      </c>
      <c r="Z22" s="66">
        <v>0</v>
      </c>
      <c r="AA22" s="67">
        <v>0</v>
      </c>
      <c r="AB22" s="68">
        <v>0</v>
      </c>
      <c r="AC22" s="69">
        <v>0</v>
      </c>
      <c r="AD22" s="69">
        <v>0</v>
      </c>
      <c r="AE22" s="68">
        <v>0</v>
      </c>
      <c r="AF22" s="68">
        <v>0</v>
      </c>
      <c r="AG22" s="68">
        <v>0</v>
      </c>
      <c r="AH22" s="69">
        <v>229.26283672650658</v>
      </c>
      <c r="AI22" s="69">
        <v>475.77952604293819</v>
      </c>
      <c r="AJ22" s="69">
        <v>1390.8144015630085</v>
      </c>
      <c r="AK22" s="69">
        <v>218.67901559670767</v>
      </c>
      <c r="AL22" s="69">
        <v>1520.1791271209718</v>
      </c>
      <c r="AM22" s="69">
        <v>1555.0198191324869</v>
      </c>
      <c r="AN22" s="69">
        <v>490.57296654383339</v>
      </c>
      <c r="AO22" s="69">
        <v>340.03893213272096</v>
      </c>
      <c r="AP22" s="69">
        <v>42.592623710632324</v>
      </c>
      <c r="AQ22" s="69">
        <v>693.79603627522772</v>
      </c>
    </row>
    <row r="23" spans="1:43" x14ac:dyDescent="0.25">
      <c r="A23" s="11">
        <v>42445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0</v>
      </c>
      <c r="J23" s="60">
        <v>0</v>
      </c>
      <c r="K23" s="60">
        <v>0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0</v>
      </c>
      <c r="V23" s="62">
        <v>0</v>
      </c>
      <c r="W23" s="62">
        <v>0</v>
      </c>
      <c r="X23" s="62">
        <v>0</v>
      </c>
      <c r="Y23" s="66">
        <v>0</v>
      </c>
      <c r="Z23" s="66">
        <v>0</v>
      </c>
      <c r="AA23" s="67">
        <v>0</v>
      </c>
      <c r="AB23" s="68">
        <v>0</v>
      </c>
      <c r="AC23" s="69">
        <v>0</v>
      </c>
      <c r="AD23" s="69">
        <v>0</v>
      </c>
      <c r="AE23" s="68">
        <v>0</v>
      </c>
      <c r="AF23" s="68">
        <v>0</v>
      </c>
      <c r="AG23" s="68">
        <v>0</v>
      </c>
      <c r="AH23" s="69">
        <v>233.67756425539653</v>
      </c>
      <c r="AI23" s="69">
        <v>489.42315918604532</v>
      </c>
      <c r="AJ23" s="69">
        <v>1418.0973684310914</v>
      </c>
      <c r="AK23" s="69">
        <v>225.5426251252492</v>
      </c>
      <c r="AL23" s="69">
        <v>1524.6757986704508</v>
      </c>
      <c r="AM23" s="69">
        <v>1563.6177189509074</v>
      </c>
      <c r="AN23" s="69">
        <v>528.79474841753643</v>
      </c>
      <c r="AO23" s="69">
        <v>342.54034423828125</v>
      </c>
      <c r="AP23" s="69">
        <v>49.11423048575719</v>
      </c>
      <c r="AQ23" s="69">
        <v>669.23388500213628</v>
      </c>
    </row>
    <row r="24" spans="1:43" x14ac:dyDescent="0.25">
      <c r="A24" s="11">
        <v>42446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0</v>
      </c>
      <c r="J24" s="60">
        <v>0</v>
      </c>
      <c r="K24" s="60">
        <v>0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0</v>
      </c>
      <c r="V24" s="62">
        <v>0</v>
      </c>
      <c r="W24" s="62">
        <v>0</v>
      </c>
      <c r="X24" s="62">
        <v>0</v>
      </c>
      <c r="Y24" s="66">
        <v>0</v>
      </c>
      <c r="Z24" s="66">
        <v>0</v>
      </c>
      <c r="AA24" s="67">
        <v>0</v>
      </c>
      <c r="AB24" s="68">
        <v>0</v>
      </c>
      <c r="AC24" s="69">
        <v>0</v>
      </c>
      <c r="AD24" s="69">
        <v>0</v>
      </c>
      <c r="AE24" s="68">
        <v>0</v>
      </c>
      <c r="AF24" s="68">
        <v>0</v>
      </c>
      <c r="AG24" s="68">
        <v>0</v>
      </c>
      <c r="AH24" s="69">
        <v>241.37076552708945</v>
      </c>
      <c r="AI24" s="69">
        <v>504.1545897960662</v>
      </c>
      <c r="AJ24" s="69">
        <v>1427.015388552348</v>
      </c>
      <c r="AK24" s="69">
        <v>233.18692603111268</v>
      </c>
      <c r="AL24" s="69">
        <v>1570.0965487798057</v>
      </c>
      <c r="AM24" s="69">
        <v>1587.1038298924764</v>
      </c>
      <c r="AN24" s="69">
        <v>567.08403854370113</v>
      </c>
      <c r="AO24" s="69">
        <v>342.54034423828125</v>
      </c>
      <c r="AP24" s="69">
        <v>52.277248561382294</v>
      </c>
      <c r="AQ24" s="69">
        <v>669.14515641530352</v>
      </c>
    </row>
    <row r="25" spans="1:43" x14ac:dyDescent="0.25">
      <c r="A25" s="11">
        <v>42447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0</v>
      </c>
      <c r="J25" s="60">
        <v>0</v>
      </c>
      <c r="K25" s="60">
        <v>0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0</v>
      </c>
      <c r="V25" s="62">
        <v>0</v>
      </c>
      <c r="W25" s="62">
        <v>0</v>
      </c>
      <c r="X25" s="62">
        <v>0</v>
      </c>
      <c r="Y25" s="66">
        <v>0</v>
      </c>
      <c r="Z25" s="66">
        <v>0</v>
      </c>
      <c r="AA25" s="67">
        <v>0</v>
      </c>
      <c r="AB25" s="68">
        <v>0</v>
      </c>
      <c r="AC25" s="69">
        <v>0</v>
      </c>
      <c r="AD25" s="69">
        <v>0</v>
      </c>
      <c r="AE25" s="68">
        <v>0</v>
      </c>
      <c r="AF25" s="68">
        <v>0</v>
      </c>
      <c r="AG25" s="68">
        <v>0</v>
      </c>
      <c r="AH25" s="69">
        <v>253.62623329162602</v>
      </c>
      <c r="AI25" s="69">
        <v>526.05261937777209</v>
      </c>
      <c r="AJ25" s="69">
        <v>1431.838780275981</v>
      </c>
      <c r="AK25" s="69">
        <v>244.26034170786536</v>
      </c>
      <c r="AL25" s="69">
        <v>1622.0468699773151</v>
      </c>
      <c r="AM25" s="69">
        <v>1620.3654277165731</v>
      </c>
      <c r="AN25" s="69">
        <v>593.38348951339719</v>
      </c>
      <c r="AO25" s="69">
        <v>355.23687585194904</v>
      </c>
      <c r="AP25" s="69">
        <v>64.071085325876879</v>
      </c>
      <c r="AQ25" s="69">
        <v>728.29170675277715</v>
      </c>
    </row>
    <row r="26" spans="1:43" x14ac:dyDescent="0.25">
      <c r="A26" s="11">
        <v>42448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0</v>
      </c>
      <c r="J26" s="60">
        <v>0</v>
      </c>
      <c r="K26" s="60">
        <v>0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0</v>
      </c>
      <c r="V26" s="62">
        <v>0</v>
      </c>
      <c r="W26" s="62">
        <v>0</v>
      </c>
      <c r="X26" s="62">
        <v>0</v>
      </c>
      <c r="Y26" s="66">
        <v>0</v>
      </c>
      <c r="Z26" s="66">
        <v>0</v>
      </c>
      <c r="AA26" s="67">
        <v>0</v>
      </c>
      <c r="AB26" s="68">
        <v>0</v>
      </c>
      <c r="AC26" s="69">
        <v>0</v>
      </c>
      <c r="AD26" s="69">
        <v>0</v>
      </c>
      <c r="AE26" s="68">
        <v>0</v>
      </c>
      <c r="AF26" s="68">
        <v>0</v>
      </c>
      <c r="AG26" s="68">
        <v>0</v>
      </c>
      <c r="AH26" s="69">
        <v>257.32749501864117</v>
      </c>
      <c r="AI26" s="69">
        <v>531.52501200040172</v>
      </c>
      <c r="AJ26" s="69">
        <v>1423.2315661748255</v>
      </c>
      <c r="AK26" s="69">
        <v>248.93741448720297</v>
      </c>
      <c r="AL26" s="69">
        <v>1630.259546661377</v>
      </c>
      <c r="AM26" s="69">
        <v>1628.9432371139526</v>
      </c>
      <c r="AN26" s="69">
        <v>588.02986214955649</v>
      </c>
      <c r="AO26" s="69">
        <v>341.26559823354086</v>
      </c>
      <c r="AP26" s="69">
        <v>103.29518508911133</v>
      </c>
      <c r="AQ26" s="69">
        <v>690.36049273808817</v>
      </c>
    </row>
    <row r="27" spans="1:43" x14ac:dyDescent="0.25">
      <c r="A27" s="11">
        <v>42449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0</v>
      </c>
      <c r="J27" s="60">
        <v>0</v>
      </c>
      <c r="K27" s="60">
        <v>0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72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238.79060560862223</v>
      </c>
      <c r="AI27" s="69">
        <v>504.24744194348648</v>
      </c>
      <c r="AJ27" s="69">
        <v>1404.2656362533569</v>
      </c>
      <c r="AK27" s="69">
        <v>234.21642596721651</v>
      </c>
      <c r="AL27" s="69">
        <v>1575.7824193318686</v>
      </c>
      <c r="AM27" s="69">
        <v>1599.4367856343586</v>
      </c>
      <c r="AN27" s="69">
        <v>587.60761067072553</v>
      </c>
      <c r="AO27" s="69">
        <v>361.00367550849916</v>
      </c>
      <c r="AP27" s="69">
        <v>87.323939939339951</v>
      </c>
      <c r="AQ27" s="69">
        <v>685.15624434153244</v>
      </c>
    </row>
    <row r="28" spans="1:43" x14ac:dyDescent="0.25">
      <c r="A28" s="11">
        <v>42450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0</v>
      </c>
      <c r="J28" s="60">
        <v>0</v>
      </c>
      <c r="K28" s="60">
        <v>0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0</v>
      </c>
      <c r="V28" s="62">
        <v>0</v>
      </c>
      <c r="W28" s="62">
        <v>0</v>
      </c>
      <c r="X28" s="62">
        <v>0</v>
      </c>
      <c r="Y28" s="66">
        <v>0</v>
      </c>
      <c r="Z28" s="66">
        <v>0</v>
      </c>
      <c r="AA28" s="67">
        <v>0</v>
      </c>
      <c r="AB28" s="68">
        <v>0</v>
      </c>
      <c r="AC28" s="69">
        <v>0</v>
      </c>
      <c r="AD28" s="69">
        <v>0</v>
      </c>
      <c r="AE28" s="68">
        <v>0</v>
      </c>
      <c r="AF28" s="68">
        <v>0</v>
      </c>
      <c r="AG28" s="68">
        <v>0</v>
      </c>
      <c r="AH28" s="69">
        <v>191.59882359504698</v>
      </c>
      <c r="AI28" s="69">
        <v>433.79051968256636</v>
      </c>
      <c r="AJ28" s="69">
        <v>1323.5091159184774</v>
      </c>
      <c r="AK28" s="69">
        <v>197.75942943890888</v>
      </c>
      <c r="AL28" s="69">
        <v>1651.4852175394692</v>
      </c>
      <c r="AM28" s="69">
        <v>1563.860277938843</v>
      </c>
      <c r="AN28" s="69">
        <v>564.40409183502197</v>
      </c>
      <c r="AO28" s="69">
        <v>297.50692901611325</v>
      </c>
      <c r="AP28" s="69">
        <v>91.001730302969619</v>
      </c>
      <c r="AQ28" s="69">
        <v>832.97007884979246</v>
      </c>
    </row>
    <row r="29" spans="1:43" x14ac:dyDescent="0.25">
      <c r="A29" s="11">
        <v>42451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0</v>
      </c>
      <c r="J29" s="60">
        <v>0</v>
      </c>
      <c r="K29" s="60">
        <v>0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0</v>
      </c>
      <c r="V29" s="62">
        <v>0</v>
      </c>
      <c r="W29" s="62">
        <v>0</v>
      </c>
      <c r="X29" s="62">
        <v>0</v>
      </c>
      <c r="Y29" s="66">
        <v>0</v>
      </c>
      <c r="Z29" s="66">
        <v>0</v>
      </c>
      <c r="AA29" s="67">
        <v>0</v>
      </c>
      <c r="AB29" s="68">
        <v>0</v>
      </c>
      <c r="AC29" s="69">
        <v>0</v>
      </c>
      <c r="AD29" s="69">
        <v>0</v>
      </c>
      <c r="AE29" s="68">
        <v>0</v>
      </c>
      <c r="AF29" s="68">
        <v>0</v>
      </c>
      <c r="AG29" s="68">
        <v>0</v>
      </c>
      <c r="AH29" s="69">
        <v>176.56277623176575</v>
      </c>
      <c r="AI29" s="69">
        <v>396.75932860374456</v>
      </c>
      <c r="AJ29" s="69">
        <v>1321.2803515752155</v>
      </c>
      <c r="AK29" s="69">
        <v>184.74262062708533</v>
      </c>
      <c r="AL29" s="69">
        <v>1602.6747299194337</v>
      </c>
      <c r="AM29" s="69">
        <v>1515.8873098373413</v>
      </c>
      <c r="AN29" s="69">
        <v>574.77178233464565</v>
      </c>
      <c r="AO29" s="69">
        <v>262.0783234834671</v>
      </c>
      <c r="AP29" s="69">
        <v>60.51017769177755</v>
      </c>
      <c r="AQ29" s="69">
        <v>772.90170574188244</v>
      </c>
    </row>
    <row r="30" spans="1:43" x14ac:dyDescent="0.25">
      <c r="A30" s="11">
        <v>42452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0</v>
      </c>
      <c r="J30" s="60">
        <v>0</v>
      </c>
      <c r="K30" s="60">
        <v>0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0</v>
      </c>
      <c r="V30" s="62">
        <v>0</v>
      </c>
      <c r="W30" s="62">
        <v>0</v>
      </c>
      <c r="X30" s="62">
        <v>0</v>
      </c>
      <c r="Y30" s="66">
        <v>0</v>
      </c>
      <c r="Z30" s="66">
        <v>0</v>
      </c>
      <c r="AA30" s="67">
        <v>0</v>
      </c>
      <c r="AB30" s="68">
        <v>0</v>
      </c>
      <c r="AC30" s="69">
        <v>0</v>
      </c>
      <c r="AD30" s="69">
        <v>0</v>
      </c>
      <c r="AE30" s="68">
        <v>0</v>
      </c>
      <c r="AF30" s="68">
        <v>0</v>
      </c>
      <c r="AG30" s="68">
        <v>0</v>
      </c>
      <c r="AH30" s="69">
        <v>242.75648767948155</v>
      </c>
      <c r="AI30" s="69">
        <v>459.22973100344336</v>
      </c>
      <c r="AJ30" s="69">
        <v>1490.4213088989256</v>
      </c>
      <c r="AK30" s="69">
        <v>240.7144057035446</v>
      </c>
      <c r="AL30" s="69">
        <v>1481.5436864217122</v>
      </c>
      <c r="AM30" s="69">
        <v>1583.915787315369</v>
      </c>
      <c r="AN30" s="69">
        <v>562.01820316314695</v>
      </c>
      <c r="AO30" s="69">
        <v>319.89145177205404</v>
      </c>
      <c r="AP30" s="69">
        <v>64.912193719545996</v>
      </c>
      <c r="AQ30" s="69">
        <v>638.09837675094616</v>
      </c>
    </row>
    <row r="31" spans="1:43" x14ac:dyDescent="0.25">
      <c r="A31" s="11">
        <v>42453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0</v>
      </c>
      <c r="J31" s="60">
        <v>0</v>
      </c>
      <c r="K31" s="60">
        <v>0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0</v>
      </c>
      <c r="V31" s="62">
        <v>0</v>
      </c>
      <c r="W31" s="62">
        <v>0</v>
      </c>
      <c r="X31" s="62">
        <v>0</v>
      </c>
      <c r="Y31" s="66">
        <v>0</v>
      </c>
      <c r="Z31" s="66">
        <v>0</v>
      </c>
      <c r="AA31" s="67">
        <v>0</v>
      </c>
      <c r="AB31" s="68">
        <v>0</v>
      </c>
      <c r="AC31" s="69">
        <v>0</v>
      </c>
      <c r="AD31" s="69">
        <v>0</v>
      </c>
      <c r="AE31" s="68">
        <v>0</v>
      </c>
      <c r="AF31" s="68">
        <v>0</v>
      </c>
      <c r="AG31" s="68">
        <v>0</v>
      </c>
      <c r="AH31" s="69">
        <v>247.74319024880725</v>
      </c>
      <c r="AI31" s="69">
        <v>441.99698098500573</v>
      </c>
      <c r="AJ31" s="69">
        <v>1452.9992493311565</v>
      </c>
      <c r="AK31" s="69">
        <v>242.64531230131789</v>
      </c>
      <c r="AL31" s="69">
        <v>1408.7835773468016</v>
      </c>
      <c r="AM31" s="69">
        <v>1571.9682424545294</v>
      </c>
      <c r="AN31" s="69">
        <v>586.66545362472527</v>
      </c>
      <c r="AO31" s="69">
        <v>352.23707548777259</v>
      </c>
      <c r="AP31" s="69">
        <v>67.759872078895569</v>
      </c>
      <c r="AQ31" s="69">
        <v>663.74840405782061</v>
      </c>
    </row>
    <row r="32" spans="1:43" x14ac:dyDescent="0.25">
      <c r="A32" s="11">
        <v>42454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0</v>
      </c>
      <c r="J32" s="60">
        <v>0</v>
      </c>
      <c r="K32" s="60">
        <v>0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0</v>
      </c>
      <c r="V32" s="62">
        <v>0</v>
      </c>
      <c r="W32" s="62">
        <v>0</v>
      </c>
      <c r="X32" s="62">
        <v>0</v>
      </c>
      <c r="Y32" s="66">
        <v>0</v>
      </c>
      <c r="Z32" s="66">
        <v>0</v>
      </c>
      <c r="AA32" s="67">
        <v>0</v>
      </c>
      <c r="AB32" s="68">
        <v>0</v>
      </c>
      <c r="AC32" s="69">
        <v>0</v>
      </c>
      <c r="AD32" s="69">
        <v>0</v>
      </c>
      <c r="AE32" s="68">
        <v>0</v>
      </c>
      <c r="AF32" s="68">
        <v>0</v>
      </c>
      <c r="AG32" s="68">
        <v>0</v>
      </c>
      <c r="AH32" s="69">
        <v>228.84459813435873</v>
      </c>
      <c r="AI32" s="69">
        <v>436.27296756108603</v>
      </c>
      <c r="AJ32" s="69">
        <v>1424.7131142934163</v>
      </c>
      <c r="AK32" s="69">
        <v>223.13531630039213</v>
      </c>
      <c r="AL32" s="69">
        <v>1410.0409101486209</v>
      </c>
      <c r="AM32" s="69">
        <v>1530.6291037877402</v>
      </c>
      <c r="AN32" s="69">
        <v>555.64914474487296</v>
      </c>
      <c r="AO32" s="69">
        <v>321.44242858886719</v>
      </c>
      <c r="AP32" s="69">
        <v>66.028438921769464</v>
      </c>
      <c r="AQ32" s="69">
        <v>628.44248978296912</v>
      </c>
    </row>
    <row r="33" spans="1:43" x14ac:dyDescent="0.25">
      <c r="A33" s="11">
        <v>42455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0</v>
      </c>
      <c r="J33" s="60">
        <v>0</v>
      </c>
      <c r="K33" s="60">
        <v>0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0</v>
      </c>
      <c r="V33" s="62">
        <v>0</v>
      </c>
      <c r="W33" s="62">
        <v>0</v>
      </c>
      <c r="X33" s="62">
        <v>0</v>
      </c>
      <c r="Y33" s="66">
        <v>0</v>
      </c>
      <c r="Z33" s="66">
        <v>0</v>
      </c>
      <c r="AA33" s="67">
        <v>0</v>
      </c>
      <c r="AB33" s="68">
        <v>0</v>
      </c>
      <c r="AC33" s="69">
        <v>0</v>
      </c>
      <c r="AD33" s="69">
        <v>0</v>
      </c>
      <c r="AE33" s="68">
        <v>0</v>
      </c>
      <c r="AF33" s="68">
        <v>0</v>
      </c>
      <c r="AG33" s="68">
        <v>0</v>
      </c>
      <c r="AH33" s="69">
        <v>249.91923454602562</v>
      </c>
      <c r="AI33" s="69">
        <v>519.25168250401828</v>
      </c>
      <c r="AJ33" s="69">
        <v>1396.5394192377723</v>
      </c>
      <c r="AK33" s="69">
        <v>246.89424871603649</v>
      </c>
      <c r="AL33" s="69">
        <v>1499.0814881642661</v>
      </c>
      <c r="AM33" s="69">
        <v>1512.2726388295489</v>
      </c>
      <c r="AN33" s="69">
        <v>570.83273547490455</v>
      </c>
      <c r="AO33" s="69">
        <v>353.2989809513092</v>
      </c>
      <c r="AP33" s="69">
        <v>105.11521199544271</v>
      </c>
      <c r="AQ33" s="69">
        <v>605.1425661404927</v>
      </c>
    </row>
    <row r="34" spans="1:43" x14ac:dyDescent="0.25">
      <c r="A34" s="11">
        <v>42456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0</v>
      </c>
      <c r="J34" s="60">
        <v>0</v>
      </c>
      <c r="K34" s="60">
        <v>0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0</v>
      </c>
      <c r="V34" s="62">
        <v>0</v>
      </c>
      <c r="W34" s="62">
        <v>0</v>
      </c>
      <c r="X34" s="62">
        <v>0</v>
      </c>
      <c r="Y34" s="66">
        <v>0</v>
      </c>
      <c r="Z34" s="66">
        <v>0</v>
      </c>
      <c r="AA34" s="67">
        <v>0</v>
      </c>
      <c r="AB34" s="68">
        <v>0</v>
      </c>
      <c r="AC34" s="69">
        <v>0</v>
      </c>
      <c r="AD34" s="69">
        <v>0</v>
      </c>
      <c r="AE34" s="68">
        <v>0</v>
      </c>
      <c r="AF34" s="68">
        <v>0</v>
      </c>
      <c r="AG34" s="68">
        <v>0</v>
      </c>
      <c r="AH34" s="69">
        <v>244.72310628890989</v>
      </c>
      <c r="AI34" s="69">
        <v>515.70800323486333</v>
      </c>
      <c r="AJ34" s="69">
        <v>1388.1831733703616</v>
      </c>
      <c r="AK34" s="69">
        <v>238.30114488601683</v>
      </c>
      <c r="AL34" s="69">
        <v>1435.4579430898034</v>
      </c>
      <c r="AM34" s="69">
        <v>1487.5444152832033</v>
      </c>
      <c r="AN34" s="69">
        <v>576.66102755864461</v>
      </c>
      <c r="AO34" s="69">
        <v>360.27515543301899</v>
      </c>
      <c r="AP34" s="69">
        <v>114.56350708007812</v>
      </c>
      <c r="AQ34" s="69">
        <v>629.76628561019891</v>
      </c>
    </row>
    <row r="35" spans="1:43" x14ac:dyDescent="0.25">
      <c r="A35" s="11">
        <v>42457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0</v>
      </c>
      <c r="J35" s="60">
        <v>0</v>
      </c>
      <c r="K35" s="60">
        <v>0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0</v>
      </c>
      <c r="V35" s="62">
        <v>0</v>
      </c>
      <c r="W35" s="62">
        <v>0</v>
      </c>
      <c r="X35" s="62">
        <v>0</v>
      </c>
      <c r="Y35" s="66">
        <v>0</v>
      </c>
      <c r="Z35" s="66">
        <v>0</v>
      </c>
      <c r="AA35" s="67">
        <v>0</v>
      </c>
      <c r="AB35" s="68">
        <v>0</v>
      </c>
      <c r="AC35" s="69">
        <v>0</v>
      </c>
      <c r="AD35" s="69">
        <v>0</v>
      </c>
      <c r="AE35" s="68">
        <v>0</v>
      </c>
      <c r="AF35" s="68">
        <v>0</v>
      </c>
      <c r="AG35" s="68">
        <v>0</v>
      </c>
      <c r="AH35" s="69">
        <v>207.10040580431618</v>
      </c>
      <c r="AI35" s="69">
        <v>451.40723466873163</v>
      </c>
      <c r="AJ35" s="69">
        <v>1418.0742356618246</v>
      </c>
      <c r="AK35" s="69">
        <v>215.55109211603798</v>
      </c>
      <c r="AL35" s="69">
        <v>1356.0338024775187</v>
      </c>
      <c r="AM35" s="69">
        <v>1481.4190799077353</v>
      </c>
      <c r="AN35" s="69">
        <v>558.15497646331789</v>
      </c>
      <c r="AO35" s="69">
        <v>322.97346159617103</v>
      </c>
      <c r="AP35" s="69">
        <v>92.469014294942227</v>
      </c>
      <c r="AQ35" s="69">
        <v>692.78744564056387</v>
      </c>
    </row>
    <row r="36" spans="1:43" x14ac:dyDescent="0.25">
      <c r="A36" s="11">
        <v>42458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0</v>
      </c>
      <c r="J36" s="60">
        <v>0</v>
      </c>
      <c r="K36" s="60">
        <v>0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0</v>
      </c>
      <c r="V36" s="62">
        <v>0</v>
      </c>
      <c r="W36" s="62">
        <v>0</v>
      </c>
      <c r="X36" s="62">
        <v>0</v>
      </c>
      <c r="Y36" s="66">
        <v>0</v>
      </c>
      <c r="Z36" s="66">
        <v>0</v>
      </c>
      <c r="AA36" s="67">
        <v>0</v>
      </c>
      <c r="AB36" s="68">
        <v>0</v>
      </c>
      <c r="AC36" s="69">
        <v>0</v>
      </c>
      <c r="AD36" s="69">
        <v>0</v>
      </c>
      <c r="AE36" s="68">
        <v>0</v>
      </c>
      <c r="AF36" s="68">
        <v>0</v>
      </c>
      <c r="AG36" s="68">
        <v>0</v>
      </c>
      <c r="AH36" s="69">
        <v>197.82149279117581</v>
      </c>
      <c r="AI36" s="69">
        <v>430.26711602211003</v>
      </c>
      <c r="AJ36" s="69">
        <v>1363.0006273269653</v>
      </c>
      <c r="AK36" s="69">
        <v>199.6106319506963</v>
      </c>
      <c r="AL36" s="69">
        <v>1313.8236469268797</v>
      </c>
      <c r="AM36" s="69">
        <v>1452.1546667734783</v>
      </c>
      <c r="AN36" s="69">
        <v>547.59738785425827</v>
      </c>
      <c r="AO36" s="69">
        <v>315.08377923965446</v>
      </c>
      <c r="AP36" s="69">
        <v>62.914043426513672</v>
      </c>
      <c r="AQ36" s="69">
        <v>636.33069540659596</v>
      </c>
    </row>
    <row r="37" spans="1:43" x14ac:dyDescent="0.25">
      <c r="A37" s="11">
        <v>42459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0</v>
      </c>
      <c r="J37" s="60">
        <v>0</v>
      </c>
      <c r="K37" s="60">
        <v>0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0</v>
      </c>
      <c r="V37" s="62">
        <v>0</v>
      </c>
      <c r="W37" s="62">
        <v>0</v>
      </c>
      <c r="X37" s="62">
        <v>0</v>
      </c>
      <c r="Y37" s="66">
        <v>0</v>
      </c>
      <c r="Z37" s="66">
        <v>0</v>
      </c>
      <c r="AA37" s="67">
        <v>0</v>
      </c>
      <c r="AB37" s="68">
        <v>0</v>
      </c>
      <c r="AC37" s="69">
        <v>0</v>
      </c>
      <c r="AD37" s="69">
        <v>0</v>
      </c>
      <c r="AE37" s="68">
        <v>0</v>
      </c>
      <c r="AF37" s="68">
        <v>0</v>
      </c>
      <c r="AG37" s="68">
        <v>0</v>
      </c>
      <c r="AH37" s="69">
        <v>225.05200211207068</v>
      </c>
      <c r="AI37" s="69">
        <v>469.34944653511053</v>
      </c>
      <c r="AJ37" s="69">
        <v>1410.3465565363565</v>
      </c>
      <c r="AK37" s="69">
        <v>220.16545414924624</v>
      </c>
      <c r="AL37" s="69">
        <v>1410.3142721811932</v>
      </c>
      <c r="AM37" s="69">
        <v>1490.3745851516724</v>
      </c>
      <c r="AN37" s="69">
        <v>549.90481074651086</v>
      </c>
      <c r="AO37" s="69">
        <v>367.38706458409627</v>
      </c>
      <c r="AP37" s="69">
        <v>63.170557085673018</v>
      </c>
      <c r="AQ37" s="69">
        <v>632.26255633036294</v>
      </c>
    </row>
    <row r="38" spans="1:43" ht="15.75" thickBot="1" x14ac:dyDescent="0.3">
      <c r="A38" s="11">
        <v>42460</v>
      </c>
      <c r="B38" s="73"/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5">
        <v>0</v>
      </c>
      <c r="I38" s="76">
        <v>0</v>
      </c>
      <c r="J38" s="74">
        <v>0</v>
      </c>
      <c r="K38" s="74">
        <v>0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0</v>
      </c>
      <c r="V38" s="80">
        <v>0</v>
      </c>
      <c r="W38" s="81">
        <v>0</v>
      </c>
      <c r="X38" s="81">
        <v>0</v>
      </c>
      <c r="Y38" s="80">
        <v>0</v>
      </c>
      <c r="Z38" s="80">
        <v>0</v>
      </c>
      <c r="AA38" s="82">
        <v>0</v>
      </c>
      <c r="AB38" s="83">
        <v>0</v>
      </c>
      <c r="AC38" s="84">
        <v>0</v>
      </c>
      <c r="AD38" s="85">
        <v>0</v>
      </c>
      <c r="AE38" s="83">
        <v>0</v>
      </c>
      <c r="AF38" s="83">
        <v>0</v>
      </c>
      <c r="AG38" s="83">
        <v>0</v>
      </c>
      <c r="AH38" s="84">
        <v>250.8198047876358</v>
      </c>
      <c r="AI38" s="84">
        <v>522.02084581057227</v>
      </c>
      <c r="AJ38" s="84">
        <v>1460.6389984130856</v>
      </c>
      <c r="AK38" s="84">
        <v>243.53198959032699</v>
      </c>
      <c r="AL38" s="84">
        <v>1467.3685144424439</v>
      </c>
      <c r="AM38" s="84">
        <v>1546.8401610056562</v>
      </c>
      <c r="AN38" s="84">
        <v>567.32626333236692</v>
      </c>
      <c r="AO38" s="84">
        <v>350.74521725972494</v>
      </c>
      <c r="AP38" s="84">
        <v>66.019425865014398</v>
      </c>
      <c r="AQ38" s="84">
        <v>682.49849621454882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0</v>
      </c>
      <c r="J39" s="30">
        <f t="shared" si="0"/>
        <v>0</v>
      </c>
      <c r="K39" s="30">
        <f t="shared" si="0"/>
        <v>0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0</v>
      </c>
      <c r="V39" s="262">
        <f t="shared" si="0"/>
        <v>0</v>
      </c>
      <c r="W39" s="262">
        <f t="shared" si="0"/>
        <v>0</v>
      </c>
      <c r="X39" s="262">
        <f t="shared" si="0"/>
        <v>0</v>
      </c>
      <c r="Y39" s="262">
        <f t="shared" si="0"/>
        <v>0</v>
      </c>
      <c r="Z39" s="262">
        <f t="shared" si="0"/>
        <v>0</v>
      </c>
      <c r="AA39" s="270">
        <f t="shared" si="0"/>
        <v>0</v>
      </c>
      <c r="AB39" s="273">
        <f t="shared" si="0"/>
        <v>0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159</v>
      </c>
      <c r="AH39" s="273">
        <f t="shared" ref="AH39:AQ39" si="1">SUM(AH8:AH38)</f>
        <v>6684.9818391640983</v>
      </c>
      <c r="AI39" s="273">
        <f t="shared" si="1"/>
        <v>14428.814167849223</v>
      </c>
      <c r="AJ39" s="273">
        <f t="shared" si="1"/>
        <v>42510.489225260419</v>
      </c>
      <c r="AK39" s="273">
        <f t="shared" si="1"/>
        <v>6670.9848607778558</v>
      </c>
      <c r="AL39" s="273">
        <f t="shared" si="1"/>
        <v>46759.797603352876</v>
      </c>
      <c r="AM39" s="273">
        <f t="shared" si="1"/>
        <v>46827.283725611363</v>
      </c>
      <c r="AN39" s="273">
        <f t="shared" si="1"/>
        <v>16403.111899741496</v>
      </c>
      <c r="AO39" s="273">
        <f t="shared" si="1"/>
        <v>9936.69404451847</v>
      </c>
      <c r="AP39" s="273">
        <f t="shared" si="1"/>
        <v>1964.2971949040889</v>
      </c>
      <c r="AQ39" s="273">
        <f t="shared" si="1"/>
        <v>20908.129937267306</v>
      </c>
    </row>
    <row r="40" spans="1:43" ht="15.75" thickBot="1" x14ac:dyDescent="0.3">
      <c r="A40" s="47" t="s">
        <v>174</v>
      </c>
      <c r="B40" s="32">
        <f>Projection!$AA$30</f>
        <v>0.80583665399999982</v>
      </c>
      <c r="C40" s="33">
        <f>Projection!$AA$28</f>
        <v>1.3221902399999999</v>
      </c>
      <c r="D40" s="33">
        <f>Projection!$AA$31</f>
        <v>2.1962556000000002</v>
      </c>
      <c r="E40" s="33">
        <f>Projection!$AA$26</f>
        <v>4.3368000000000002</v>
      </c>
      <c r="F40" s="33">
        <f>Projection!$AA$23</f>
        <v>0</v>
      </c>
      <c r="G40" s="33">
        <f>Projection!$AA$24</f>
        <v>5.2499999999999998E-2</v>
      </c>
      <c r="H40" s="34">
        <f>Projection!$AA$29</f>
        <v>3.6159737999999999</v>
      </c>
      <c r="I40" s="32">
        <f>Projection!$AA$30</f>
        <v>0.80583665399999982</v>
      </c>
      <c r="J40" s="33">
        <f>Projection!$AA$28</f>
        <v>1.3221902399999999</v>
      </c>
      <c r="K40" s="33">
        <f>Projection!$AA$26</f>
        <v>4.3368000000000002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65">
        <f>Projection!$AA$28</f>
        <v>1.3221902399999999</v>
      </c>
      <c r="T40" s="266">
        <f>Projection!$AA$28</f>
        <v>1.3221902399999999</v>
      </c>
      <c r="U40" s="264">
        <f>Projection!$AA$27</f>
        <v>0.25650000000000001</v>
      </c>
      <c r="V40" s="265">
        <f>Projection!$AA$27</f>
        <v>0.25650000000000001</v>
      </c>
      <c r="W40" s="265">
        <f>Projection!$AA$22</f>
        <v>1.625</v>
      </c>
      <c r="X40" s="265">
        <f>Projection!$AA$22</f>
        <v>1.625</v>
      </c>
      <c r="Y40" s="265">
        <f>Projection!$AA$31</f>
        <v>2.1962556000000002</v>
      </c>
      <c r="Z40" s="265">
        <f>Projection!$AA$31</f>
        <v>2.1962556000000002</v>
      </c>
      <c r="AA40" s="271">
        <v>0</v>
      </c>
      <c r="AB40" s="274">
        <f>Projection!$AA$27</f>
        <v>0.25650000000000001</v>
      </c>
      <c r="AC40" s="274">
        <f>Projection!$AA$30</f>
        <v>0.80583665399999982</v>
      </c>
      <c r="AD40" s="277">
        <f>SUM(AD8:AD38)</f>
        <v>0</v>
      </c>
      <c r="AE40" s="277">
        <f>SUM(AE8:AE38)</f>
        <v>0</v>
      </c>
      <c r="AF40" s="277">
        <f>SUM(AF8:AF38)</f>
        <v>0</v>
      </c>
      <c r="AG40" s="277">
        <v>0</v>
      </c>
      <c r="AH40" s="313">
        <v>6.8000000000000005E-2</v>
      </c>
      <c r="AI40" s="313">
        <f t="shared" ref="AI40:AQ40" si="2">$AH$40</f>
        <v>6.8000000000000005E-2</v>
      </c>
      <c r="AJ40" s="313">
        <f t="shared" si="2"/>
        <v>6.8000000000000005E-2</v>
      </c>
      <c r="AK40" s="313">
        <f t="shared" si="2"/>
        <v>6.8000000000000005E-2</v>
      </c>
      <c r="AL40" s="313">
        <f t="shared" si="2"/>
        <v>6.8000000000000005E-2</v>
      </c>
      <c r="AM40" s="313">
        <f t="shared" si="2"/>
        <v>6.8000000000000005E-2</v>
      </c>
      <c r="AN40" s="313">
        <f t="shared" si="2"/>
        <v>6.8000000000000005E-2</v>
      </c>
      <c r="AO40" s="313">
        <f t="shared" si="2"/>
        <v>6.8000000000000005E-2</v>
      </c>
      <c r="AP40" s="313">
        <f t="shared" si="2"/>
        <v>6.8000000000000005E-2</v>
      </c>
      <c r="AQ40" s="313">
        <f t="shared" si="2"/>
        <v>6.8000000000000005E-2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0</v>
      </c>
      <c r="J41" s="36">
        <f t="shared" si="3"/>
        <v>0</v>
      </c>
      <c r="K41" s="36">
        <f t="shared" si="3"/>
        <v>0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0</v>
      </c>
      <c r="V41" s="268">
        <f t="shared" si="3"/>
        <v>0</v>
      </c>
      <c r="W41" s="268">
        <f t="shared" si="3"/>
        <v>0</v>
      </c>
      <c r="X41" s="268">
        <f t="shared" si="3"/>
        <v>0</v>
      </c>
      <c r="Y41" s="268">
        <f t="shared" si="3"/>
        <v>0</v>
      </c>
      <c r="Z41" s="268">
        <f t="shared" si="3"/>
        <v>0</v>
      </c>
      <c r="AA41" s="272">
        <f t="shared" si="3"/>
        <v>0</v>
      </c>
      <c r="AB41" s="275">
        <f t="shared" si="3"/>
        <v>0</v>
      </c>
      <c r="AC41" s="275">
        <f t="shared" si="3"/>
        <v>0</v>
      </c>
      <c r="AH41" s="278">
        <f t="shared" ref="AH41:AQ41" si="4">AH40*AH39</f>
        <v>454.5787650631587</v>
      </c>
      <c r="AI41" s="278">
        <f t="shared" si="4"/>
        <v>981.1593634137472</v>
      </c>
      <c r="AJ41" s="278">
        <f t="shared" si="4"/>
        <v>2890.7132673177089</v>
      </c>
      <c r="AK41" s="278">
        <f t="shared" si="4"/>
        <v>453.62697053289423</v>
      </c>
      <c r="AL41" s="278">
        <f t="shared" si="4"/>
        <v>3179.666237027996</v>
      </c>
      <c r="AM41" s="278">
        <f t="shared" si="4"/>
        <v>3184.2552933415727</v>
      </c>
      <c r="AN41" s="278">
        <f t="shared" si="4"/>
        <v>1115.4116091824219</v>
      </c>
      <c r="AO41" s="278">
        <f t="shared" si="4"/>
        <v>675.69519502725598</v>
      </c>
      <c r="AP41" s="278">
        <f t="shared" si="4"/>
        <v>133.57220925347806</v>
      </c>
      <c r="AQ41" s="278">
        <f t="shared" si="4"/>
        <v>1421.7528357341769</v>
      </c>
    </row>
    <row r="42" spans="1:43" ht="49.5" customHeight="1" thickTop="1" thickBot="1" x14ac:dyDescent="0.3">
      <c r="A42" s="576" t="s">
        <v>225</v>
      </c>
      <c r="B42" s="577"/>
      <c r="C42" s="577"/>
      <c r="D42" s="577"/>
      <c r="E42" s="577"/>
      <c r="F42" s="577"/>
      <c r="G42" s="577"/>
      <c r="H42" s="577"/>
      <c r="I42" s="577"/>
      <c r="J42" s="577"/>
      <c r="K42" s="57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6" t="s">
        <v>186</v>
      </c>
      <c r="AH42" s="295">
        <v>769.78</v>
      </c>
      <c r="AI42" s="278" t="s">
        <v>199</v>
      </c>
      <c r="AJ42" s="278">
        <v>1491.5</v>
      </c>
      <c r="AK42" s="278">
        <v>133.85</v>
      </c>
      <c r="AL42" s="278">
        <v>843.29</v>
      </c>
      <c r="AM42" s="278">
        <v>3259.45</v>
      </c>
      <c r="AN42" s="278">
        <v>966.67</v>
      </c>
      <c r="AO42" s="278" t="s">
        <v>199</v>
      </c>
      <c r="AP42" s="278">
        <v>151.41</v>
      </c>
      <c r="AQ42" s="278">
        <v>434.24</v>
      </c>
    </row>
    <row r="43" spans="1:43" ht="38.25" customHeight="1" thickTop="1" thickBot="1" x14ac:dyDescent="0.3">
      <c r="A43" s="608" t="s">
        <v>49</v>
      </c>
      <c r="B43" s="605"/>
      <c r="C43" s="289"/>
      <c r="D43" s="605" t="s">
        <v>47</v>
      </c>
      <c r="E43" s="605"/>
      <c r="F43" s="289"/>
      <c r="G43" s="605" t="s">
        <v>48</v>
      </c>
      <c r="H43" s="605"/>
      <c r="I43" s="290"/>
      <c r="J43" s="605" t="s">
        <v>50</v>
      </c>
      <c r="K43" s="578"/>
      <c r="L43" s="44"/>
      <c r="M43" s="44"/>
      <c r="N43" s="44"/>
      <c r="O43" s="45"/>
      <c r="P43" s="45"/>
      <c r="Q43" s="45"/>
      <c r="R43" s="568" t="s">
        <v>168</v>
      </c>
      <c r="S43" s="569"/>
      <c r="T43" s="569"/>
      <c r="U43" s="570"/>
      <c r="AC43" s="45"/>
    </row>
    <row r="44" spans="1:43" ht="24.75" thickTop="1" thickBot="1" x14ac:dyDescent="0.3">
      <c r="A44" s="282" t="s">
        <v>135</v>
      </c>
      <c r="B44" s="283">
        <f>SUM(B41:AC41)</f>
        <v>0</v>
      </c>
      <c r="C44" s="12"/>
      <c r="D44" s="282" t="s">
        <v>135</v>
      </c>
      <c r="E44" s="283">
        <f>SUM(B41:H41)+P41+R41+T41+V41+X41+Z41</f>
        <v>0</v>
      </c>
      <c r="F44" s="12"/>
      <c r="G44" s="282" t="s">
        <v>135</v>
      </c>
      <c r="H44" s="283">
        <f>SUM(I41:N41)+O41+Q41+S41+U41+W41+Y41</f>
        <v>0</v>
      </c>
      <c r="I44" s="12"/>
      <c r="J44" s="282" t="s">
        <v>200</v>
      </c>
      <c r="K44" s="283">
        <v>120546.43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3" ht="24" thickBot="1" x14ac:dyDescent="0.4">
      <c r="A45" s="284" t="s">
        <v>185</v>
      </c>
      <c r="B45" s="285">
        <f>SUM(AH41:AQ41)</f>
        <v>14490.43174589441</v>
      </c>
      <c r="C45" s="12"/>
      <c r="D45" s="284" t="s">
        <v>185</v>
      </c>
      <c r="E45" s="285">
        <f>AH41*(1-$AG$40)+AI41+AJ41*0.5+AL41+AM41*(1-$AG$40)+AN41*(1-$AG$40)+AO41*(1-$AG$40)+AP41*0.5+AQ41*0.5</f>
        <v>11813.785619208835</v>
      </c>
      <c r="F45" s="24"/>
      <c r="G45" s="284" t="s">
        <v>185</v>
      </c>
      <c r="H45" s="285">
        <f>AH41*AG40+AJ41*0.5+AK41+AM41*AG40+AN41*AG40+AO41*AG40+AP41*0.5+AQ41*0.5</f>
        <v>2676.6461266855763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0</v>
      </c>
      <c r="U45" s="256">
        <f>(T45*8.34*0.895)/27000</f>
        <v>0</v>
      </c>
    </row>
    <row r="46" spans="1:43" ht="32.25" thickBot="1" x14ac:dyDescent="0.3">
      <c r="A46" s="286" t="s">
        <v>186</v>
      </c>
      <c r="B46" s="287">
        <f>SUM(AH42:AQ42)</f>
        <v>8050.1899999999987</v>
      </c>
      <c r="C46" s="12"/>
      <c r="D46" s="286" t="s">
        <v>186</v>
      </c>
      <c r="E46" s="287">
        <f>AH42*(1-$AG$40)+AJ42*0.5+AL42+AM42*(1-$AG$40)+AN42*(1-$AG$40)+AP42*0.5+AQ42*0.5</f>
        <v>6877.7649999999994</v>
      </c>
      <c r="F46" s="23"/>
      <c r="G46" s="286" t="s">
        <v>186</v>
      </c>
      <c r="H46" s="287">
        <f>AH42*AG40+AJ42*0.5+AK42+AM42*AG40+AN42*AG40+AP42*0.5+AQ42*0.5</f>
        <v>1172.4250000000002</v>
      </c>
      <c r="I46" s="12"/>
      <c r="J46" s="606" t="s">
        <v>201</v>
      </c>
      <c r="K46" s="607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3" ht="24.75" thickTop="1" thickBot="1" x14ac:dyDescent="0.4">
      <c r="A47" s="286" t="s">
        <v>187</v>
      </c>
      <c r="B47" s="287">
        <f>K44</f>
        <v>120546.43</v>
      </c>
      <c r="C47" s="12"/>
      <c r="D47" s="286" t="s">
        <v>189</v>
      </c>
      <c r="E47" s="287">
        <f>K44*0.5</f>
        <v>60273.214999999997</v>
      </c>
      <c r="F47" s="24"/>
      <c r="G47" s="286" t="s">
        <v>187</v>
      </c>
      <c r="H47" s="287">
        <f>K44*0.5</f>
        <v>60273.214999999997</v>
      </c>
      <c r="I47" s="12"/>
      <c r="J47" s="282" t="s">
        <v>200</v>
      </c>
      <c r="K47" s="283">
        <v>61548.24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0</v>
      </c>
      <c r="U47" s="256">
        <f>T47/40000</f>
        <v>0</v>
      </c>
    </row>
    <row r="48" spans="1:43" ht="24" thickBot="1" x14ac:dyDescent="0.3">
      <c r="A48" s="286" t="s">
        <v>188</v>
      </c>
      <c r="B48" s="287">
        <f>K47</f>
        <v>61548.24</v>
      </c>
      <c r="C48" s="12"/>
      <c r="D48" s="286" t="s">
        <v>188</v>
      </c>
      <c r="E48" s="287">
        <f>K47*0.5</f>
        <v>30774.12</v>
      </c>
      <c r="F48" s="23"/>
      <c r="G48" s="286" t="s">
        <v>188</v>
      </c>
      <c r="H48" s="287">
        <f>K47*0.5</f>
        <v>30774.12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196</v>
      </c>
      <c r="B49" s="292">
        <f>AD40</f>
        <v>0</v>
      </c>
      <c r="C49" s="12"/>
      <c r="D49" s="291" t="s">
        <v>197</v>
      </c>
      <c r="E49" s="292">
        <f>AF40</f>
        <v>0</v>
      </c>
      <c r="F49" s="23"/>
      <c r="G49" s="291" t="s">
        <v>198</v>
      </c>
      <c r="H49" s="292">
        <f>AE40</f>
        <v>0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0</v>
      </c>
      <c r="U49" s="256">
        <f>(T49*8.34*1.04)/45000</f>
        <v>0</v>
      </c>
    </row>
    <row r="50" spans="1:25" ht="48" thickTop="1" thickBot="1" x14ac:dyDescent="0.3">
      <c r="A50" s="291" t="s">
        <v>192</v>
      </c>
      <c r="B50" s="293" t="e">
        <f>(SUM(B44:B48)/AD40)</f>
        <v>#DIV/0!</v>
      </c>
      <c r="C50" s="12"/>
      <c r="D50" s="291" t="s">
        <v>190</v>
      </c>
      <c r="E50" s="293" t="e">
        <f>SUM(E44:E48)/AF40</f>
        <v>#DIV/0!</v>
      </c>
      <c r="F50" s="23"/>
      <c r="G50" s="291" t="s">
        <v>191</v>
      </c>
      <c r="H50" s="293" t="e">
        <f>SUM(H44:H48)/AE40</f>
        <v>#DIV/0!</v>
      </c>
      <c r="I50" s="12"/>
      <c r="J50" s="12"/>
      <c r="K50" s="86"/>
      <c r="L50" s="12"/>
      <c r="M50" s="12"/>
      <c r="N50" s="12"/>
      <c r="O50" s="12"/>
      <c r="P50" s="12"/>
      <c r="Q50" s="12"/>
      <c r="R50" s="318" t="s">
        <v>153</v>
      </c>
      <c r="S50" s="319"/>
      <c r="T50" s="254">
        <f>$U$39+$V$39+$AB$39</f>
        <v>0</v>
      </c>
      <c r="U50" s="256">
        <f>T50/2000/8</f>
        <v>0</v>
      </c>
    </row>
    <row r="51" spans="1:25" ht="47.25" customHeight="1" thickTop="1" thickBot="1" x14ac:dyDescent="0.3">
      <c r="A51" s="281" t="s">
        <v>193</v>
      </c>
      <c r="B51" s="294" t="e">
        <f>B50/1000</f>
        <v>#DIV/0!</v>
      </c>
      <c r="C51" s="12"/>
      <c r="D51" s="281" t="s">
        <v>194</v>
      </c>
      <c r="E51" s="294" t="e">
        <f>E50/1000</f>
        <v>#DIV/0!</v>
      </c>
      <c r="F51" s="12"/>
      <c r="G51" s="281" t="s">
        <v>195</v>
      </c>
      <c r="H51" s="294" t="e">
        <f>H50/1000</f>
        <v>#DIV/0!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154</v>
      </c>
      <c r="S51" s="319"/>
      <c r="T51" s="254">
        <f>$C$39+$J$39+$S$39+$T$39</f>
        <v>0</v>
      </c>
      <c r="U51" s="256">
        <f>(T51*8.34*1.4)/45000</f>
        <v>0</v>
      </c>
    </row>
    <row r="52" spans="1:25" ht="16.5" thickTop="1" thickBot="1" x14ac:dyDescent="0.3">
      <c r="A52" s="303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155</v>
      </c>
      <c r="S52" s="319"/>
      <c r="T52" s="254">
        <f>$H$39</f>
        <v>0</v>
      </c>
      <c r="U52" s="256">
        <f>(T52*8.34*1.135)/45000</f>
        <v>0</v>
      </c>
    </row>
    <row r="53" spans="1:25" ht="48" customHeight="1" thickTop="1" thickBot="1" x14ac:dyDescent="0.3">
      <c r="A53" s="571" t="s">
        <v>51</v>
      </c>
      <c r="B53" s="572"/>
      <c r="C53" s="572"/>
      <c r="D53" s="572"/>
      <c r="E53" s="573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156</v>
      </c>
      <c r="S53" s="319"/>
      <c r="T53" s="254">
        <f>$B$39+$I$39+$AC$39</f>
        <v>0</v>
      </c>
      <c r="U53" s="256">
        <f>(T53*8.34*1.029*0.03)/3300</f>
        <v>0</v>
      </c>
    </row>
    <row r="54" spans="1:25" ht="45.75" customHeight="1" thickBot="1" x14ac:dyDescent="0.3">
      <c r="A54" s="602" t="s">
        <v>202</v>
      </c>
      <c r="B54" s="603"/>
      <c r="C54" s="603"/>
      <c r="D54" s="603"/>
      <c r="E54" s="60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65" t="s">
        <v>158</v>
      </c>
      <c r="S54" s="566"/>
      <c r="T54" s="258">
        <f>$D$39+$Y$39+$Z$39</f>
        <v>0</v>
      </c>
      <c r="U54" s="259">
        <f>(T54*1.54*8.34)/45000</f>
        <v>0</v>
      </c>
    </row>
    <row r="55" spans="1:25" ht="24" thickTop="1" x14ac:dyDescent="0.25">
      <c r="A55" s="611"/>
      <c r="B55" s="6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5.75" customHeight="1" x14ac:dyDescent="0.25">
      <c r="A56" s="613"/>
      <c r="B56" s="613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09"/>
      <c r="B57" s="61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10"/>
      <c r="B58" s="61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09"/>
      <c r="B59" s="61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10"/>
      <c r="B60" s="610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BjyZQ7R3wKIpxYOVw6o46+hGq/3JKHqsDJP9ppqea0sc2yEfxTEiZtWtCNRMLWJQeUR1i2ZkTumUEElj5cVRLw==" saltValue="HTWhELXS1DK7o3A3aVdOwA==" spinCount="100000" sheet="1" objects="1" scenarios="1" selectLockedCells="1" selectUnlockedCells="1"/>
  <mergeCells count="34"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5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3"/>
  <sheetViews>
    <sheetView topLeftCell="I47" zoomScale="80" zoomScaleNormal="80" workbookViewId="0">
      <selection activeCell="L47" sqref="L47"/>
    </sheetView>
  </sheetViews>
  <sheetFormatPr defaultRowHeight="15" x14ac:dyDescent="0.25"/>
  <cols>
    <col min="1" max="1" width="35" bestFit="1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20" width="25.85546875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29" width="36.7109375" customWidth="1"/>
    <col min="30" max="30" width="33.425781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81" t="s">
        <v>3</v>
      </c>
      <c r="C4" s="582"/>
      <c r="D4" s="582"/>
      <c r="E4" s="582"/>
      <c r="F4" s="582"/>
      <c r="G4" s="582"/>
      <c r="H4" s="583"/>
      <c r="I4" s="581" t="s">
        <v>4</v>
      </c>
      <c r="J4" s="582"/>
      <c r="K4" s="582"/>
      <c r="L4" s="582"/>
      <c r="M4" s="582"/>
      <c r="N4" s="583"/>
      <c r="O4" s="587" t="s">
        <v>5</v>
      </c>
      <c r="P4" s="588"/>
      <c r="Q4" s="589"/>
      <c r="R4" s="589"/>
      <c r="S4" s="589"/>
      <c r="T4" s="590"/>
      <c r="U4" s="581" t="s">
        <v>6</v>
      </c>
      <c r="V4" s="594"/>
      <c r="W4" s="594"/>
      <c r="X4" s="594"/>
      <c r="Y4" s="594"/>
      <c r="Z4" s="594"/>
      <c r="AA4" s="595"/>
      <c r="AB4" s="574" t="s">
        <v>7</v>
      </c>
      <c r="AC4" s="600" t="s">
        <v>8</v>
      </c>
      <c r="AD4" s="579" t="s">
        <v>27</v>
      </c>
      <c r="AE4" s="579" t="s">
        <v>31</v>
      </c>
      <c r="AF4" s="579" t="s">
        <v>32</v>
      </c>
      <c r="AG4" s="579" t="s">
        <v>33</v>
      </c>
      <c r="AH4" s="574" t="s">
        <v>175</v>
      </c>
      <c r="AI4" s="574" t="s">
        <v>176</v>
      </c>
      <c r="AJ4" s="574" t="s">
        <v>177</v>
      </c>
      <c r="AK4" s="574" t="s">
        <v>178</v>
      </c>
      <c r="AL4" s="574" t="s">
        <v>179</v>
      </c>
      <c r="AM4" s="574" t="s">
        <v>180</v>
      </c>
      <c r="AN4" s="574" t="s">
        <v>181</v>
      </c>
      <c r="AO4" s="574" t="s">
        <v>184</v>
      </c>
      <c r="AP4" s="574" t="s">
        <v>182</v>
      </c>
      <c r="AQ4" s="574" t="s">
        <v>183</v>
      </c>
      <c r="AT4" t="s">
        <v>171</v>
      </c>
      <c r="AU4" s="338" t="s">
        <v>209</v>
      </c>
    </row>
    <row r="5" spans="1:47" ht="30" customHeight="1" thickBot="1" x14ac:dyDescent="0.3">
      <c r="A5" s="13"/>
      <c r="B5" s="584"/>
      <c r="C5" s="585"/>
      <c r="D5" s="585"/>
      <c r="E5" s="585"/>
      <c r="F5" s="585"/>
      <c r="G5" s="585"/>
      <c r="H5" s="586"/>
      <c r="I5" s="584"/>
      <c r="J5" s="585"/>
      <c r="K5" s="585"/>
      <c r="L5" s="585"/>
      <c r="M5" s="585"/>
      <c r="N5" s="586"/>
      <c r="O5" s="591"/>
      <c r="P5" s="592"/>
      <c r="Q5" s="592"/>
      <c r="R5" s="592"/>
      <c r="S5" s="592"/>
      <c r="T5" s="593"/>
      <c r="U5" s="596"/>
      <c r="V5" s="597"/>
      <c r="W5" s="597"/>
      <c r="X5" s="597"/>
      <c r="Y5" s="597"/>
      <c r="Z5" s="597"/>
      <c r="AA5" s="598"/>
      <c r="AB5" s="599"/>
      <c r="AC5" s="601"/>
      <c r="AD5" s="580"/>
      <c r="AE5" s="580"/>
      <c r="AF5" s="580"/>
      <c r="AG5" s="580"/>
      <c r="AH5" s="575"/>
      <c r="AI5" s="575"/>
      <c r="AJ5" s="575"/>
      <c r="AK5" s="575"/>
      <c r="AL5" s="575"/>
      <c r="AM5" s="575"/>
      <c r="AN5" s="575"/>
      <c r="AO5" s="575"/>
      <c r="AP5" s="575"/>
      <c r="AQ5" s="575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42461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0</v>
      </c>
      <c r="J8" s="50">
        <v>0</v>
      </c>
      <c r="K8" s="50">
        <v>0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5">
        <v>0</v>
      </c>
      <c r="AB8" s="56">
        <v>0</v>
      </c>
      <c r="AC8" s="57">
        <v>0</v>
      </c>
      <c r="AD8" s="57">
        <v>0</v>
      </c>
      <c r="AE8" s="58">
        <v>0</v>
      </c>
      <c r="AF8" s="58">
        <v>0</v>
      </c>
      <c r="AG8" s="58">
        <v>0</v>
      </c>
      <c r="AH8" s="57">
        <v>245.43652263482412</v>
      </c>
      <c r="AI8" s="57">
        <v>507.45825327237446</v>
      </c>
      <c r="AJ8" s="57">
        <v>1438.4640701929732</v>
      </c>
      <c r="AK8" s="57">
        <v>233.65708940823873</v>
      </c>
      <c r="AL8" s="57">
        <v>1429.9330195744835</v>
      </c>
      <c r="AM8" s="57">
        <v>1516.3108536402385</v>
      </c>
      <c r="AN8" s="57">
        <v>587.73606055577591</v>
      </c>
      <c r="AO8" s="57">
        <v>337.14008331298828</v>
      </c>
      <c r="AP8" s="57">
        <v>66.330121994018555</v>
      </c>
      <c r="AQ8" s="57">
        <v>665.33218644460044</v>
      </c>
    </row>
    <row r="9" spans="1:47" x14ac:dyDescent="0.25">
      <c r="A9" s="11">
        <v>42462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0</v>
      </c>
      <c r="J9" s="60">
        <v>0</v>
      </c>
      <c r="K9" s="60">
        <v>0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0</v>
      </c>
      <c r="V9" s="62">
        <v>0</v>
      </c>
      <c r="W9" s="62">
        <v>0</v>
      </c>
      <c r="X9" s="62">
        <v>0</v>
      </c>
      <c r="Y9" s="66">
        <v>0</v>
      </c>
      <c r="Z9" s="66">
        <v>0</v>
      </c>
      <c r="AA9" s="67">
        <v>0</v>
      </c>
      <c r="AB9" s="68">
        <v>0</v>
      </c>
      <c r="AC9" s="69">
        <v>0</v>
      </c>
      <c r="AD9" s="69">
        <v>0</v>
      </c>
      <c r="AE9" s="68">
        <v>0</v>
      </c>
      <c r="AF9" s="68">
        <v>0</v>
      </c>
      <c r="AG9" s="68">
        <v>0</v>
      </c>
      <c r="AH9" s="69">
        <v>208.43785556157428</v>
      </c>
      <c r="AI9" s="69">
        <v>451.18658922513328</v>
      </c>
      <c r="AJ9" s="69">
        <v>1356.0617699305215</v>
      </c>
      <c r="AK9" s="69">
        <v>199.33719855944315</v>
      </c>
      <c r="AL9" s="69">
        <v>1413.1168906529745</v>
      </c>
      <c r="AM9" s="69">
        <v>1396.2488131205241</v>
      </c>
      <c r="AN9" s="69">
        <v>584.36175870895374</v>
      </c>
      <c r="AO9" s="69">
        <v>348.17860175768533</v>
      </c>
      <c r="AP9" s="69">
        <v>66.330121994018555</v>
      </c>
      <c r="AQ9" s="69">
        <v>667.4551697095236</v>
      </c>
    </row>
    <row r="10" spans="1:47" x14ac:dyDescent="0.25">
      <c r="A10" s="11">
        <v>42463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0</v>
      </c>
      <c r="J10" s="60">
        <v>0</v>
      </c>
      <c r="K10" s="60">
        <v>0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0</v>
      </c>
      <c r="V10" s="62">
        <v>0</v>
      </c>
      <c r="W10" s="62">
        <v>0</v>
      </c>
      <c r="X10" s="62">
        <v>0</v>
      </c>
      <c r="Y10" s="66">
        <v>0</v>
      </c>
      <c r="Z10" s="66">
        <v>0</v>
      </c>
      <c r="AA10" s="67">
        <v>0</v>
      </c>
      <c r="AB10" s="68">
        <v>0</v>
      </c>
      <c r="AC10" s="69">
        <v>0</v>
      </c>
      <c r="AD10" s="69">
        <v>0</v>
      </c>
      <c r="AE10" s="68">
        <v>0</v>
      </c>
      <c r="AF10" s="68">
        <v>0</v>
      </c>
      <c r="AG10" s="68">
        <v>0</v>
      </c>
      <c r="AH10" s="69">
        <v>189.32769985198973</v>
      </c>
      <c r="AI10" s="69">
        <v>411.13364588419597</v>
      </c>
      <c r="AJ10" s="69">
        <v>1316.0573625564575</v>
      </c>
      <c r="AK10" s="69">
        <v>182.57167934576671</v>
      </c>
      <c r="AL10" s="69">
        <v>1453.0519973754881</v>
      </c>
      <c r="AM10" s="69">
        <v>1405.3410120646161</v>
      </c>
      <c r="AN10" s="69">
        <v>580.6398683865865</v>
      </c>
      <c r="AO10" s="69">
        <v>330.99172430038453</v>
      </c>
      <c r="AP10" s="69">
        <v>66.330121994018555</v>
      </c>
      <c r="AQ10" s="69">
        <v>716.67837750116973</v>
      </c>
    </row>
    <row r="11" spans="1:47" x14ac:dyDescent="0.25">
      <c r="A11" s="11">
        <v>42464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0</v>
      </c>
      <c r="J11" s="60">
        <v>0</v>
      </c>
      <c r="K11" s="60">
        <v>0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0</v>
      </c>
      <c r="V11" s="62">
        <v>0</v>
      </c>
      <c r="W11" s="62">
        <v>0</v>
      </c>
      <c r="X11" s="62">
        <v>0</v>
      </c>
      <c r="Y11" s="66">
        <v>0</v>
      </c>
      <c r="Z11" s="66">
        <v>0</v>
      </c>
      <c r="AA11" s="67">
        <v>0</v>
      </c>
      <c r="AB11" s="68">
        <v>0</v>
      </c>
      <c r="AC11" s="69">
        <v>0</v>
      </c>
      <c r="AD11" s="69">
        <v>0</v>
      </c>
      <c r="AE11" s="68">
        <v>0</v>
      </c>
      <c r="AF11" s="68">
        <v>0</v>
      </c>
      <c r="AG11" s="68">
        <v>0</v>
      </c>
      <c r="AH11" s="69">
        <v>175.41670113404592</v>
      </c>
      <c r="AI11" s="69">
        <v>386.90064218839012</v>
      </c>
      <c r="AJ11" s="69">
        <v>1321.6554517110189</v>
      </c>
      <c r="AK11" s="69">
        <v>177.13705045382179</v>
      </c>
      <c r="AL11" s="69">
        <v>1611.901879119873</v>
      </c>
      <c r="AM11" s="69">
        <v>1446.0085644404096</v>
      </c>
      <c r="AN11" s="69">
        <v>589.13168656031291</v>
      </c>
      <c r="AO11" s="69">
        <v>285.9894837697347</v>
      </c>
      <c r="AP11" s="69">
        <v>87.455432403087613</v>
      </c>
      <c r="AQ11" s="69">
        <v>787.05165615081785</v>
      </c>
    </row>
    <row r="12" spans="1:47" x14ac:dyDescent="0.25">
      <c r="A12" s="11">
        <v>42465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0</v>
      </c>
      <c r="J12" s="60">
        <v>0</v>
      </c>
      <c r="K12" s="60">
        <v>0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0</v>
      </c>
      <c r="V12" s="62">
        <v>0</v>
      </c>
      <c r="W12" s="62">
        <v>0</v>
      </c>
      <c r="X12" s="62">
        <v>0</v>
      </c>
      <c r="Y12" s="66">
        <v>0</v>
      </c>
      <c r="Z12" s="66">
        <v>0</v>
      </c>
      <c r="AA12" s="67">
        <v>0</v>
      </c>
      <c r="AB12" s="68">
        <v>0</v>
      </c>
      <c r="AC12" s="69">
        <v>0</v>
      </c>
      <c r="AD12" s="69">
        <v>0</v>
      </c>
      <c r="AE12" s="68">
        <v>0</v>
      </c>
      <c r="AF12" s="68">
        <v>0</v>
      </c>
      <c r="AG12" s="68">
        <v>0</v>
      </c>
      <c r="AH12" s="69">
        <v>179.70086224079134</v>
      </c>
      <c r="AI12" s="69">
        <v>402.37306707700094</v>
      </c>
      <c r="AJ12" s="69">
        <v>1325.3002764383953</v>
      </c>
      <c r="AK12" s="69">
        <v>176.35603302319845</v>
      </c>
      <c r="AL12" s="69">
        <v>1542.0970223108927</v>
      </c>
      <c r="AM12" s="69">
        <v>1408.3703722000123</v>
      </c>
      <c r="AN12" s="69">
        <v>580.57204767862947</v>
      </c>
      <c r="AO12" s="69">
        <v>220.31338748931887</v>
      </c>
      <c r="AP12" s="69">
        <v>104.69134140014648</v>
      </c>
      <c r="AQ12" s="69">
        <v>720.75640853246057</v>
      </c>
    </row>
    <row r="13" spans="1:47" x14ac:dyDescent="0.25">
      <c r="A13" s="11">
        <v>42466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0</v>
      </c>
      <c r="J13" s="60">
        <v>0</v>
      </c>
      <c r="K13" s="60">
        <v>0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0</v>
      </c>
      <c r="V13" s="62">
        <v>0</v>
      </c>
      <c r="W13" s="62">
        <v>0</v>
      </c>
      <c r="X13" s="62">
        <v>0</v>
      </c>
      <c r="Y13" s="66">
        <v>0</v>
      </c>
      <c r="Z13" s="66">
        <v>0</v>
      </c>
      <c r="AA13" s="67">
        <v>0</v>
      </c>
      <c r="AB13" s="68">
        <v>0</v>
      </c>
      <c r="AC13" s="69">
        <v>0</v>
      </c>
      <c r="AD13" s="69">
        <v>0</v>
      </c>
      <c r="AE13" s="68">
        <v>0</v>
      </c>
      <c r="AF13" s="68">
        <v>0</v>
      </c>
      <c r="AG13" s="68">
        <v>0</v>
      </c>
      <c r="AH13" s="69">
        <v>198.92500544389088</v>
      </c>
      <c r="AI13" s="69">
        <v>427.57970236142472</v>
      </c>
      <c r="AJ13" s="69">
        <v>1334.2436858495075</v>
      </c>
      <c r="AK13" s="69">
        <v>183.57992804050446</v>
      </c>
      <c r="AL13" s="69">
        <v>1371.0509941736859</v>
      </c>
      <c r="AM13" s="69">
        <v>1432.7673438390095</v>
      </c>
      <c r="AN13" s="69">
        <v>564.28116703033447</v>
      </c>
      <c r="AO13" s="69">
        <v>257.22786534627278</v>
      </c>
      <c r="AP13" s="69">
        <v>104.69134140014648</v>
      </c>
      <c r="AQ13" s="69">
        <v>759.85680109659825</v>
      </c>
    </row>
    <row r="14" spans="1:47" x14ac:dyDescent="0.25">
      <c r="A14" s="11">
        <v>42467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0</v>
      </c>
      <c r="J14" s="60">
        <v>0</v>
      </c>
      <c r="K14" s="60">
        <v>0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0</v>
      </c>
      <c r="V14" s="62">
        <v>0</v>
      </c>
      <c r="W14" s="62">
        <v>0</v>
      </c>
      <c r="X14" s="62">
        <v>0</v>
      </c>
      <c r="Y14" s="66">
        <v>0</v>
      </c>
      <c r="Z14" s="66">
        <v>0</v>
      </c>
      <c r="AA14" s="67">
        <v>0</v>
      </c>
      <c r="AB14" s="68">
        <v>0</v>
      </c>
      <c r="AC14" s="69">
        <v>0</v>
      </c>
      <c r="AD14" s="69">
        <v>0</v>
      </c>
      <c r="AE14" s="68">
        <v>0</v>
      </c>
      <c r="AF14" s="68">
        <v>0</v>
      </c>
      <c r="AG14" s="68">
        <v>0</v>
      </c>
      <c r="AH14" s="69">
        <v>186.25690066019695</v>
      </c>
      <c r="AI14" s="69">
        <v>401.63959115346262</v>
      </c>
      <c r="AJ14" s="69">
        <v>1292.7383178710938</v>
      </c>
      <c r="AK14" s="69">
        <v>160.85977488358816</v>
      </c>
      <c r="AL14" s="69">
        <v>1510.3288478215536</v>
      </c>
      <c r="AM14" s="69">
        <v>1460.8898235956826</v>
      </c>
      <c r="AN14" s="69">
        <v>593.41044438680012</v>
      </c>
      <c r="AO14" s="69">
        <v>292.32552529970803</v>
      </c>
      <c r="AP14" s="69">
        <v>104.69134140014648</v>
      </c>
      <c r="AQ14" s="69">
        <v>682.49208583831785</v>
      </c>
    </row>
    <row r="15" spans="1:47" x14ac:dyDescent="0.25">
      <c r="A15" s="11">
        <v>42468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0</v>
      </c>
      <c r="J15" s="60">
        <v>0</v>
      </c>
      <c r="K15" s="60">
        <v>0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0</v>
      </c>
      <c r="V15" s="62">
        <v>0</v>
      </c>
      <c r="W15" s="62">
        <v>0</v>
      </c>
      <c r="X15" s="62">
        <v>0</v>
      </c>
      <c r="Y15" s="66">
        <v>0</v>
      </c>
      <c r="Z15" s="66">
        <v>0</v>
      </c>
      <c r="AA15" s="67">
        <v>0</v>
      </c>
      <c r="AB15" s="68">
        <v>0</v>
      </c>
      <c r="AC15" s="69">
        <v>0</v>
      </c>
      <c r="AD15" s="69">
        <v>0</v>
      </c>
      <c r="AE15" s="68">
        <v>0</v>
      </c>
      <c r="AF15" s="68">
        <v>0</v>
      </c>
      <c r="AG15" s="68">
        <v>0</v>
      </c>
      <c r="AH15" s="69">
        <v>182.02196462154387</v>
      </c>
      <c r="AI15" s="69">
        <v>394.80359326998393</v>
      </c>
      <c r="AJ15" s="69">
        <v>1296.1587198257446</v>
      </c>
      <c r="AK15" s="69">
        <v>165.21644421418506</v>
      </c>
      <c r="AL15" s="69">
        <v>1457.1211507797241</v>
      </c>
      <c r="AM15" s="69">
        <v>1344.6785934448244</v>
      </c>
      <c r="AN15" s="69">
        <v>592.81252584457388</v>
      </c>
      <c r="AO15" s="69">
        <v>259.47994006474812</v>
      </c>
      <c r="AP15" s="69">
        <v>104.69134140014648</v>
      </c>
      <c r="AQ15" s="69">
        <v>663.75753151575725</v>
      </c>
    </row>
    <row r="16" spans="1:47" x14ac:dyDescent="0.25">
      <c r="A16" s="11">
        <v>42469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0</v>
      </c>
      <c r="J16" s="60">
        <v>0</v>
      </c>
      <c r="K16" s="60">
        <v>0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0</v>
      </c>
      <c r="V16" s="62">
        <v>0</v>
      </c>
      <c r="W16" s="62">
        <v>0</v>
      </c>
      <c r="X16" s="62">
        <v>0</v>
      </c>
      <c r="Y16" s="66">
        <v>0</v>
      </c>
      <c r="Z16" s="66">
        <v>0</v>
      </c>
      <c r="AA16" s="67">
        <v>0</v>
      </c>
      <c r="AB16" s="68">
        <v>0</v>
      </c>
      <c r="AC16" s="69">
        <v>0</v>
      </c>
      <c r="AD16" s="69">
        <v>0</v>
      </c>
      <c r="AE16" s="68">
        <v>0</v>
      </c>
      <c r="AF16" s="68">
        <v>0</v>
      </c>
      <c r="AG16" s="68">
        <v>0</v>
      </c>
      <c r="AH16" s="69">
        <v>176.76691784858704</v>
      </c>
      <c r="AI16" s="69">
        <v>386.35183327992758</v>
      </c>
      <c r="AJ16" s="69">
        <v>1253.5952906926473</v>
      </c>
      <c r="AK16" s="69">
        <v>159.79123758474987</v>
      </c>
      <c r="AL16" s="69">
        <v>1250.8828904469808</v>
      </c>
      <c r="AM16" s="69">
        <v>1090.2238608042398</v>
      </c>
      <c r="AN16" s="69">
        <v>580.32912947336831</v>
      </c>
      <c r="AO16" s="69">
        <v>256.4477580547333</v>
      </c>
      <c r="AP16" s="69">
        <v>104.69134140014648</v>
      </c>
      <c r="AQ16" s="69">
        <v>654.14720271428416</v>
      </c>
    </row>
    <row r="17" spans="1:43" x14ac:dyDescent="0.25">
      <c r="A17" s="11">
        <v>42470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0</v>
      </c>
      <c r="J17" s="50">
        <v>0</v>
      </c>
      <c r="K17" s="50">
        <v>0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0</v>
      </c>
      <c r="V17" s="66">
        <v>0</v>
      </c>
      <c r="W17" s="62">
        <v>0</v>
      </c>
      <c r="X17" s="62">
        <v>0</v>
      </c>
      <c r="Y17" s="66">
        <v>0</v>
      </c>
      <c r="Z17" s="66">
        <v>0</v>
      </c>
      <c r="AA17" s="67">
        <v>0</v>
      </c>
      <c r="AB17" s="68">
        <v>0</v>
      </c>
      <c r="AC17" s="69">
        <v>0</v>
      </c>
      <c r="AD17" s="69">
        <v>0</v>
      </c>
      <c r="AE17" s="68">
        <v>0</v>
      </c>
      <c r="AF17" s="68">
        <v>0</v>
      </c>
      <c r="AG17" s="68">
        <v>0</v>
      </c>
      <c r="AH17" s="69">
        <v>180.852143573761</v>
      </c>
      <c r="AI17" s="69">
        <v>396.7169662157695</v>
      </c>
      <c r="AJ17" s="69">
        <v>1244.8655981063844</v>
      </c>
      <c r="AK17" s="69">
        <v>159.18281418482462</v>
      </c>
      <c r="AL17" s="69">
        <v>1280.1771308898926</v>
      </c>
      <c r="AM17" s="69">
        <v>1107.4515279134114</v>
      </c>
      <c r="AN17" s="69">
        <v>565.45703986485796</v>
      </c>
      <c r="AO17" s="69">
        <v>244.31182374159494</v>
      </c>
      <c r="AP17" s="69">
        <v>104.69134140014648</v>
      </c>
      <c r="AQ17" s="69">
        <v>638.4513242403666</v>
      </c>
    </row>
    <row r="18" spans="1:43" x14ac:dyDescent="0.25">
      <c r="A18" s="11">
        <v>42471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0</v>
      </c>
      <c r="J18" s="60">
        <v>0</v>
      </c>
      <c r="K18" s="60">
        <v>0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0</v>
      </c>
      <c r="V18" s="66">
        <v>0</v>
      </c>
      <c r="W18" s="62">
        <v>0</v>
      </c>
      <c r="X18" s="62">
        <v>0</v>
      </c>
      <c r="Y18" s="66">
        <v>0</v>
      </c>
      <c r="Z18" s="66">
        <v>0</v>
      </c>
      <c r="AA18" s="67">
        <v>0</v>
      </c>
      <c r="AB18" s="68">
        <v>0</v>
      </c>
      <c r="AC18" s="69">
        <v>0</v>
      </c>
      <c r="AD18" s="69">
        <v>0</v>
      </c>
      <c r="AE18" s="68">
        <v>0</v>
      </c>
      <c r="AF18" s="68">
        <v>0</v>
      </c>
      <c r="AG18" s="68">
        <v>0</v>
      </c>
      <c r="AH18" s="69">
        <v>191.99533162911732</v>
      </c>
      <c r="AI18" s="69">
        <v>419.6317895889282</v>
      </c>
      <c r="AJ18" s="69">
        <v>1326.6812257130941</v>
      </c>
      <c r="AK18" s="69">
        <v>159.70311565399169</v>
      </c>
      <c r="AL18" s="69">
        <v>1540.1014485677083</v>
      </c>
      <c r="AM18" s="69">
        <v>1340.1783299128215</v>
      </c>
      <c r="AN18" s="69">
        <v>536.182505830129</v>
      </c>
      <c r="AO18" s="69">
        <v>290.70387233098347</v>
      </c>
      <c r="AP18" s="69">
        <v>104.69134140014648</v>
      </c>
      <c r="AQ18" s="69">
        <v>627.82563120524094</v>
      </c>
    </row>
    <row r="19" spans="1:43" x14ac:dyDescent="0.25">
      <c r="A19" s="11">
        <v>42472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0</v>
      </c>
      <c r="J19" s="60">
        <v>0</v>
      </c>
      <c r="K19" s="60">
        <v>0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0</v>
      </c>
      <c r="V19" s="66">
        <v>0</v>
      </c>
      <c r="W19" s="62">
        <v>0</v>
      </c>
      <c r="X19" s="62">
        <v>0</v>
      </c>
      <c r="Y19" s="66">
        <v>0</v>
      </c>
      <c r="Z19" s="66">
        <v>0</v>
      </c>
      <c r="AA19" s="67">
        <v>0</v>
      </c>
      <c r="AB19" s="68">
        <v>0</v>
      </c>
      <c r="AC19" s="69">
        <v>0</v>
      </c>
      <c r="AD19" s="69">
        <v>0</v>
      </c>
      <c r="AE19" s="68">
        <v>0</v>
      </c>
      <c r="AF19" s="68">
        <v>0</v>
      </c>
      <c r="AG19" s="68">
        <v>0</v>
      </c>
      <c r="AH19" s="69">
        <v>183.50770674546561</v>
      </c>
      <c r="AI19" s="69">
        <v>399.6824833075205</v>
      </c>
      <c r="AJ19" s="69">
        <v>1320.1421207427982</v>
      </c>
      <c r="AK19" s="69">
        <v>165.07970154285431</v>
      </c>
      <c r="AL19" s="69">
        <v>1447.7357100804645</v>
      </c>
      <c r="AM19" s="69">
        <v>1427.308851559957</v>
      </c>
      <c r="AN19" s="69">
        <v>562.98790645599377</v>
      </c>
      <c r="AO19" s="69">
        <v>217.88253260453541</v>
      </c>
      <c r="AP19" s="69">
        <v>104.69134140014648</v>
      </c>
      <c r="AQ19" s="69">
        <v>733.74775495529161</v>
      </c>
    </row>
    <row r="20" spans="1:43" x14ac:dyDescent="0.25">
      <c r="A20" s="11">
        <v>42473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0</v>
      </c>
      <c r="J20" s="60">
        <v>0</v>
      </c>
      <c r="K20" s="60">
        <v>0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0</v>
      </c>
      <c r="V20" s="62">
        <v>0</v>
      </c>
      <c r="W20" s="62">
        <v>0</v>
      </c>
      <c r="X20" s="62">
        <v>0</v>
      </c>
      <c r="Y20" s="66">
        <v>0</v>
      </c>
      <c r="Z20" s="66">
        <v>0</v>
      </c>
      <c r="AA20" s="67">
        <v>0</v>
      </c>
      <c r="AB20" s="68">
        <v>0</v>
      </c>
      <c r="AC20" s="69">
        <v>0</v>
      </c>
      <c r="AD20" s="69">
        <v>0</v>
      </c>
      <c r="AE20" s="68">
        <v>0</v>
      </c>
      <c r="AF20" s="68">
        <v>0</v>
      </c>
      <c r="AG20" s="68">
        <v>0</v>
      </c>
      <c r="AH20" s="69">
        <v>177.5308960199356</v>
      </c>
      <c r="AI20" s="69">
        <v>384.93902389208478</v>
      </c>
      <c r="AJ20" s="69">
        <v>1290.1045140584308</v>
      </c>
      <c r="AK20" s="69">
        <v>163.56433069705963</v>
      </c>
      <c r="AL20" s="69">
        <v>1408.8253618240356</v>
      </c>
      <c r="AM20" s="69">
        <v>1399.723315111796</v>
      </c>
      <c r="AN20" s="69">
        <v>582.287499777476</v>
      </c>
      <c r="AO20" s="69">
        <v>283.67515858809156</v>
      </c>
      <c r="AP20" s="69">
        <v>104.69134140014648</v>
      </c>
      <c r="AQ20" s="69">
        <v>722.80407810211159</v>
      </c>
    </row>
    <row r="21" spans="1:43" x14ac:dyDescent="0.25">
      <c r="A21" s="11">
        <v>42474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0</v>
      </c>
      <c r="J21" s="60">
        <v>0</v>
      </c>
      <c r="K21" s="60">
        <v>0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0</v>
      </c>
      <c r="V21" s="62">
        <v>0</v>
      </c>
      <c r="W21" s="62">
        <v>0</v>
      </c>
      <c r="X21" s="62">
        <v>0</v>
      </c>
      <c r="Y21" s="66">
        <v>0</v>
      </c>
      <c r="Z21" s="66">
        <v>0</v>
      </c>
      <c r="AA21" s="67">
        <v>0</v>
      </c>
      <c r="AB21" s="68">
        <v>0</v>
      </c>
      <c r="AC21" s="69">
        <v>0</v>
      </c>
      <c r="AD21" s="69">
        <v>0</v>
      </c>
      <c r="AE21" s="68">
        <v>0</v>
      </c>
      <c r="AF21" s="68">
        <v>0</v>
      </c>
      <c r="AG21" s="68">
        <v>0</v>
      </c>
      <c r="AH21" s="69">
        <v>168.90992042223613</v>
      </c>
      <c r="AI21" s="69">
        <v>370.48928341865536</v>
      </c>
      <c r="AJ21" s="69">
        <v>1310.4895655949911</v>
      </c>
      <c r="AK21" s="69">
        <v>167.10952221552532</v>
      </c>
      <c r="AL21" s="69">
        <v>1468.8849127451579</v>
      </c>
      <c r="AM21" s="69">
        <v>1384.0619536717732</v>
      </c>
      <c r="AN21" s="69">
        <v>596.20910746256516</v>
      </c>
      <c r="AO21" s="69">
        <v>220.20145353476207</v>
      </c>
      <c r="AP21" s="69">
        <v>104.69134140014648</v>
      </c>
      <c r="AQ21" s="69">
        <v>797.19048302968338</v>
      </c>
    </row>
    <row r="22" spans="1:43" x14ac:dyDescent="0.25">
      <c r="A22" s="11">
        <v>42475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0</v>
      </c>
      <c r="J22" s="60">
        <v>0</v>
      </c>
      <c r="K22" s="60">
        <v>0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0</v>
      </c>
      <c r="V22" s="62">
        <v>0</v>
      </c>
      <c r="W22" s="62">
        <v>0</v>
      </c>
      <c r="X22" s="62">
        <v>0</v>
      </c>
      <c r="Y22" s="66">
        <v>0</v>
      </c>
      <c r="Z22" s="66">
        <v>0</v>
      </c>
      <c r="AA22" s="67">
        <v>0</v>
      </c>
      <c r="AB22" s="68">
        <v>0</v>
      </c>
      <c r="AC22" s="69">
        <v>0</v>
      </c>
      <c r="AD22" s="69">
        <v>0</v>
      </c>
      <c r="AE22" s="68">
        <v>0</v>
      </c>
      <c r="AF22" s="68">
        <v>0</v>
      </c>
      <c r="AG22" s="68">
        <v>0</v>
      </c>
      <c r="AH22" s="69">
        <v>184.78957666556039</v>
      </c>
      <c r="AI22" s="69">
        <v>403.65491285324094</v>
      </c>
      <c r="AJ22" s="69">
        <v>1285.9722539265949</v>
      </c>
      <c r="AK22" s="69">
        <v>170.52310271263121</v>
      </c>
      <c r="AL22" s="69">
        <v>1382.7384840011598</v>
      </c>
      <c r="AM22" s="69">
        <v>1516.3207886377972</v>
      </c>
      <c r="AN22" s="69">
        <v>556.94898668924964</v>
      </c>
      <c r="AO22" s="69">
        <v>251.82504283587139</v>
      </c>
      <c r="AP22" s="69">
        <v>104.69134140014648</v>
      </c>
      <c r="AQ22" s="69">
        <v>626.81959416071572</v>
      </c>
    </row>
    <row r="23" spans="1:43" x14ac:dyDescent="0.25">
      <c r="A23" s="11">
        <v>42476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0</v>
      </c>
      <c r="J23" s="60">
        <v>0</v>
      </c>
      <c r="K23" s="60">
        <v>0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0</v>
      </c>
      <c r="V23" s="62">
        <v>0</v>
      </c>
      <c r="W23" s="62">
        <v>0</v>
      </c>
      <c r="X23" s="62">
        <v>0</v>
      </c>
      <c r="Y23" s="66">
        <v>0</v>
      </c>
      <c r="Z23" s="66">
        <v>0</v>
      </c>
      <c r="AA23" s="67">
        <v>0</v>
      </c>
      <c r="AB23" s="68">
        <v>0</v>
      </c>
      <c r="AC23" s="69">
        <v>0</v>
      </c>
      <c r="AD23" s="69">
        <v>0</v>
      </c>
      <c r="AE23" s="68">
        <v>0</v>
      </c>
      <c r="AF23" s="68">
        <v>0</v>
      </c>
      <c r="AG23" s="68">
        <v>0</v>
      </c>
      <c r="AH23" s="69">
        <v>256.01797345479321</v>
      </c>
      <c r="AI23" s="69">
        <v>452.74557911554967</v>
      </c>
      <c r="AJ23" s="69">
        <v>1410.3673909505208</v>
      </c>
      <c r="AK23" s="69">
        <v>171.41898508071898</v>
      </c>
      <c r="AL23" s="69">
        <v>1453.719131088257</v>
      </c>
      <c r="AM23" s="69">
        <v>1493.4100735346476</v>
      </c>
      <c r="AN23" s="69">
        <v>528.03237450917561</v>
      </c>
      <c r="AO23" s="69">
        <v>364.68596649169922</v>
      </c>
      <c r="AP23" s="69">
        <v>104.69134140014648</v>
      </c>
      <c r="AQ23" s="69">
        <v>631.51948293050123</v>
      </c>
    </row>
    <row r="24" spans="1:43" x14ac:dyDescent="0.25">
      <c r="A24" s="11">
        <v>42477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0</v>
      </c>
      <c r="J24" s="60">
        <v>0</v>
      </c>
      <c r="K24" s="60">
        <v>0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0</v>
      </c>
      <c r="V24" s="62">
        <v>0</v>
      </c>
      <c r="W24" s="62">
        <v>0</v>
      </c>
      <c r="X24" s="62">
        <v>0</v>
      </c>
      <c r="Y24" s="66">
        <v>0</v>
      </c>
      <c r="Z24" s="66">
        <v>0</v>
      </c>
      <c r="AA24" s="67">
        <v>0</v>
      </c>
      <c r="AB24" s="68">
        <v>0</v>
      </c>
      <c r="AC24" s="69">
        <v>0</v>
      </c>
      <c r="AD24" s="69">
        <v>0</v>
      </c>
      <c r="AE24" s="68">
        <v>0</v>
      </c>
      <c r="AF24" s="68">
        <v>0</v>
      </c>
      <c r="AG24" s="68">
        <v>0</v>
      </c>
      <c r="AH24" s="69">
        <v>265.78785929679867</v>
      </c>
      <c r="AI24" s="69">
        <v>459.55468816757207</v>
      </c>
      <c r="AJ24" s="69">
        <v>1388.3378200531004</v>
      </c>
      <c r="AK24" s="69">
        <v>170.57450704574586</v>
      </c>
      <c r="AL24" s="69">
        <v>1439.7060979843143</v>
      </c>
      <c r="AM24" s="69">
        <v>1503.7904927571612</v>
      </c>
      <c r="AN24" s="69">
        <v>571.37286990483608</v>
      </c>
      <c r="AO24" s="69">
        <v>364.68596649169922</v>
      </c>
      <c r="AP24" s="69">
        <v>104.69134140014648</v>
      </c>
      <c r="AQ24" s="69">
        <v>645.35569499333701</v>
      </c>
    </row>
    <row r="25" spans="1:43" x14ac:dyDescent="0.25">
      <c r="A25" s="11">
        <v>42478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0</v>
      </c>
      <c r="J25" s="60">
        <v>0</v>
      </c>
      <c r="K25" s="60">
        <v>0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0</v>
      </c>
      <c r="V25" s="62">
        <v>0</v>
      </c>
      <c r="W25" s="62">
        <v>0</v>
      </c>
      <c r="X25" s="62">
        <v>0</v>
      </c>
      <c r="Y25" s="66">
        <v>0</v>
      </c>
      <c r="Z25" s="66">
        <v>0</v>
      </c>
      <c r="AA25" s="67">
        <v>0</v>
      </c>
      <c r="AB25" s="68">
        <v>0</v>
      </c>
      <c r="AC25" s="69">
        <v>0</v>
      </c>
      <c r="AD25" s="69">
        <v>0</v>
      </c>
      <c r="AE25" s="68">
        <v>0</v>
      </c>
      <c r="AF25" s="68">
        <v>0</v>
      </c>
      <c r="AG25" s="68">
        <v>0</v>
      </c>
      <c r="AH25" s="69">
        <v>235.14754672050478</v>
      </c>
      <c r="AI25" s="69">
        <v>464.35877753893533</v>
      </c>
      <c r="AJ25" s="69">
        <v>1330.8585844675699</v>
      </c>
      <c r="AK25" s="69">
        <v>172.48049460252128</v>
      </c>
      <c r="AL25" s="69">
        <v>1397.6521765391035</v>
      </c>
      <c r="AM25" s="69">
        <v>1524.6320014317832</v>
      </c>
      <c r="AN25" s="69">
        <v>525.8236191908519</v>
      </c>
      <c r="AO25" s="69">
        <v>360.7715668360392</v>
      </c>
      <c r="AP25" s="69">
        <v>104.69134140014648</v>
      </c>
      <c r="AQ25" s="69">
        <v>660.43259795506788</v>
      </c>
    </row>
    <row r="26" spans="1:43" x14ac:dyDescent="0.25">
      <c r="A26" s="11">
        <v>42479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0</v>
      </c>
      <c r="J26" s="60">
        <v>0</v>
      </c>
      <c r="K26" s="60">
        <v>0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0</v>
      </c>
      <c r="V26" s="62">
        <v>0</v>
      </c>
      <c r="W26" s="62">
        <v>0</v>
      </c>
      <c r="X26" s="62">
        <v>0</v>
      </c>
      <c r="Y26" s="66">
        <v>0</v>
      </c>
      <c r="Z26" s="66">
        <v>0</v>
      </c>
      <c r="AA26" s="67">
        <v>0</v>
      </c>
      <c r="AB26" s="68">
        <v>0</v>
      </c>
      <c r="AC26" s="69">
        <v>0</v>
      </c>
      <c r="AD26" s="69">
        <v>0</v>
      </c>
      <c r="AE26" s="68">
        <v>0</v>
      </c>
      <c r="AF26" s="68">
        <v>0</v>
      </c>
      <c r="AG26" s="68">
        <v>0</v>
      </c>
      <c r="AH26" s="69">
        <v>217.8406590461731</v>
      </c>
      <c r="AI26" s="69">
        <v>466.1396482785542</v>
      </c>
      <c r="AJ26" s="69">
        <v>1351.7719860712687</v>
      </c>
      <c r="AK26" s="69">
        <v>172.54074598948159</v>
      </c>
      <c r="AL26" s="69">
        <v>1421.093603197734</v>
      </c>
      <c r="AM26" s="69">
        <v>1397.6202715555826</v>
      </c>
      <c r="AN26" s="69">
        <v>469.82734608650208</v>
      </c>
      <c r="AO26" s="69">
        <v>322.96738222440081</v>
      </c>
      <c r="AP26" s="69">
        <v>104.69134140014648</v>
      </c>
      <c r="AQ26" s="69">
        <v>663.74283583958959</v>
      </c>
    </row>
    <row r="27" spans="1:43" x14ac:dyDescent="0.25">
      <c r="A27" s="11">
        <v>42480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0</v>
      </c>
      <c r="J27" s="60">
        <v>0</v>
      </c>
      <c r="K27" s="60">
        <v>0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72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204.10016706784572</v>
      </c>
      <c r="AI27" s="69">
        <v>442.49603999455769</v>
      </c>
      <c r="AJ27" s="69">
        <v>1334.0453392028808</v>
      </c>
      <c r="AK27" s="69">
        <v>169.54212097326914</v>
      </c>
      <c r="AL27" s="69">
        <v>1357.1802345275878</v>
      </c>
      <c r="AM27" s="69">
        <v>1444.3754998524985</v>
      </c>
      <c r="AN27" s="69">
        <v>490.56245349248258</v>
      </c>
      <c r="AO27" s="69">
        <v>265.93056410153702</v>
      </c>
      <c r="AP27" s="69">
        <v>104.69134140014648</v>
      </c>
      <c r="AQ27" s="69">
        <v>651.25906740824382</v>
      </c>
    </row>
    <row r="28" spans="1:43" x14ac:dyDescent="0.25">
      <c r="A28" s="11">
        <v>42481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0</v>
      </c>
      <c r="J28" s="60">
        <v>0</v>
      </c>
      <c r="K28" s="60">
        <v>0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0</v>
      </c>
      <c r="V28" s="62">
        <v>0</v>
      </c>
      <c r="W28" s="62">
        <v>0</v>
      </c>
      <c r="X28" s="62">
        <v>0</v>
      </c>
      <c r="Y28" s="66">
        <v>0</v>
      </c>
      <c r="Z28" s="66">
        <v>0</v>
      </c>
      <c r="AA28" s="67">
        <v>0</v>
      </c>
      <c r="AB28" s="68">
        <v>0</v>
      </c>
      <c r="AC28" s="69">
        <v>0</v>
      </c>
      <c r="AD28" s="69">
        <v>0</v>
      </c>
      <c r="AE28" s="68">
        <v>0</v>
      </c>
      <c r="AF28" s="68">
        <v>0</v>
      </c>
      <c r="AG28" s="68">
        <v>0</v>
      </c>
      <c r="AH28" s="69">
        <v>196.05738534132641</v>
      </c>
      <c r="AI28" s="69">
        <v>422.34210672378538</v>
      </c>
      <c r="AJ28" s="69">
        <v>1283.4315388997397</v>
      </c>
      <c r="AK28" s="69">
        <v>168.62187194824219</v>
      </c>
      <c r="AL28" s="69">
        <v>1360.1539199829103</v>
      </c>
      <c r="AM28" s="69">
        <v>1425.9601716995237</v>
      </c>
      <c r="AN28" s="69">
        <v>491.38617364565528</v>
      </c>
      <c r="AO28" s="69">
        <v>282.15908953348799</v>
      </c>
      <c r="AP28" s="69">
        <v>104.69134140014648</v>
      </c>
      <c r="AQ28" s="69">
        <v>704.44354047775255</v>
      </c>
    </row>
    <row r="29" spans="1:43" x14ac:dyDescent="0.25">
      <c r="A29" s="11">
        <v>42482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0</v>
      </c>
      <c r="J29" s="60">
        <v>0</v>
      </c>
      <c r="K29" s="60">
        <v>0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0</v>
      </c>
      <c r="V29" s="62">
        <v>0</v>
      </c>
      <c r="W29" s="62">
        <v>0</v>
      </c>
      <c r="X29" s="62">
        <v>0</v>
      </c>
      <c r="Y29" s="66">
        <v>0</v>
      </c>
      <c r="Z29" s="66">
        <v>0</v>
      </c>
      <c r="AA29" s="67">
        <v>0</v>
      </c>
      <c r="AB29" s="68">
        <v>0</v>
      </c>
      <c r="AC29" s="69">
        <v>0</v>
      </c>
      <c r="AD29" s="69">
        <v>0</v>
      </c>
      <c r="AE29" s="68">
        <v>0</v>
      </c>
      <c r="AF29" s="68">
        <v>0</v>
      </c>
      <c r="AG29" s="68">
        <v>0</v>
      </c>
      <c r="AH29" s="69">
        <v>181.06144812107087</v>
      </c>
      <c r="AI29" s="69">
        <v>392.94458440144859</v>
      </c>
      <c r="AJ29" s="69">
        <v>1281.7482537587484</v>
      </c>
      <c r="AK29" s="69">
        <v>166.67051855723062</v>
      </c>
      <c r="AL29" s="69">
        <v>1403.6729600270592</v>
      </c>
      <c r="AM29" s="69">
        <v>1423.8042650858561</v>
      </c>
      <c r="AN29" s="69">
        <v>417.08524492581694</v>
      </c>
      <c r="AO29" s="69">
        <v>208.82372935612997</v>
      </c>
      <c r="AP29" s="69">
        <v>104.69134140014648</v>
      </c>
      <c r="AQ29" s="69">
        <v>825.80254557927447</v>
      </c>
    </row>
    <row r="30" spans="1:43" x14ac:dyDescent="0.25">
      <c r="A30" s="11">
        <v>42483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0</v>
      </c>
      <c r="J30" s="60">
        <v>0</v>
      </c>
      <c r="K30" s="60">
        <v>0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0</v>
      </c>
      <c r="V30" s="62">
        <v>0</v>
      </c>
      <c r="W30" s="62">
        <v>0</v>
      </c>
      <c r="X30" s="62">
        <v>0</v>
      </c>
      <c r="Y30" s="66">
        <v>0</v>
      </c>
      <c r="Z30" s="66">
        <v>0</v>
      </c>
      <c r="AA30" s="67">
        <v>0</v>
      </c>
      <c r="AB30" s="68">
        <v>0</v>
      </c>
      <c r="AC30" s="69">
        <v>0</v>
      </c>
      <c r="AD30" s="69">
        <v>0</v>
      </c>
      <c r="AE30" s="68">
        <v>0</v>
      </c>
      <c r="AF30" s="68">
        <v>0</v>
      </c>
      <c r="AG30" s="68">
        <v>0</v>
      </c>
      <c r="AH30" s="69">
        <v>167.79441833496094</v>
      </c>
      <c r="AI30" s="69">
        <v>378.72808942794791</v>
      </c>
      <c r="AJ30" s="69">
        <v>1202.2228623072303</v>
      </c>
      <c r="AK30" s="69">
        <v>166.84766974449158</v>
      </c>
      <c r="AL30" s="69">
        <v>1642.9984533309935</v>
      </c>
      <c r="AM30" s="69">
        <v>1328.4432325363159</v>
      </c>
      <c r="AN30" s="69">
        <v>354.41905864079786</v>
      </c>
      <c r="AO30" s="69">
        <v>207.42345746358234</v>
      </c>
      <c r="AP30" s="69">
        <v>104.69134140014648</v>
      </c>
      <c r="AQ30" s="69">
        <v>743.75396540959684</v>
      </c>
    </row>
    <row r="31" spans="1:43" x14ac:dyDescent="0.25">
      <c r="A31" s="11">
        <v>42484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0</v>
      </c>
      <c r="J31" s="60">
        <v>0</v>
      </c>
      <c r="K31" s="60">
        <v>0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0</v>
      </c>
      <c r="V31" s="62">
        <v>0</v>
      </c>
      <c r="W31" s="62">
        <v>0</v>
      </c>
      <c r="X31" s="62">
        <v>0</v>
      </c>
      <c r="Y31" s="66">
        <v>0</v>
      </c>
      <c r="Z31" s="66">
        <v>0</v>
      </c>
      <c r="AA31" s="67">
        <v>0</v>
      </c>
      <c r="AB31" s="68">
        <v>0</v>
      </c>
      <c r="AC31" s="69">
        <v>0</v>
      </c>
      <c r="AD31" s="69">
        <v>0</v>
      </c>
      <c r="AE31" s="68">
        <v>0</v>
      </c>
      <c r="AF31" s="68">
        <v>0</v>
      </c>
      <c r="AG31" s="68">
        <v>0</v>
      </c>
      <c r="AH31" s="69">
        <v>175.15205201307933</v>
      </c>
      <c r="AI31" s="69">
        <v>389.91552756627402</v>
      </c>
      <c r="AJ31" s="69">
        <v>1231.8752133687337</v>
      </c>
      <c r="AK31" s="69">
        <v>165.71675782203675</v>
      </c>
      <c r="AL31" s="69">
        <v>1398.3740486780803</v>
      </c>
      <c r="AM31" s="69">
        <v>1269.142382939656</v>
      </c>
      <c r="AN31" s="69">
        <v>358.53191019694003</v>
      </c>
      <c r="AO31" s="69">
        <v>192.06430806318917</v>
      </c>
      <c r="AP31" s="69">
        <v>104.69134140014648</v>
      </c>
      <c r="AQ31" s="69">
        <v>705.16183589299521</v>
      </c>
    </row>
    <row r="32" spans="1:43" x14ac:dyDescent="0.25">
      <c r="A32" s="11">
        <v>42485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0</v>
      </c>
      <c r="J32" s="60">
        <v>0</v>
      </c>
      <c r="K32" s="60">
        <v>0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0</v>
      </c>
      <c r="V32" s="62">
        <v>0</v>
      </c>
      <c r="W32" s="62">
        <v>0</v>
      </c>
      <c r="X32" s="62">
        <v>0</v>
      </c>
      <c r="Y32" s="66">
        <v>0</v>
      </c>
      <c r="Z32" s="66">
        <v>0</v>
      </c>
      <c r="AA32" s="67">
        <v>0</v>
      </c>
      <c r="AB32" s="68">
        <v>0</v>
      </c>
      <c r="AC32" s="69">
        <v>0</v>
      </c>
      <c r="AD32" s="69">
        <v>0</v>
      </c>
      <c r="AE32" s="68">
        <v>0</v>
      </c>
      <c r="AF32" s="68">
        <v>0</v>
      </c>
      <c r="AG32" s="68">
        <v>0</v>
      </c>
      <c r="AH32" s="69">
        <v>186.42949749628701</v>
      </c>
      <c r="AI32" s="69">
        <v>402.10839236577351</v>
      </c>
      <c r="AJ32" s="69">
        <v>1254.8503988901773</v>
      </c>
      <c r="AK32" s="69">
        <v>168.19315721193948</v>
      </c>
      <c r="AL32" s="69">
        <v>1560.8200323740643</v>
      </c>
      <c r="AM32" s="69">
        <v>1443.9083609263103</v>
      </c>
      <c r="AN32" s="69">
        <v>351.24429912567138</v>
      </c>
      <c r="AO32" s="69">
        <v>262.82440992991133</v>
      </c>
      <c r="AP32" s="69">
        <v>104.69134140014648</v>
      </c>
      <c r="AQ32" s="69">
        <v>781.78244768778484</v>
      </c>
    </row>
    <row r="33" spans="1:43" x14ac:dyDescent="0.25">
      <c r="A33" s="11">
        <v>42486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0</v>
      </c>
      <c r="J33" s="60">
        <v>0</v>
      </c>
      <c r="K33" s="60">
        <v>0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0</v>
      </c>
      <c r="V33" s="62">
        <v>0</v>
      </c>
      <c r="W33" s="62">
        <v>0</v>
      </c>
      <c r="X33" s="62">
        <v>0</v>
      </c>
      <c r="Y33" s="66">
        <v>0</v>
      </c>
      <c r="Z33" s="66">
        <v>0</v>
      </c>
      <c r="AA33" s="67">
        <v>0</v>
      </c>
      <c r="AB33" s="68">
        <v>0</v>
      </c>
      <c r="AC33" s="69">
        <v>0</v>
      </c>
      <c r="AD33" s="69">
        <v>0</v>
      </c>
      <c r="AE33" s="68">
        <v>0</v>
      </c>
      <c r="AF33" s="68">
        <v>0</v>
      </c>
      <c r="AG33" s="68">
        <v>0</v>
      </c>
      <c r="AH33" s="69">
        <v>209.60323283672329</v>
      </c>
      <c r="AI33" s="69">
        <v>438.80553234418227</v>
      </c>
      <c r="AJ33" s="69">
        <v>1197.1721642176312</v>
      </c>
      <c r="AK33" s="69">
        <v>170.8975432475408</v>
      </c>
      <c r="AL33" s="69">
        <v>1402.3504073460897</v>
      </c>
      <c r="AM33" s="69">
        <v>1475.4216999053956</v>
      </c>
      <c r="AN33" s="69">
        <v>350.87853767077132</v>
      </c>
      <c r="AO33" s="69">
        <v>216.77904249827068</v>
      </c>
      <c r="AP33" s="69">
        <v>84.170514384905502</v>
      </c>
      <c r="AQ33" s="69">
        <v>638.60360174179084</v>
      </c>
    </row>
    <row r="34" spans="1:43" x14ac:dyDescent="0.25">
      <c r="A34" s="11">
        <v>42487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0</v>
      </c>
      <c r="J34" s="60">
        <v>0</v>
      </c>
      <c r="K34" s="60">
        <v>0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0</v>
      </c>
      <c r="V34" s="62">
        <v>0</v>
      </c>
      <c r="W34" s="62">
        <v>0</v>
      </c>
      <c r="X34" s="62">
        <v>0</v>
      </c>
      <c r="Y34" s="66">
        <v>0</v>
      </c>
      <c r="Z34" s="66">
        <v>0</v>
      </c>
      <c r="AA34" s="67">
        <v>0</v>
      </c>
      <c r="AB34" s="68">
        <v>0</v>
      </c>
      <c r="AC34" s="69">
        <v>0</v>
      </c>
      <c r="AD34" s="69">
        <v>0</v>
      </c>
      <c r="AE34" s="68">
        <v>0</v>
      </c>
      <c r="AF34" s="68">
        <v>0</v>
      </c>
      <c r="AG34" s="68">
        <v>0</v>
      </c>
      <c r="AH34" s="69">
        <v>229.61449931462602</v>
      </c>
      <c r="AI34" s="69">
        <v>464.00834452311193</v>
      </c>
      <c r="AJ34" s="69">
        <v>1128.9058432261149</v>
      </c>
      <c r="AK34" s="69">
        <v>166.70460654894509</v>
      </c>
      <c r="AL34" s="69">
        <v>1379.6929789225262</v>
      </c>
      <c r="AM34" s="69">
        <v>1478.1330291748047</v>
      </c>
      <c r="AN34" s="69">
        <v>375.49900852839158</v>
      </c>
      <c r="AO34" s="69">
        <v>353.77318930625916</v>
      </c>
      <c r="AP34" s="69">
        <v>66.67621832092604</v>
      </c>
      <c r="AQ34" s="69">
        <v>635.91637423833208</v>
      </c>
    </row>
    <row r="35" spans="1:43" x14ac:dyDescent="0.25">
      <c r="A35" s="11">
        <v>42488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0</v>
      </c>
      <c r="J35" s="60">
        <v>0</v>
      </c>
      <c r="K35" s="60">
        <v>0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0</v>
      </c>
      <c r="V35" s="62">
        <v>0</v>
      </c>
      <c r="W35" s="62">
        <v>0</v>
      </c>
      <c r="X35" s="62">
        <v>0</v>
      </c>
      <c r="Y35" s="66">
        <v>0</v>
      </c>
      <c r="Z35" s="66">
        <v>0</v>
      </c>
      <c r="AA35" s="67">
        <v>0</v>
      </c>
      <c r="AB35" s="68">
        <v>0</v>
      </c>
      <c r="AC35" s="69">
        <v>0</v>
      </c>
      <c r="AD35" s="69">
        <v>0</v>
      </c>
      <c r="AE35" s="68">
        <v>0</v>
      </c>
      <c r="AF35" s="68">
        <v>0</v>
      </c>
      <c r="AG35" s="68">
        <v>0</v>
      </c>
      <c r="AH35" s="69">
        <v>223.45618908405302</v>
      </c>
      <c r="AI35" s="69">
        <v>499.53480849266066</v>
      </c>
      <c r="AJ35" s="69">
        <v>1254.2244108835855</v>
      </c>
      <c r="AK35" s="69">
        <v>159.65425817171734</v>
      </c>
      <c r="AL35" s="69">
        <v>1440.2365937550862</v>
      </c>
      <c r="AM35" s="69">
        <v>1517.3549444834393</v>
      </c>
      <c r="AN35" s="69">
        <v>386.90505469640095</v>
      </c>
      <c r="AO35" s="69">
        <v>361.28359098434447</v>
      </c>
      <c r="AP35" s="69">
        <v>74.498937606811523</v>
      </c>
      <c r="AQ35" s="69">
        <v>623.11418422063196</v>
      </c>
    </row>
    <row r="36" spans="1:43" x14ac:dyDescent="0.25">
      <c r="A36" s="11">
        <v>42489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0</v>
      </c>
      <c r="J36" s="60">
        <v>0</v>
      </c>
      <c r="K36" s="60">
        <v>0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0</v>
      </c>
      <c r="V36" s="62">
        <v>0</v>
      </c>
      <c r="W36" s="62">
        <v>0</v>
      </c>
      <c r="X36" s="62">
        <v>0</v>
      </c>
      <c r="Y36" s="66">
        <v>0</v>
      </c>
      <c r="Z36" s="66">
        <v>0</v>
      </c>
      <c r="AA36" s="67">
        <v>0</v>
      </c>
      <c r="AB36" s="68">
        <v>0</v>
      </c>
      <c r="AC36" s="69">
        <v>0</v>
      </c>
      <c r="AD36" s="69">
        <v>0</v>
      </c>
      <c r="AE36" s="68">
        <v>0</v>
      </c>
      <c r="AF36" s="68">
        <v>0</v>
      </c>
      <c r="AG36" s="68">
        <v>0</v>
      </c>
      <c r="AH36" s="69">
        <v>239.19120543003078</v>
      </c>
      <c r="AI36" s="69">
        <v>513.07471609115601</v>
      </c>
      <c r="AJ36" s="69">
        <v>1310.8113268534344</v>
      </c>
      <c r="AK36" s="69">
        <v>155.97792296409608</v>
      </c>
      <c r="AL36" s="69">
        <v>1430.4706877390545</v>
      </c>
      <c r="AM36" s="69">
        <v>1600.6828845342002</v>
      </c>
      <c r="AN36" s="69">
        <v>681.59211225509637</v>
      </c>
      <c r="AO36" s="69">
        <v>364.35234832763672</v>
      </c>
      <c r="AP36" s="69">
        <v>74.498937606811523</v>
      </c>
      <c r="AQ36" s="69">
        <v>613.73126885096246</v>
      </c>
    </row>
    <row r="37" spans="1:43" x14ac:dyDescent="0.25">
      <c r="A37" s="11">
        <v>42490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0</v>
      </c>
      <c r="J37" s="60">
        <v>0</v>
      </c>
      <c r="K37" s="60">
        <v>0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0</v>
      </c>
      <c r="V37" s="62">
        <v>0</v>
      </c>
      <c r="W37" s="62">
        <v>0</v>
      </c>
      <c r="X37" s="62">
        <v>0</v>
      </c>
      <c r="Y37" s="66">
        <v>0</v>
      </c>
      <c r="Z37" s="66">
        <v>0</v>
      </c>
      <c r="AA37" s="67">
        <v>0</v>
      </c>
      <c r="AB37" s="68">
        <v>0</v>
      </c>
      <c r="AC37" s="69">
        <v>0</v>
      </c>
      <c r="AD37" s="69">
        <v>0</v>
      </c>
      <c r="AE37" s="68">
        <v>0</v>
      </c>
      <c r="AF37" s="68">
        <v>0</v>
      </c>
      <c r="AG37" s="68">
        <v>0</v>
      </c>
      <c r="AH37" s="69">
        <v>256.54914171695708</v>
      </c>
      <c r="AI37" s="69">
        <v>528.00865195592246</v>
      </c>
      <c r="AJ37" s="69">
        <v>1286.7882122675578</v>
      </c>
      <c r="AK37" s="69">
        <v>181.64046090443929</v>
      </c>
      <c r="AL37" s="69">
        <v>1462.1172300974526</v>
      </c>
      <c r="AM37" s="69">
        <v>1520.436737950643</v>
      </c>
      <c r="AN37" s="69">
        <v>985.46700827280688</v>
      </c>
      <c r="AO37" s="69">
        <v>364.35234832763672</v>
      </c>
      <c r="AP37" s="69">
        <v>74.498937606811523</v>
      </c>
      <c r="AQ37" s="69">
        <v>604.91263437271118</v>
      </c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0</v>
      </c>
      <c r="J39" s="30">
        <f t="shared" si="0"/>
        <v>0</v>
      </c>
      <c r="K39" s="30">
        <f t="shared" si="0"/>
        <v>0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0</v>
      </c>
      <c r="V39" s="262">
        <f t="shared" si="0"/>
        <v>0</v>
      </c>
      <c r="W39" s="262">
        <f t="shared" si="0"/>
        <v>0</v>
      </c>
      <c r="X39" s="262">
        <f t="shared" si="0"/>
        <v>0</v>
      </c>
      <c r="Y39" s="262">
        <f t="shared" si="0"/>
        <v>0</v>
      </c>
      <c r="Z39" s="262">
        <f t="shared" si="0"/>
        <v>0</v>
      </c>
      <c r="AA39" s="270">
        <f t="shared" si="0"/>
        <v>0</v>
      </c>
      <c r="AB39" s="273">
        <f t="shared" si="0"/>
        <v>0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159</v>
      </c>
      <c r="AH39" s="273">
        <f t="shared" ref="AH39:AQ39" si="1">SUM(AH8:AH38)</f>
        <v>6073.6792803287499</v>
      </c>
      <c r="AI39" s="273">
        <f t="shared" si="1"/>
        <v>12859.306863975526</v>
      </c>
      <c r="AJ39" s="273">
        <f t="shared" si="1"/>
        <v>38959.941568628943</v>
      </c>
      <c r="AK39" s="273">
        <f t="shared" si="1"/>
        <v>5151.1506433327986</v>
      </c>
      <c r="AL39" s="273">
        <f t="shared" si="1"/>
        <v>43118.18629595438</v>
      </c>
      <c r="AM39" s="273">
        <f t="shared" si="1"/>
        <v>42523.000052324933</v>
      </c>
      <c r="AN39" s="273">
        <f t="shared" si="1"/>
        <v>15991.974805847804</v>
      </c>
      <c r="AO39" s="273">
        <f t="shared" si="1"/>
        <v>8589.5712129672356</v>
      </c>
      <c r="AP39" s="273">
        <f t="shared" si="1"/>
        <v>2859.3075133144857</v>
      </c>
      <c r="AQ39" s="273">
        <f t="shared" si="1"/>
        <v>20593.898362795506</v>
      </c>
    </row>
    <row r="40" spans="1:43" ht="15.75" thickBot="1" x14ac:dyDescent="0.3">
      <c r="A40" s="47" t="s">
        <v>174</v>
      </c>
      <c r="B40" s="32">
        <f>Projection!$AB$30</f>
        <v>0.80583665399999982</v>
      </c>
      <c r="C40" s="33">
        <f>Projection!$AB$28</f>
        <v>1.3221902399999999</v>
      </c>
      <c r="D40" s="33">
        <f>Projection!$AB$31</f>
        <v>2.1962556000000002</v>
      </c>
      <c r="E40" s="33">
        <f>Projection!$AB$26</f>
        <v>4.3368000000000002</v>
      </c>
      <c r="F40" s="33">
        <f>Projection!$AB$23</f>
        <v>0</v>
      </c>
      <c r="G40" s="33">
        <f>Projection!$AB$24</f>
        <v>5.2499999999999998E-2</v>
      </c>
      <c r="H40" s="34">
        <f>Projection!$AB$29</f>
        <v>3.6159737999999999</v>
      </c>
      <c r="I40" s="32">
        <f>Projection!$AB$30</f>
        <v>0.80583665399999982</v>
      </c>
      <c r="J40" s="33">
        <f>Projection!$AB$28</f>
        <v>1.3221902399999999</v>
      </c>
      <c r="K40" s="33">
        <f>Projection!$AB$26</f>
        <v>4.3368000000000002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1.3221902399999999</v>
      </c>
      <c r="T40" s="38">
        <f>Projection!$AB$28</f>
        <v>1.3221902399999999</v>
      </c>
      <c r="U40" s="26">
        <f>Projection!$AB$27</f>
        <v>0.25650000000000001</v>
      </c>
      <c r="V40" s="27">
        <f>Projection!$AB$27</f>
        <v>0.25650000000000001</v>
      </c>
      <c r="W40" s="27">
        <f>Projection!$AB$22</f>
        <v>1.625</v>
      </c>
      <c r="X40" s="27">
        <f>Projection!$AB$22</f>
        <v>1.625</v>
      </c>
      <c r="Y40" s="27">
        <f>Projection!$AB$31</f>
        <v>2.1962556000000002</v>
      </c>
      <c r="Z40" s="27">
        <f>Projection!$AB$31</f>
        <v>2.1962556000000002</v>
      </c>
      <c r="AA40" s="28">
        <v>0</v>
      </c>
      <c r="AB40" s="41">
        <f>Projection!$AB$27</f>
        <v>0.25650000000000001</v>
      </c>
      <c r="AC40" s="41">
        <f>Projection!$AB$30</f>
        <v>0.80583665399999982</v>
      </c>
      <c r="AD40" s="277">
        <f>SUM(AD8:AD38)</f>
        <v>0</v>
      </c>
      <c r="AE40" s="277">
        <f>SUM(AE8:AE38)</f>
        <v>0</v>
      </c>
      <c r="AF40" s="277">
        <f>SUM(AF8:AF38)</f>
        <v>0</v>
      </c>
      <c r="AG40" s="277">
        <v>0</v>
      </c>
      <c r="AH40" s="313">
        <v>6.8000000000000005E-2</v>
      </c>
      <c r="AI40" s="313">
        <f t="shared" ref="AI40:AQ40" si="2">$AH$40</f>
        <v>6.8000000000000005E-2</v>
      </c>
      <c r="AJ40" s="313">
        <f t="shared" si="2"/>
        <v>6.8000000000000005E-2</v>
      </c>
      <c r="AK40" s="313">
        <f t="shared" si="2"/>
        <v>6.8000000000000005E-2</v>
      </c>
      <c r="AL40" s="313">
        <f t="shared" si="2"/>
        <v>6.8000000000000005E-2</v>
      </c>
      <c r="AM40" s="313">
        <f t="shared" si="2"/>
        <v>6.8000000000000005E-2</v>
      </c>
      <c r="AN40" s="313">
        <f t="shared" si="2"/>
        <v>6.8000000000000005E-2</v>
      </c>
      <c r="AO40" s="313">
        <f t="shared" si="2"/>
        <v>6.8000000000000005E-2</v>
      </c>
      <c r="AP40" s="313">
        <f t="shared" si="2"/>
        <v>6.8000000000000005E-2</v>
      </c>
      <c r="AQ40" s="313">
        <f t="shared" si="2"/>
        <v>6.8000000000000005E-2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0</v>
      </c>
      <c r="J41" s="36">
        <f t="shared" si="3"/>
        <v>0</v>
      </c>
      <c r="K41" s="36">
        <f t="shared" si="3"/>
        <v>0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0</v>
      </c>
      <c r="V41" s="268">
        <f t="shared" si="3"/>
        <v>0</v>
      </c>
      <c r="W41" s="268">
        <f t="shared" si="3"/>
        <v>0</v>
      </c>
      <c r="X41" s="268">
        <f t="shared" si="3"/>
        <v>0</v>
      </c>
      <c r="Y41" s="268">
        <f t="shared" si="3"/>
        <v>0</v>
      </c>
      <c r="Z41" s="268">
        <f t="shared" si="3"/>
        <v>0</v>
      </c>
      <c r="AA41" s="272">
        <f t="shared" si="3"/>
        <v>0</v>
      </c>
      <c r="AB41" s="275">
        <f t="shared" si="3"/>
        <v>0</v>
      </c>
      <c r="AC41" s="275">
        <f t="shared" si="3"/>
        <v>0</v>
      </c>
      <c r="AH41" s="278">
        <f t="shared" ref="AH41:AQ41" si="4">AH40*AH39</f>
        <v>413.01019106235503</v>
      </c>
      <c r="AI41" s="278">
        <f t="shared" si="4"/>
        <v>874.43286675033585</v>
      </c>
      <c r="AJ41" s="278">
        <f t="shared" si="4"/>
        <v>2649.2760266667683</v>
      </c>
      <c r="AK41" s="278">
        <f t="shared" si="4"/>
        <v>350.27824374663032</v>
      </c>
      <c r="AL41" s="278">
        <f t="shared" si="4"/>
        <v>2932.0366681248979</v>
      </c>
      <c r="AM41" s="278">
        <f t="shared" si="4"/>
        <v>2891.5640035580955</v>
      </c>
      <c r="AN41" s="278">
        <f t="shared" si="4"/>
        <v>1087.4542867976506</v>
      </c>
      <c r="AO41" s="278">
        <f t="shared" si="4"/>
        <v>584.09084248177203</v>
      </c>
      <c r="AP41" s="278">
        <f t="shared" si="4"/>
        <v>194.43291090538506</v>
      </c>
      <c r="AQ41" s="278">
        <f t="shared" si="4"/>
        <v>1400.3850886700945</v>
      </c>
    </row>
    <row r="42" spans="1:43" ht="49.5" customHeight="1" thickTop="1" thickBot="1" x14ac:dyDescent="0.3">
      <c r="A42" s="576" t="s">
        <v>226</v>
      </c>
      <c r="B42" s="577"/>
      <c r="C42" s="577"/>
      <c r="D42" s="577"/>
      <c r="E42" s="577"/>
      <c r="F42" s="577"/>
      <c r="G42" s="577"/>
      <c r="H42" s="577"/>
      <c r="I42" s="577"/>
      <c r="J42" s="577"/>
      <c r="K42" s="57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6" t="s">
        <v>186</v>
      </c>
      <c r="AH42" s="295">
        <v>434.25</v>
      </c>
      <c r="AI42" s="278" t="s">
        <v>199</v>
      </c>
      <c r="AJ42" s="278">
        <v>524.35</v>
      </c>
      <c r="AK42" s="278">
        <v>546.61</v>
      </c>
      <c r="AL42" s="278">
        <v>305.04000000000002</v>
      </c>
      <c r="AM42" s="278">
        <v>1444.84</v>
      </c>
      <c r="AN42" s="278">
        <v>267.45999999999998</v>
      </c>
      <c r="AO42" s="278" t="s">
        <v>199</v>
      </c>
      <c r="AP42" s="278">
        <v>65.92</v>
      </c>
      <c r="AQ42" s="278">
        <v>204.54</v>
      </c>
    </row>
    <row r="43" spans="1:43" ht="38.25" customHeight="1" thickTop="1" thickBot="1" x14ac:dyDescent="0.3">
      <c r="A43" s="608" t="s">
        <v>49</v>
      </c>
      <c r="B43" s="605"/>
      <c r="C43" s="289"/>
      <c r="D43" s="605" t="s">
        <v>47</v>
      </c>
      <c r="E43" s="605"/>
      <c r="F43" s="289"/>
      <c r="G43" s="605" t="s">
        <v>48</v>
      </c>
      <c r="H43" s="605"/>
      <c r="I43" s="290"/>
      <c r="J43" s="605" t="s">
        <v>50</v>
      </c>
      <c r="K43" s="578"/>
      <c r="L43" s="44"/>
      <c r="M43" s="44"/>
      <c r="N43" s="44"/>
      <c r="O43" s="45"/>
      <c r="P43" s="45"/>
      <c r="Q43" s="45"/>
      <c r="R43" s="568" t="s">
        <v>168</v>
      </c>
      <c r="S43" s="569"/>
      <c r="T43" s="569"/>
      <c r="U43" s="570"/>
      <c r="AC43" s="45"/>
    </row>
    <row r="44" spans="1:43" ht="24.75" thickTop="1" thickBot="1" x14ac:dyDescent="0.3">
      <c r="A44" s="282" t="s">
        <v>135</v>
      </c>
      <c r="B44" s="283">
        <f>SUM(B41:AC41)</f>
        <v>0</v>
      </c>
      <c r="C44" s="12"/>
      <c r="D44" s="282" t="s">
        <v>135</v>
      </c>
      <c r="E44" s="283">
        <f>SUM(B41:H41)+P41+R41+T41+V41+X41+Z41</f>
        <v>0</v>
      </c>
      <c r="F44" s="12"/>
      <c r="G44" s="282" t="s">
        <v>135</v>
      </c>
      <c r="H44" s="283">
        <f>SUM(I41:N41)+O41+Q41+S41+U41+W41+Y41</f>
        <v>0</v>
      </c>
      <c r="I44" s="12"/>
      <c r="J44" s="282" t="s">
        <v>200</v>
      </c>
      <c r="K44" s="283">
        <v>184095.95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3" ht="24" thickBot="1" x14ac:dyDescent="0.4">
      <c r="A45" s="284" t="s">
        <v>185</v>
      </c>
      <c r="B45" s="285">
        <f>SUM(AH41:AQ41)</f>
        <v>13376.961128763984</v>
      </c>
      <c r="C45" s="12"/>
      <c r="D45" s="284" t="s">
        <v>185</v>
      </c>
      <c r="E45" s="285">
        <f>AH41*(1-$AG$40)+AI41+AJ41*0.5+AL41+AM41*(1-$AG$40)+AN41*(1-$AG$40)+AO41*(1-$AG$40)+AP41*0.5+AQ41*0.5</f>
        <v>10904.635871896227</v>
      </c>
      <c r="F45" s="24"/>
      <c r="G45" s="284" t="s">
        <v>185</v>
      </c>
      <c r="H45" s="285">
        <f>AH41*AG40+AJ41*0.5+AK41+AM41*AG40+AN41*AG40+AO41*AG40+AP41*0.5+AQ41*0.5</f>
        <v>2472.3252568677544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0</v>
      </c>
      <c r="U45" s="256">
        <f>(T45*8.34*0.895)/27000</f>
        <v>0</v>
      </c>
    </row>
    <row r="46" spans="1:43" ht="32.25" thickBot="1" x14ac:dyDescent="0.3">
      <c r="A46" s="286" t="s">
        <v>186</v>
      </c>
      <c r="B46" s="287">
        <f>SUM(AH42:AQ42)</f>
        <v>3793.01</v>
      </c>
      <c r="C46" s="12"/>
      <c r="D46" s="286" t="s">
        <v>186</v>
      </c>
      <c r="E46" s="287">
        <f>AH42*(1-$AG$40)+AJ42*0.5+AL42+AM42*(1-$AG$40)+AN42*(1-$AG$40)+AP42*0.5+AQ42*0.5</f>
        <v>2848.9949999999999</v>
      </c>
      <c r="F46" s="23"/>
      <c r="G46" s="286" t="s">
        <v>186</v>
      </c>
      <c r="H46" s="287">
        <f>AH42*AG40+AJ42*0.5+AK42+AM42*AG40+AN42*AG40+AP42*0.5+AQ42*0.5</f>
        <v>944.0150000000001</v>
      </c>
      <c r="I46" s="12"/>
      <c r="J46" s="606" t="s">
        <v>201</v>
      </c>
      <c r="K46" s="607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3" ht="24.75" thickTop="1" thickBot="1" x14ac:dyDescent="0.4">
      <c r="A47" s="286" t="s">
        <v>187</v>
      </c>
      <c r="B47" s="287">
        <f>K44</f>
        <v>184095.95</v>
      </c>
      <c r="C47" s="12"/>
      <c r="D47" s="286" t="s">
        <v>189</v>
      </c>
      <c r="E47" s="287">
        <f>K44*0.5</f>
        <v>92047.975000000006</v>
      </c>
      <c r="F47" s="24"/>
      <c r="G47" s="286" t="s">
        <v>187</v>
      </c>
      <c r="H47" s="287">
        <f>K44*0.5</f>
        <v>92047.975000000006</v>
      </c>
      <c r="I47" s="12"/>
      <c r="J47" s="282" t="s">
        <v>200</v>
      </c>
      <c r="K47" s="283">
        <v>99027.77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0</v>
      </c>
      <c r="U47" s="256">
        <f>T47/40000</f>
        <v>0</v>
      </c>
    </row>
    <row r="48" spans="1:43" ht="24" thickBot="1" x14ac:dyDescent="0.3">
      <c r="A48" s="286" t="s">
        <v>188</v>
      </c>
      <c r="B48" s="287">
        <f>K47</f>
        <v>99027.77</v>
      </c>
      <c r="C48" s="12"/>
      <c r="D48" s="286" t="s">
        <v>188</v>
      </c>
      <c r="E48" s="287">
        <f>K47*0.5</f>
        <v>49513.885000000002</v>
      </c>
      <c r="F48" s="23"/>
      <c r="G48" s="286" t="s">
        <v>188</v>
      </c>
      <c r="H48" s="287">
        <f>K47*0.5</f>
        <v>49513.885000000002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196</v>
      </c>
      <c r="B49" s="292">
        <f>AD40</f>
        <v>0</v>
      </c>
      <c r="C49" s="12"/>
      <c r="D49" s="291" t="s">
        <v>197</v>
      </c>
      <c r="E49" s="292">
        <f>AF40</f>
        <v>0</v>
      </c>
      <c r="F49" s="23"/>
      <c r="G49" s="291" t="s">
        <v>198</v>
      </c>
      <c r="H49" s="292">
        <f>AE40</f>
        <v>0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0</v>
      </c>
      <c r="U49" s="256">
        <f>(T49*8.34*1.04)/45000</f>
        <v>0</v>
      </c>
    </row>
    <row r="50" spans="1:25" ht="48" thickTop="1" thickBot="1" x14ac:dyDescent="0.3">
      <c r="A50" s="291" t="s">
        <v>192</v>
      </c>
      <c r="B50" s="293" t="e">
        <f>(SUM(B44:B48)/AD40)</f>
        <v>#DIV/0!</v>
      </c>
      <c r="C50" s="12"/>
      <c r="D50" s="291" t="s">
        <v>190</v>
      </c>
      <c r="E50" s="293" t="e">
        <f>SUM(E44:E48)/AF40</f>
        <v>#DIV/0!</v>
      </c>
      <c r="F50" s="23"/>
      <c r="G50" s="291" t="s">
        <v>191</v>
      </c>
      <c r="H50" s="293" t="e">
        <f>SUM(H44:H48)/AE40</f>
        <v>#DIV/0!</v>
      </c>
      <c r="I50" s="12"/>
      <c r="J50" s="12"/>
      <c r="K50" s="86"/>
      <c r="L50" s="12"/>
      <c r="M50" s="12"/>
      <c r="N50" s="12"/>
      <c r="O50" s="12"/>
      <c r="P50" s="12"/>
      <c r="Q50" s="12"/>
      <c r="R50" s="318" t="s">
        <v>153</v>
      </c>
      <c r="S50" s="319"/>
      <c r="T50" s="254">
        <f>$U$39+$V$39+$AB$39</f>
        <v>0</v>
      </c>
      <c r="U50" s="256">
        <f>T50/2000/8</f>
        <v>0</v>
      </c>
    </row>
    <row r="51" spans="1:25" ht="47.25" customHeight="1" thickTop="1" thickBot="1" x14ac:dyDescent="0.3">
      <c r="A51" s="281" t="s">
        <v>193</v>
      </c>
      <c r="B51" s="294" t="e">
        <f>B50/1000</f>
        <v>#DIV/0!</v>
      </c>
      <c r="C51" s="12"/>
      <c r="D51" s="281" t="s">
        <v>194</v>
      </c>
      <c r="E51" s="294" t="e">
        <f>E50/1000</f>
        <v>#DIV/0!</v>
      </c>
      <c r="F51" s="12"/>
      <c r="G51" s="281" t="s">
        <v>195</v>
      </c>
      <c r="H51" s="294" t="e">
        <f>H50/1000</f>
        <v>#DIV/0!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154</v>
      </c>
      <c r="S51" s="319"/>
      <c r="T51" s="254">
        <f>$C$39+$J$39+$S$39+$T$39</f>
        <v>0</v>
      </c>
      <c r="U51" s="256">
        <f>(T51*8.34*1.4)/45000</f>
        <v>0</v>
      </c>
    </row>
    <row r="52" spans="1:25" ht="16.5" thickTop="1" thickBot="1" x14ac:dyDescent="0.3">
      <c r="A52" s="303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155</v>
      </c>
      <c r="S52" s="319"/>
      <c r="T52" s="254">
        <f>$H$39</f>
        <v>0</v>
      </c>
      <c r="U52" s="256">
        <f>(T52*8.34*1.135)/45000</f>
        <v>0</v>
      </c>
    </row>
    <row r="53" spans="1:25" ht="48" customHeight="1" thickTop="1" thickBot="1" x14ac:dyDescent="0.3">
      <c r="A53" s="571" t="s">
        <v>51</v>
      </c>
      <c r="B53" s="572"/>
      <c r="C53" s="572"/>
      <c r="D53" s="572"/>
      <c r="E53" s="573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156</v>
      </c>
      <c r="S53" s="319"/>
      <c r="T53" s="254">
        <f>$B$39+$I$39+$AC$39</f>
        <v>0</v>
      </c>
      <c r="U53" s="256">
        <f>(T53*8.34*1.029*0.03)/3300</f>
        <v>0</v>
      </c>
    </row>
    <row r="54" spans="1:25" ht="45.75" customHeight="1" thickBot="1" x14ac:dyDescent="0.3">
      <c r="A54" s="602" t="s">
        <v>202</v>
      </c>
      <c r="B54" s="603"/>
      <c r="C54" s="603"/>
      <c r="D54" s="603"/>
      <c r="E54" s="60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65" t="s">
        <v>158</v>
      </c>
      <c r="S54" s="566"/>
      <c r="T54" s="258">
        <f>$D$39+$Y$39+$Z$39</f>
        <v>0</v>
      </c>
      <c r="U54" s="259">
        <f>(T54*1.54*8.34)/45000</f>
        <v>0</v>
      </c>
    </row>
    <row r="55" spans="1:25" ht="24" thickTop="1" x14ac:dyDescent="0.25">
      <c r="A55" s="611"/>
      <c r="B55" s="6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613"/>
      <c r="B56" s="61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09"/>
      <c r="B57" s="61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10"/>
      <c r="B58" s="61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09"/>
      <c r="B59" s="61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10"/>
      <c r="B60" s="610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vHT+yfpx67FHIVVVNPiUectmpGCIip5pF3ke+M66KaiBRXvajEkIODHrlNGyr/GelEeJbG5xnINofvDeSbnoPQ==" saltValue="HehfQtzUrDmVN3r1YkMPzw==" spinCount="100000" sheet="1" objects="1" scenarios="1" selectLockedCells="1" selectUnlockedCells="1"/>
  <mergeCells count="34"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52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4"/>
  <sheetViews>
    <sheetView topLeftCell="A16" zoomScale="80" zoomScaleNormal="80" workbookViewId="0">
      <selection activeCell="AJ46" sqref="AJ46"/>
    </sheetView>
  </sheetViews>
  <sheetFormatPr defaultRowHeight="15" x14ac:dyDescent="0.25"/>
  <cols>
    <col min="1" max="1" width="46.5703125" bestFit="1" customWidth="1"/>
    <col min="2" max="2" width="19.140625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19.140625" bestFit="1" customWidth="1"/>
    <col min="9" max="9" width="28.28515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5" width="16.28515625" bestFit="1" customWidth="1"/>
    <col min="16" max="16" width="15.710937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570312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81" t="s">
        <v>3</v>
      </c>
      <c r="C4" s="582"/>
      <c r="D4" s="582"/>
      <c r="E4" s="582"/>
      <c r="F4" s="582"/>
      <c r="G4" s="582"/>
      <c r="H4" s="583"/>
      <c r="I4" s="581" t="s">
        <v>4</v>
      </c>
      <c r="J4" s="582"/>
      <c r="K4" s="582"/>
      <c r="L4" s="582"/>
      <c r="M4" s="582"/>
      <c r="N4" s="583"/>
      <c r="O4" s="587" t="s">
        <v>5</v>
      </c>
      <c r="P4" s="588"/>
      <c r="Q4" s="589"/>
      <c r="R4" s="589"/>
      <c r="S4" s="589"/>
      <c r="T4" s="590"/>
      <c r="U4" s="581" t="s">
        <v>6</v>
      </c>
      <c r="V4" s="594"/>
      <c r="W4" s="594"/>
      <c r="X4" s="594"/>
      <c r="Y4" s="594"/>
      <c r="Z4" s="594"/>
      <c r="AA4" s="595"/>
      <c r="AB4" s="574" t="s">
        <v>7</v>
      </c>
      <c r="AC4" s="600" t="s">
        <v>8</v>
      </c>
      <c r="AD4" s="579" t="s">
        <v>27</v>
      </c>
      <c r="AE4" s="579" t="s">
        <v>31</v>
      </c>
      <c r="AF4" s="579" t="s">
        <v>32</v>
      </c>
      <c r="AG4" s="579" t="s">
        <v>33</v>
      </c>
      <c r="AH4" s="574" t="s">
        <v>175</v>
      </c>
      <c r="AI4" s="574" t="s">
        <v>176</v>
      </c>
      <c r="AJ4" s="574" t="s">
        <v>177</v>
      </c>
      <c r="AK4" s="574" t="s">
        <v>178</v>
      </c>
      <c r="AL4" s="574" t="s">
        <v>179</v>
      </c>
      <c r="AM4" s="574" t="s">
        <v>180</v>
      </c>
      <c r="AN4" s="574" t="s">
        <v>181</v>
      </c>
      <c r="AO4" s="574" t="s">
        <v>184</v>
      </c>
      <c r="AP4" s="574" t="s">
        <v>182</v>
      </c>
      <c r="AQ4" s="574" t="s">
        <v>183</v>
      </c>
      <c r="AT4" t="s">
        <v>171</v>
      </c>
      <c r="AU4" s="338" t="s">
        <v>209</v>
      </c>
    </row>
    <row r="5" spans="1:47" ht="30" customHeight="1" thickBot="1" x14ac:dyDescent="0.3">
      <c r="A5" s="13"/>
      <c r="B5" s="584"/>
      <c r="C5" s="585"/>
      <c r="D5" s="585"/>
      <c r="E5" s="585"/>
      <c r="F5" s="585"/>
      <c r="G5" s="585"/>
      <c r="H5" s="586"/>
      <c r="I5" s="584"/>
      <c r="J5" s="585"/>
      <c r="K5" s="585"/>
      <c r="L5" s="585"/>
      <c r="M5" s="585"/>
      <c r="N5" s="586"/>
      <c r="O5" s="591"/>
      <c r="P5" s="592"/>
      <c r="Q5" s="592"/>
      <c r="R5" s="592"/>
      <c r="S5" s="592"/>
      <c r="T5" s="593"/>
      <c r="U5" s="596"/>
      <c r="V5" s="597"/>
      <c r="W5" s="597"/>
      <c r="X5" s="597"/>
      <c r="Y5" s="597"/>
      <c r="Z5" s="597"/>
      <c r="AA5" s="598"/>
      <c r="AB5" s="599"/>
      <c r="AC5" s="601"/>
      <c r="AD5" s="580"/>
      <c r="AE5" s="580"/>
      <c r="AF5" s="580"/>
      <c r="AG5" s="580"/>
      <c r="AH5" s="575"/>
      <c r="AI5" s="575"/>
      <c r="AJ5" s="575"/>
      <c r="AK5" s="575"/>
      <c r="AL5" s="575"/>
      <c r="AM5" s="575"/>
      <c r="AN5" s="575"/>
      <c r="AO5" s="575"/>
      <c r="AP5" s="575"/>
      <c r="AQ5" s="575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42491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0</v>
      </c>
      <c r="J8" s="50">
        <v>0</v>
      </c>
      <c r="K8" s="50">
        <v>0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5">
        <v>0</v>
      </c>
      <c r="AB8" s="57">
        <v>0</v>
      </c>
      <c r="AC8" s="57">
        <v>0</v>
      </c>
      <c r="AD8" s="57">
        <v>0</v>
      </c>
      <c r="AE8" s="58">
        <v>0</v>
      </c>
      <c r="AF8" s="58">
        <v>0</v>
      </c>
      <c r="AG8" s="58">
        <v>0</v>
      </c>
      <c r="AH8" s="57">
        <v>258.9877869606018</v>
      </c>
      <c r="AI8" s="57">
        <v>532.97964669863381</v>
      </c>
      <c r="AJ8" s="57">
        <v>1277.3746969223023</v>
      </c>
      <c r="AK8" s="57">
        <v>156.83726968765259</v>
      </c>
      <c r="AL8" s="57">
        <v>1473.6928803126018</v>
      </c>
      <c r="AM8" s="57">
        <v>1388.6816753387452</v>
      </c>
      <c r="AN8" s="57">
        <v>998.37207736969003</v>
      </c>
      <c r="AO8" s="57">
        <v>356.55595768292744</v>
      </c>
      <c r="AP8" s="57">
        <v>74.498937606811523</v>
      </c>
      <c r="AQ8" s="57">
        <v>582.56652154922483</v>
      </c>
    </row>
    <row r="9" spans="1:47" x14ac:dyDescent="0.25">
      <c r="A9" s="11">
        <v>42492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0</v>
      </c>
      <c r="J9" s="60">
        <v>0</v>
      </c>
      <c r="K9" s="60">
        <v>0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0</v>
      </c>
      <c r="V9" s="62">
        <v>0</v>
      </c>
      <c r="W9" s="62">
        <v>0</v>
      </c>
      <c r="X9" s="62">
        <v>0</v>
      </c>
      <c r="Y9" s="66">
        <v>0</v>
      </c>
      <c r="Z9" s="66">
        <v>0</v>
      </c>
      <c r="AA9" s="67">
        <v>0</v>
      </c>
      <c r="AB9" s="68">
        <v>0</v>
      </c>
      <c r="AC9" s="69">
        <v>0</v>
      </c>
      <c r="AD9" s="69">
        <v>0</v>
      </c>
      <c r="AE9" s="68">
        <v>0</v>
      </c>
      <c r="AF9" s="68">
        <v>0</v>
      </c>
      <c r="AG9" s="68">
        <v>0</v>
      </c>
      <c r="AH9" s="69">
        <v>222.74682995875673</v>
      </c>
      <c r="AI9" s="69">
        <v>493.89324189821878</v>
      </c>
      <c r="AJ9" s="69">
        <v>1206.3427428563436</v>
      </c>
      <c r="AK9" s="69">
        <v>159.13665974934895</v>
      </c>
      <c r="AL9" s="69">
        <v>1424.9245964050292</v>
      </c>
      <c r="AM9" s="69">
        <v>1529.9727916717529</v>
      </c>
      <c r="AN9" s="69">
        <v>706.39535401662204</v>
      </c>
      <c r="AO9" s="69">
        <v>331.21535964012145</v>
      </c>
      <c r="AP9" s="69">
        <v>74.498937606811523</v>
      </c>
      <c r="AQ9" s="69">
        <v>628.98016544977816</v>
      </c>
    </row>
    <row r="10" spans="1:47" x14ac:dyDescent="0.25">
      <c r="A10" s="11">
        <v>42493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0</v>
      </c>
      <c r="J10" s="60">
        <v>0</v>
      </c>
      <c r="K10" s="60">
        <v>0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0</v>
      </c>
      <c r="V10" s="62">
        <v>0</v>
      </c>
      <c r="W10" s="62">
        <v>0</v>
      </c>
      <c r="X10" s="62">
        <v>0</v>
      </c>
      <c r="Y10" s="66">
        <v>0</v>
      </c>
      <c r="Z10" s="66">
        <v>0</v>
      </c>
      <c r="AA10" s="67">
        <v>0</v>
      </c>
      <c r="AB10" s="68">
        <v>0</v>
      </c>
      <c r="AC10" s="69">
        <v>0</v>
      </c>
      <c r="AD10" s="69">
        <v>0</v>
      </c>
      <c r="AE10" s="68">
        <v>0</v>
      </c>
      <c r="AF10" s="68">
        <v>0</v>
      </c>
      <c r="AG10" s="68">
        <v>0</v>
      </c>
      <c r="AH10" s="69">
        <v>194.21625842253371</v>
      </c>
      <c r="AI10" s="69">
        <v>427.21143018404638</v>
      </c>
      <c r="AJ10" s="69">
        <v>1127.8874620437621</v>
      </c>
      <c r="AK10" s="69">
        <v>158.80922489166261</v>
      </c>
      <c r="AL10" s="69">
        <v>1436.3059373219808</v>
      </c>
      <c r="AM10" s="69">
        <v>1503.9154525121055</v>
      </c>
      <c r="AN10" s="69">
        <v>510.90283919970193</v>
      </c>
      <c r="AO10" s="69">
        <v>264.29706006050111</v>
      </c>
      <c r="AP10" s="69">
        <v>165.40238608519235</v>
      </c>
      <c r="AQ10" s="69">
        <v>607.86020898818958</v>
      </c>
    </row>
    <row r="11" spans="1:47" x14ac:dyDescent="0.25">
      <c r="A11" s="11">
        <v>42494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0</v>
      </c>
      <c r="J11" s="60">
        <v>0</v>
      </c>
      <c r="K11" s="60">
        <v>0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0</v>
      </c>
      <c r="V11" s="62">
        <v>0</v>
      </c>
      <c r="W11" s="62">
        <v>0</v>
      </c>
      <c r="X11" s="62">
        <v>0</v>
      </c>
      <c r="Y11" s="66">
        <v>0</v>
      </c>
      <c r="Z11" s="66">
        <v>0</v>
      </c>
      <c r="AA11" s="67">
        <v>0</v>
      </c>
      <c r="AB11" s="68">
        <v>0</v>
      </c>
      <c r="AC11" s="69">
        <v>0</v>
      </c>
      <c r="AD11" s="69">
        <v>0</v>
      </c>
      <c r="AE11" s="68">
        <v>0</v>
      </c>
      <c r="AF11" s="68">
        <v>0</v>
      </c>
      <c r="AG11" s="68">
        <v>0</v>
      </c>
      <c r="AH11" s="69">
        <v>179.40988191763557</v>
      </c>
      <c r="AI11" s="69">
        <v>402.0515416463216</v>
      </c>
      <c r="AJ11" s="69">
        <v>1168.9028434117636</v>
      </c>
      <c r="AK11" s="69">
        <v>153.80005784034728</v>
      </c>
      <c r="AL11" s="69">
        <v>1456.4418724060058</v>
      </c>
      <c r="AM11" s="69">
        <v>1713.1554933547973</v>
      </c>
      <c r="AN11" s="69">
        <v>472.29942396481829</v>
      </c>
      <c r="AO11" s="69">
        <v>295.23355400562286</v>
      </c>
      <c r="AP11" s="69">
        <v>318.88041397730512</v>
      </c>
      <c r="AQ11" s="69">
        <v>778.514357026418</v>
      </c>
    </row>
    <row r="12" spans="1:47" x14ac:dyDescent="0.25">
      <c r="A12" s="11">
        <v>42495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0</v>
      </c>
      <c r="J12" s="60">
        <v>0</v>
      </c>
      <c r="K12" s="60">
        <v>0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0</v>
      </c>
      <c r="V12" s="62">
        <v>0</v>
      </c>
      <c r="W12" s="62">
        <v>0</v>
      </c>
      <c r="X12" s="62">
        <v>0</v>
      </c>
      <c r="Y12" s="66">
        <v>0</v>
      </c>
      <c r="Z12" s="66">
        <v>0</v>
      </c>
      <c r="AA12" s="67">
        <v>0</v>
      </c>
      <c r="AB12" s="68">
        <v>0</v>
      </c>
      <c r="AC12" s="69">
        <v>0</v>
      </c>
      <c r="AD12" s="69">
        <v>0</v>
      </c>
      <c r="AE12" s="68">
        <v>0</v>
      </c>
      <c r="AF12" s="68">
        <v>0</v>
      </c>
      <c r="AG12" s="68">
        <v>0</v>
      </c>
      <c r="AH12" s="69">
        <v>167.69787414868674</v>
      </c>
      <c r="AI12" s="69">
        <v>405.63922556241369</v>
      </c>
      <c r="AJ12" s="69">
        <v>1186.0820685704548</v>
      </c>
      <c r="AK12" s="69">
        <v>155.90322389602662</v>
      </c>
      <c r="AL12" s="69">
        <v>1555.5521601994833</v>
      </c>
      <c r="AM12" s="69">
        <v>1808.0009361267091</v>
      </c>
      <c r="AN12" s="69">
        <v>519.48002341588335</v>
      </c>
      <c r="AO12" s="69">
        <v>292.12683518727619</v>
      </c>
      <c r="AP12" s="69">
        <v>200.59238309065501</v>
      </c>
      <c r="AQ12" s="69">
        <v>816.77639961242676</v>
      </c>
    </row>
    <row r="13" spans="1:47" x14ac:dyDescent="0.25">
      <c r="A13" s="11">
        <v>42496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0</v>
      </c>
      <c r="J13" s="60">
        <v>0</v>
      </c>
      <c r="K13" s="60">
        <v>0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0</v>
      </c>
      <c r="V13" s="62">
        <v>0</v>
      </c>
      <c r="W13" s="62">
        <v>0</v>
      </c>
      <c r="X13" s="62">
        <v>0</v>
      </c>
      <c r="Y13" s="66">
        <v>0</v>
      </c>
      <c r="Z13" s="66">
        <v>0</v>
      </c>
      <c r="AA13" s="67">
        <v>0</v>
      </c>
      <c r="AB13" s="68">
        <v>0</v>
      </c>
      <c r="AC13" s="69">
        <v>0</v>
      </c>
      <c r="AD13" s="69">
        <v>0</v>
      </c>
      <c r="AE13" s="68">
        <v>0</v>
      </c>
      <c r="AF13" s="68">
        <v>0</v>
      </c>
      <c r="AG13" s="68">
        <v>0</v>
      </c>
      <c r="AH13" s="69">
        <v>169.5095405101776</v>
      </c>
      <c r="AI13" s="69">
        <v>423.34596330324814</v>
      </c>
      <c r="AJ13" s="69">
        <v>1202.0510705312092</v>
      </c>
      <c r="AK13" s="69">
        <v>153.74247082074481</v>
      </c>
      <c r="AL13" s="69">
        <v>1642.3502958297731</v>
      </c>
      <c r="AM13" s="69">
        <v>2113.3129033406576</v>
      </c>
      <c r="AN13" s="69">
        <v>556.83466401100168</v>
      </c>
      <c r="AO13" s="69">
        <v>229.99739409287764</v>
      </c>
      <c r="AP13" s="69">
        <v>79.629511368274692</v>
      </c>
      <c r="AQ13" s="69">
        <v>781.79091618855796</v>
      </c>
    </row>
    <row r="14" spans="1:47" x14ac:dyDescent="0.25">
      <c r="A14" s="11">
        <v>42497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0</v>
      </c>
      <c r="J14" s="60">
        <v>0</v>
      </c>
      <c r="K14" s="60">
        <v>0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0</v>
      </c>
      <c r="V14" s="62">
        <v>0</v>
      </c>
      <c r="W14" s="62">
        <v>0</v>
      </c>
      <c r="X14" s="62">
        <v>0</v>
      </c>
      <c r="Y14" s="66">
        <v>0</v>
      </c>
      <c r="Z14" s="66">
        <v>0</v>
      </c>
      <c r="AA14" s="67">
        <v>0</v>
      </c>
      <c r="AB14" s="68">
        <v>0</v>
      </c>
      <c r="AC14" s="69">
        <v>0</v>
      </c>
      <c r="AD14" s="69">
        <v>0</v>
      </c>
      <c r="AE14" s="68">
        <v>0</v>
      </c>
      <c r="AF14" s="68">
        <v>0</v>
      </c>
      <c r="AG14" s="68">
        <v>0</v>
      </c>
      <c r="AH14" s="69">
        <v>200.50163256327312</v>
      </c>
      <c r="AI14" s="69">
        <v>435.5624443531035</v>
      </c>
      <c r="AJ14" s="69">
        <v>1123.9854908625286</v>
      </c>
      <c r="AK14" s="69">
        <v>152.06045532226562</v>
      </c>
      <c r="AL14" s="69">
        <v>1400.8929950078325</v>
      </c>
      <c r="AM14" s="69">
        <v>2303.8670654296875</v>
      </c>
      <c r="AN14" s="69">
        <v>489.86954158147176</v>
      </c>
      <c r="AO14" s="69">
        <v>275.68302102883661</v>
      </c>
      <c r="AP14" s="69">
        <v>61.834640216827403</v>
      </c>
      <c r="AQ14" s="69">
        <v>588.03767528533933</v>
      </c>
    </row>
    <row r="15" spans="1:47" x14ac:dyDescent="0.25">
      <c r="A15" s="11">
        <v>42498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0</v>
      </c>
      <c r="J15" s="60">
        <v>0</v>
      </c>
      <c r="K15" s="60">
        <v>0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0</v>
      </c>
      <c r="V15" s="62">
        <v>0</v>
      </c>
      <c r="W15" s="62">
        <v>0</v>
      </c>
      <c r="X15" s="62">
        <v>0</v>
      </c>
      <c r="Y15" s="66">
        <v>0</v>
      </c>
      <c r="Z15" s="66">
        <v>0</v>
      </c>
      <c r="AA15" s="67">
        <v>0</v>
      </c>
      <c r="AB15" s="68">
        <v>0</v>
      </c>
      <c r="AC15" s="69">
        <v>0</v>
      </c>
      <c r="AD15" s="69">
        <v>0</v>
      </c>
      <c r="AE15" s="68">
        <v>0</v>
      </c>
      <c r="AF15" s="68">
        <v>0</v>
      </c>
      <c r="AG15" s="68">
        <v>0</v>
      </c>
      <c r="AH15" s="69">
        <v>219.89881385167442</v>
      </c>
      <c r="AI15" s="69">
        <v>454.40978110631301</v>
      </c>
      <c r="AJ15" s="69">
        <v>1153.3141672770182</v>
      </c>
      <c r="AK15" s="69">
        <v>153.62947465578713</v>
      </c>
      <c r="AL15" s="69">
        <v>1378.6579818725586</v>
      </c>
      <c r="AM15" s="69">
        <v>2303.8670654296875</v>
      </c>
      <c r="AN15" s="69">
        <v>488.9410837968191</v>
      </c>
      <c r="AO15" s="69">
        <v>320.11071876684821</v>
      </c>
      <c r="AP15" s="69">
        <v>64.037340776125589</v>
      </c>
      <c r="AQ15" s="69">
        <v>577.71970052719121</v>
      </c>
    </row>
    <row r="16" spans="1:47" x14ac:dyDescent="0.25">
      <c r="A16" s="11">
        <v>42499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0</v>
      </c>
      <c r="J16" s="60">
        <v>0</v>
      </c>
      <c r="K16" s="60">
        <v>0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0</v>
      </c>
      <c r="V16" s="62">
        <v>0</v>
      </c>
      <c r="W16" s="62">
        <v>0</v>
      </c>
      <c r="X16" s="62">
        <v>0</v>
      </c>
      <c r="Y16" s="66">
        <v>0</v>
      </c>
      <c r="Z16" s="66">
        <v>0</v>
      </c>
      <c r="AA16" s="67">
        <v>0</v>
      </c>
      <c r="AB16" s="68">
        <v>0</v>
      </c>
      <c r="AC16" s="69">
        <v>0</v>
      </c>
      <c r="AD16" s="69">
        <v>0</v>
      </c>
      <c r="AE16" s="68">
        <v>0</v>
      </c>
      <c r="AF16" s="68">
        <v>0</v>
      </c>
      <c r="AG16" s="68">
        <v>0</v>
      </c>
      <c r="AH16" s="69">
        <v>213.77572398980459</v>
      </c>
      <c r="AI16" s="69">
        <v>434.90116642316184</v>
      </c>
      <c r="AJ16" s="69">
        <v>1204.4348836898803</v>
      </c>
      <c r="AK16" s="69">
        <v>153.15824022293091</v>
      </c>
      <c r="AL16" s="69">
        <v>1419.2354483922318</v>
      </c>
      <c r="AM16" s="69">
        <v>2060.5767714182539</v>
      </c>
      <c r="AN16" s="69">
        <v>533.94921962420142</v>
      </c>
      <c r="AO16" s="69">
        <v>309.10931018988293</v>
      </c>
      <c r="AP16" s="69">
        <v>61.707735216617579</v>
      </c>
      <c r="AQ16" s="69">
        <v>630.9504909833272</v>
      </c>
    </row>
    <row r="17" spans="1:43" x14ac:dyDescent="0.25">
      <c r="A17" s="11">
        <v>42500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37.383866715431203</v>
      </c>
      <c r="J17" s="50">
        <v>72.833193556467734</v>
      </c>
      <c r="K17" s="50">
        <v>3.9919418076674162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0</v>
      </c>
      <c r="V17" s="66">
        <v>0</v>
      </c>
      <c r="W17" s="62">
        <v>0</v>
      </c>
      <c r="X17" s="62">
        <v>0</v>
      </c>
      <c r="Y17" s="66">
        <v>0</v>
      </c>
      <c r="Z17" s="66">
        <v>0</v>
      </c>
      <c r="AA17" s="67">
        <v>0</v>
      </c>
      <c r="AB17" s="68">
        <v>9.0745370533731133</v>
      </c>
      <c r="AC17" s="69">
        <v>0</v>
      </c>
      <c r="AD17" s="69">
        <v>0</v>
      </c>
      <c r="AE17" s="68">
        <v>0</v>
      </c>
      <c r="AF17" s="68">
        <v>0</v>
      </c>
      <c r="AG17" s="68">
        <v>0</v>
      </c>
      <c r="AH17" s="69">
        <v>224.75120116869607</v>
      </c>
      <c r="AI17" s="69">
        <v>448.40098293622333</v>
      </c>
      <c r="AJ17" s="69">
        <v>1159.0803999582927</v>
      </c>
      <c r="AK17" s="69">
        <v>224.9443200667699</v>
      </c>
      <c r="AL17" s="69">
        <v>1531.1658569335939</v>
      </c>
      <c r="AM17" s="69">
        <v>1851.4579708099366</v>
      </c>
      <c r="AN17" s="69">
        <v>512.66667896906529</v>
      </c>
      <c r="AO17" s="69">
        <v>296.41740162372594</v>
      </c>
      <c r="AP17" s="69">
        <v>142.83224190076191</v>
      </c>
      <c r="AQ17" s="69">
        <v>616.29087295532224</v>
      </c>
    </row>
    <row r="18" spans="1:43" x14ac:dyDescent="0.25">
      <c r="A18" s="11">
        <v>42501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50.486651917298708</v>
      </c>
      <c r="J18" s="60">
        <v>89.959375751018541</v>
      </c>
      <c r="K18" s="60">
        <v>4.8736112793286663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0</v>
      </c>
      <c r="V18" s="62">
        <v>0</v>
      </c>
      <c r="W18" s="62">
        <v>0</v>
      </c>
      <c r="X18" s="62">
        <v>0</v>
      </c>
      <c r="Y18" s="66">
        <v>0</v>
      </c>
      <c r="Z18" s="66">
        <v>0</v>
      </c>
      <c r="AA18" s="67">
        <v>0</v>
      </c>
      <c r="AB18" s="68">
        <v>12.214953294065236</v>
      </c>
      <c r="AC18" s="69">
        <v>0</v>
      </c>
      <c r="AD18" s="69">
        <v>0</v>
      </c>
      <c r="AE18" s="68">
        <v>0</v>
      </c>
      <c r="AF18" s="68">
        <v>0</v>
      </c>
      <c r="AG18" s="68">
        <v>0</v>
      </c>
      <c r="AH18" s="69">
        <v>233.39387418429058</v>
      </c>
      <c r="AI18" s="69">
        <v>459.92891203562402</v>
      </c>
      <c r="AJ18" s="69">
        <v>1170.4574508031208</v>
      </c>
      <c r="AK18" s="69">
        <v>374.48141390482579</v>
      </c>
      <c r="AL18" s="69">
        <v>1374.3383125940954</v>
      </c>
      <c r="AM18" s="69">
        <v>2069.5010211944582</v>
      </c>
      <c r="AN18" s="69">
        <v>518.24517202377319</v>
      </c>
      <c r="AO18" s="69">
        <v>319.74054633776342</v>
      </c>
      <c r="AP18" s="69">
        <v>165.58758774201075</v>
      </c>
      <c r="AQ18" s="69">
        <v>642.53136383692424</v>
      </c>
    </row>
    <row r="19" spans="1:43" x14ac:dyDescent="0.25">
      <c r="A19" s="11">
        <v>42502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123.93416236241671</v>
      </c>
      <c r="J19" s="60">
        <v>235.93634074528981</v>
      </c>
      <c r="K19" s="60">
        <v>12.708005906144791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0</v>
      </c>
      <c r="V19" s="62">
        <v>0</v>
      </c>
      <c r="W19" s="62">
        <v>0</v>
      </c>
      <c r="X19" s="62">
        <v>0</v>
      </c>
      <c r="Y19" s="66">
        <v>0</v>
      </c>
      <c r="Z19" s="66">
        <v>0</v>
      </c>
      <c r="AA19" s="67">
        <v>0</v>
      </c>
      <c r="AB19" s="68">
        <v>28.87466456890122</v>
      </c>
      <c r="AC19" s="69">
        <v>0</v>
      </c>
      <c r="AD19" s="69">
        <v>0</v>
      </c>
      <c r="AE19" s="68">
        <v>0</v>
      </c>
      <c r="AF19" s="68">
        <v>0</v>
      </c>
      <c r="AG19" s="68">
        <v>0</v>
      </c>
      <c r="AH19" s="69">
        <v>227.40013804435728</v>
      </c>
      <c r="AI19" s="69">
        <v>450.93274372418728</v>
      </c>
      <c r="AJ19" s="69">
        <v>1172.924895477295</v>
      </c>
      <c r="AK19" s="69">
        <v>407.60913340250659</v>
      </c>
      <c r="AL19" s="69">
        <v>1437.6256684621171</v>
      </c>
      <c r="AM19" s="69">
        <v>2106.9668682098386</v>
      </c>
      <c r="AN19" s="69">
        <v>534.50937782923393</v>
      </c>
      <c r="AO19" s="69">
        <v>284.8928996404012</v>
      </c>
      <c r="AP19" s="69">
        <v>302.21528905232748</v>
      </c>
      <c r="AQ19" s="69">
        <v>743.87312930424991</v>
      </c>
    </row>
    <row r="20" spans="1:43" x14ac:dyDescent="0.25">
      <c r="A20" s="11">
        <v>42503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164.69344504674285</v>
      </c>
      <c r="J20" s="60">
        <v>341.22797574996969</v>
      </c>
      <c r="K20" s="60">
        <v>18.50321410993736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0</v>
      </c>
      <c r="V20" s="62">
        <v>0</v>
      </c>
      <c r="W20" s="62">
        <v>0</v>
      </c>
      <c r="X20" s="62">
        <v>0</v>
      </c>
      <c r="Y20" s="66">
        <v>0</v>
      </c>
      <c r="Z20" s="66">
        <v>0</v>
      </c>
      <c r="AA20" s="67">
        <v>0</v>
      </c>
      <c r="AB20" s="68">
        <v>36.051348001427257</v>
      </c>
      <c r="AC20" s="69">
        <v>0</v>
      </c>
      <c r="AD20" s="69">
        <v>0</v>
      </c>
      <c r="AE20" s="68">
        <v>0</v>
      </c>
      <c r="AF20" s="68">
        <v>0</v>
      </c>
      <c r="AG20" s="68">
        <v>0</v>
      </c>
      <c r="AH20" s="69">
        <v>215.13062526384991</v>
      </c>
      <c r="AI20" s="69">
        <v>439.73377143541978</v>
      </c>
      <c r="AJ20" s="69">
        <v>1126.597839864095</v>
      </c>
      <c r="AK20" s="69">
        <v>394.81799279848741</v>
      </c>
      <c r="AL20" s="69">
        <v>1670.2748875935872</v>
      </c>
      <c r="AM20" s="69">
        <v>2007.72633488973</v>
      </c>
      <c r="AN20" s="69">
        <v>541.3887634595236</v>
      </c>
      <c r="AO20" s="69">
        <v>409.06925592422482</v>
      </c>
      <c r="AP20" s="69">
        <v>353.15002266565955</v>
      </c>
      <c r="AQ20" s="69">
        <v>720.67127189636233</v>
      </c>
    </row>
    <row r="21" spans="1:43" x14ac:dyDescent="0.25">
      <c r="A21" s="11">
        <v>42504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217.61567632357293</v>
      </c>
      <c r="J21" s="60">
        <v>488.14308598836266</v>
      </c>
      <c r="K21" s="60">
        <v>26.7971258938313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0</v>
      </c>
      <c r="V21" s="62">
        <v>0</v>
      </c>
      <c r="W21" s="62">
        <v>0</v>
      </c>
      <c r="X21" s="62">
        <v>0</v>
      </c>
      <c r="Y21" s="66">
        <v>0</v>
      </c>
      <c r="Z21" s="66">
        <v>0</v>
      </c>
      <c r="AA21" s="67">
        <v>0</v>
      </c>
      <c r="AB21" s="68">
        <v>50.445787376828555</v>
      </c>
      <c r="AC21" s="69">
        <v>0</v>
      </c>
      <c r="AD21" s="69">
        <v>0</v>
      </c>
      <c r="AE21" s="68">
        <v>0</v>
      </c>
      <c r="AF21" s="68">
        <v>0</v>
      </c>
      <c r="AG21" s="68">
        <v>0</v>
      </c>
      <c r="AH21" s="69">
        <v>229.22638223965961</v>
      </c>
      <c r="AI21" s="69">
        <v>461.36133621533713</v>
      </c>
      <c r="AJ21" s="69">
        <v>1034.5854047139485</v>
      </c>
      <c r="AK21" s="69">
        <v>401.76517419815065</v>
      </c>
      <c r="AL21" s="69">
        <v>1479.1317122777305</v>
      </c>
      <c r="AM21" s="69">
        <v>1814.2209414164224</v>
      </c>
      <c r="AN21" s="69">
        <v>506.00350367228191</v>
      </c>
      <c r="AO21" s="69">
        <v>282.4753556410472</v>
      </c>
      <c r="AP21" s="69">
        <v>446.18004163106286</v>
      </c>
      <c r="AQ21" s="69">
        <v>564.01623525619493</v>
      </c>
    </row>
    <row r="22" spans="1:43" x14ac:dyDescent="0.25">
      <c r="A22" s="11">
        <v>42505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190.85967408816029</v>
      </c>
      <c r="J22" s="60">
        <v>488.63654352823886</v>
      </c>
      <c r="K22" s="60">
        <v>26.681237612168076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0</v>
      </c>
      <c r="V22" s="62">
        <v>0</v>
      </c>
      <c r="W22" s="62">
        <v>0</v>
      </c>
      <c r="X22" s="62">
        <v>0</v>
      </c>
      <c r="Y22" s="66">
        <v>0</v>
      </c>
      <c r="Z22" s="66">
        <v>0</v>
      </c>
      <c r="AA22" s="67">
        <v>0</v>
      </c>
      <c r="AB22" s="68">
        <v>50.446088290215329</v>
      </c>
      <c r="AC22" s="69">
        <v>0</v>
      </c>
      <c r="AD22" s="69">
        <v>0</v>
      </c>
      <c r="AE22" s="68">
        <v>0</v>
      </c>
      <c r="AF22" s="68">
        <v>0</v>
      </c>
      <c r="AG22" s="68">
        <v>0</v>
      </c>
      <c r="AH22" s="69">
        <v>231.41002815564477</v>
      </c>
      <c r="AI22" s="69">
        <v>471.76977324485773</v>
      </c>
      <c r="AJ22" s="69">
        <v>1053.6446694691977</v>
      </c>
      <c r="AK22" s="69">
        <v>400.94298914273583</v>
      </c>
      <c r="AL22" s="69">
        <v>1496.1751008987428</v>
      </c>
      <c r="AM22" s="69">
        <v>1788.6174083709718</v>
      </c>
      <c r="AN22" s="69">
        <v>516.42528346379595</v>
      </c>
      <c r="AO22" s="69">
        <v>275.24409824212393</v>
      </c>
      <c r="AP22" s="69">
        <v>446.98571681976318</v>
      </c>
      <c r="AQ22" s="69">
        <v>613.18708976109815</v>
      </c>
    </row>
    <row r="23" spans="1:43" x14ac:dyDescent="0.25">
      <c r="A23" s="11">
        <v>42506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182.36753249963112</v>
      </c>
      <c r="J23" s="60">
        <v>487.88175983428988</v>
      </c>
      <c r="K23" s="60">
        <v>26.768219733238304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0</v>
      </c>
      <c r="V23" s="62">
        <v>0</v>
      </c>
      <c r="W23" s="62">
        <v>0</v>
      </c>
      <c r="X23" s="62">
        <v>0</v>
      </c>
      <c r="Y23" s="66">
        <v>0</v>
      </c>
      <c r="Z23" s="66">
        <v>0</v>
      </c>
      <c r="AA23" s="67">
        <v>0</v>
      </c>
      <c r="AB23" s="68">
        <v>50.447433140543708</v>
      </c>
      <c r="AC23" s="69">
        <v>0</v>
      </c>
      <c r="AD23" s="69">
        <v>0</v>
      </c>
      <c r="AE23" s="68">
        <v>0</v>
      </c>
      <c r="AF23" s="68">
        <v>0</v>
      </c>
      <c r="AG23" s="68">
        <v>1</v>
      </c>
      <c r="AH23" s="69">
        <v>249.62625519434616</v>
      </c>
      <c r="AI23" s="69">
        <v>490.08253545761113</v>
      </c>
      <c r="AJ23" s="69">
        <v>1202.4963947296142</v>
      </c>
      <c r="AK23" s="69">
        <v>398.10299666722614</v>
      </c>
      <c r="AL23" s="69">
        <v>1546.3715933481849</v>
      </c>
      <c r="AM23" s="69">
        <v>2078.9867295583085</v>
      </c>
      <c r="AN23" s="69">
        <v>523.33149960835772</v>
      </c>
      <c r="AO23" s="69">
        <v>333.6058673699697</v>
      </c>
      <c r="AP23" s="69">
        <v>443.04005355834965</v>
      </c>
      <c r="AQ23" s="69">
        <v>607.35831120808916</v>
      </c>
    </row>
    <row r="24" spans="1:43" x14ac:dyDescent="0.25">
      <c r="A24" s="11">
        <v>42507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212.7511563777922</v>
      </c>
      <c r="J24" s="60">
        <v>572.26660661697395</v>
      </c>
      <c r="K24" s="60">
        <v>31.381149514516252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223.95500599543305</v>
      </c>
      <c r="V24" s="62">
        <v>0</v>
      </c>
      <c r="W24" s="62">
        <v>0</v>
      </c>
      <c r="X24" s="62">
        <v>0</v>
      </c>
      <c r="Y24" s="66">
        <v>0</v>
      </c>
      <c r="Z24" s="66">
        <v>0</v>
      </c>
      <c r="AA24" s="67">
        <v>0</v>
      </c>
      <c r="AB24" s="68">
        <v>51.097077780299635</v>
      </c>
      <c r="AC24" s="69">
        <v>0</v>
      </c>
      <c r="AD24" s="69">
        <v>0</v>
      </c>
      <c r="AE24" s="68">
        <v>0</v>
      </c>
      <c r="AF24" s="68">
        <v>0</v>
      </c>
      <c r="AG24" s="68">
        <v>1</v>
      </c>
      <c r="AH24" s="69">
        <v>280.64431211153664</v>
      </c>
      <c r="AI24" s="69">
        <v>534.91613086064649</v>
      </c>
      <c r="AJ24" s="69">
        <v>1272.9012868881225</v>
      </c>
      <c r="AK24" s="69">
        <v>423.29542395273836</v>
      </c>
      <c r="AL24" s="69">
        <v>1677.6210110982254</v>
      </c>
      <c r="AM24" s="69">
        <v>2189.111169687907</v>
      </c>
      <c r="AN24" s="69">
        <v>540.85747257868445</v>
      </c>
      <c r="AO24" s="69">
        <v>366.71681477228805</v>
      </c>
      <c r="AP24" s="69">
        <v>482.41928888956699</v>
      </c>
      <c r="AQ24" s="69">
        <v>596.45186100006106</v>
      </c>
    </row>
    <row r="25" spans="1:43" x14ac:dyDescent="0.25">
      <c r="A25" s="11">
        <v>42508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180.25239697297394</v>
      </c>
      <c r="J25" s="60">
        <v>484.47779839833538</v>
      </c>
      <c r="K25" s="60">
        <v>26.571295811732632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0</v>
      </c>
      <c r="V25" s="62">
        <v>0</v>
      </c>
      <c r="W25" s="62">
        <v>0</v>
      </c>
      <c r="X25" s="62">
        <v>0</v>
      </c>
      <c r="Y25" s="66">
        <v>0</v>
      </c>
      <c r="Z25" s="66">
        <v>0</v>
      </c>
      <c r="AA25" s="67">
        <v>0</v>
      </c>
      <c r="AB25" s="68">
        <v>42.176900397405952</v>
      </c>
      <c r="AC25" s="69">
        <v>0</v>
      </c>
      <c r="AD25" s="69">
        <v>0</v>
      </c>
      <c r="AE25" s="68">
        <v>0</v>
      </c>
      <c r="AF25" s="68">
        <v>0</v>
      </c>
      <c r="AG25" s="68">
        <v>1</v>
      </c>
      <c r="AH25" s="69">
        <v>239.18550106684367</v>
      </c>
      <c r="AI25" s="69">
        <v>481.46469526290889</v>
      </c>
      <c r="AJ25" s="69">
        <v>1230.301909001668</v>
      </c>
      <c r="AK25" s="69">
        <v>422.80035080909721</v>
      </c>
      <c r="AL25" s="69">
        <v>1638.0391089757284</v>
      </c>
      <c r="AM25" s="69">
        <v>2107.2644629160559</v>
      </c>
      <c r="AN25" s="69">
        <v>540.74630572001138</v>
      </c>
      <c r="AO25" s="69">
        <v>338.75890049934384</v>
      </c>
      <c r="AP25" s="69">
        <v>342.61239549318947</v>
      </c>
      <c r="AQ25" s="69">
        <v>689.64569412867252</v>
      </c>
    </row>
    <row r="26" spans="1:43" x14ac:dyDescent="0.25">
      <c r="A26" s="11">
        <v>42509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149.61172918478661</v>
      </c>
      <c r="J26" s="60">
        <v>405.84538121223386</v>
      </c>
      <c r="K26" s="60">
        <v>21.94594552516935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110.51893227762693</v>
      </c>
      <c r="V26" s="62">
        <v>0</v>
      </c>
      <c r="W26" s="62">
        <v>9.3988882740338653</v>
      </c>
      <c r="X26" s="62">
        <v>0</v>
      </c>
      <c r="Y26" s="66">
        <v>63.832996733983315</v>
      </c>
      <c r="Z26" s="66">
        <v>0</v>
      </c>
      <c r="AA26" s="67">
        <v>0</v>
      </c>
      <c r="AB26" s="68">
        <v>42.173316213819703</v>
      </c>
      <c r="AC26" s="69">
        <v>0</v>
      </c>
      <c r="AD26" s="69">
        <v>0</v>
      </c>
      <c r="AE26" s="68">
        <v>3.050486340058137</v>
      </c>
      <c r="AF26" s="68">
        <v>0</v>
      </c>
      <c r="AG26" s="68">
        <v>1</v>
      </c>
      <c r="AH26" s="69">
        <v>219.2133402188619</v>
      </c>
      <c r="AI26" s="69">
        <v>459.55190081596373</v>
      </c>
      <c r="AJ26" s="69">
        <v>1343.9760245005286</v>
      </c>
      <c r="AK26" s="69">
        <v>433.72854620615647</v>
      </c>
      <c r="AL26" s="69">
        <v>1645.2027847925824</v>
      </c>
      <c r="AM26" s="69">
        <v>2097.8504456837968</v>
      </c>
      <c r="AN26" s="69">
        <v>550.0480875651042</v>
      </c>
      <c r="AO26" s="69">
        <v>674.74721448421474</v>
      </c>
      <c r="AP26" s="69">
        <v>313.06744438807169</v>
      </c>
      <c r="AQ26" s="69">
        <v>766.8093206087749</v>
      </c>
    </row>
    <row r="27" spans="1:43" x14ac:dyDescent="0.25">
      <c r="A27" s="11">
        <v>42510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235.94918166796376</v>
      </c>
      <c r="J27" s="60">
        <v>671.47073170343947</v>
      </c>
      <c r="K27" s="60">
        <v>33.660746742288254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381.14845983717072</v>
      </c>
      <c r="V27" s="62">
        <v>0</v>
      </c>
      <c r="W27" s="62">
        <v>40.963721056779249</v>
      </c>
      <c r="X27" s="62">
        <v>0</v>
      </c>
      <c r="Y27" s="62">
        <v>252.78598179022458</v>
      </c>
      <c r="Z27" s="62">
        <v>0</v>
      </c>
      <c r="AA27" s="72">
        <v>0</v>
      </c>
      <c r="AB27" s="69">
        <v>54.584349875980905</v>
      </c>
      <c r="AC27" s="69">
        <v>0</v>
      </c>
      <c r="AD27" s="69">
        <v>0</v>
      </c>
      <c r="AE27" s="69">
        <v>9.7836977097101148</v>
      </c>
      <c r="AF27" s="69">
        <v>0</v>
      </c>
      <c r="AG27" s="69">
        <v>1</v>
      </c>
      <c r="AH27" s="69">
        <v>204.61860173543292</v>
      </c>
      <c r="AI27" s="69">
        <v>466.52669504483544</v>
      </c>
      <c r="AJ27" s="69">
        <v>1393.4573404947914</v>
      </c>
      <c r="AK27" s="69">
        <v>453.31944829622915</v>
      </c>
      <c r="AL27" s="69">
        <v>1762.8744635264077</v>
      </c>
      <c r="AM27" s="69">
        <v>2050.8411886850995</v>
      </c>
      <c r="AN27" s="69">
        <v>571.81200256347654</v>
      </c>
      <c r="AO27" s="69">
        <v>1557.1596187591551</v>
      </c>
      <c r="AP27" s="69">
        <v>418.34903175036118</v>
      </c>
      <c r="AQ27" s="69">
        <v>804.20667098363242</v>
      </c>
    </row>
    <row r="28" spans="1:43" x14ac:dyDescent="0.25">
      <c r="A28" s="11">
        <v>42511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192.58995152314509</v>
      </c>
      <c r="J28" s="60">
        <v>590.17094701131293</v>
      </c>
      <c r="K28" s="60">
        <v>29.508821006616024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334.43422132068463</v>
      </c>
      <c r="V28" s="62">
        <v>0</v>
      </c>
      <c r="W28" s="62">
        <v>27.22494606574373</v>
      </c>
      <c r="X28" s="62">
        <v>0</v>
      </c>
      <c r="Y28" s="66">
        <v>242.18650683562018</v>
      </c>
      <c r="Z28" s="66">
        <v>0</v>
      </c>
      <c r="AA28" s="67">
        <v>0</v>
      </c>
      <c r="AB28" s="68">
        <v>52.504689115946576</v>
      </c>
      <c r="AC28" s="69">
        <v>0</v>
      </c>
      <c r="AD28" s="69">
        <v>4.4239103178183283</v>
      </c>
      <c r="AE28" s="68">
        <v>8.5289164533692574</v>
      </c>
      <c r="AF28" s="68">
        <v>0</v>
      </c>
      <c r="AG28" s="68">
        <v>1</v>
      </c>
      <c r="AH28" s="69">
        <v>223.71218942006428</v>
      </c>
      <c r="AI28" s="69">
        <v>491.35673373540243</v>
      </c>
      <c r="AJ28" s="69">
        <v>1413.8817394256589</v>
      </c>
      <c r="AK28" s="69">
        <v>452.41856857935585</v>
      </c>
      <c r="AL28" s="69">
        <v>1877.9657414118451</v>
      </c>
      <c r="AM28" s="69">
        <v>2072.4526654561359</v>
      </c>
      <c r="AN28" s="69">
        <v>585.10882733662913</v>
      </c>
      <c r="AO28" s="69">
        <v>1497.2651964187623</v>
      </c>
      <c r="AP28" s="69">
        <v>373.01720938682553</v>
      </c>
      <c r="AQ28" s="69">
        <v>796.87254085540769</v>
      </c>
    </row>
    <row r="29" spans="1:43" x14ac:dyDescent="0.25">
      <c r="A29" s="11">
        <v>42512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190.65694940884896</v>
      </c>
      <c r="J29" s="60">
        <v>587.79157133102569</v>
      </c>
      <c r="K29" s="60">
        <v>29.508100663622212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346.23194990158009</v>
      </c>
      <c r="V29" s="62">
        <v>0</v>
      </c>
      <c r="W29" s="62">
        <v>21.943230080604547</v>
      </c>
      <c r="X29" s="62">
        <v>0</v>
      </c>
      <c r="Y29" s="66">
        <v>232.69586129188502</v>
      </c>
      <c r="Z29" s="66">
        <v>0</v>
      </c>
      <c r="AA29" s="67">
        <v>0</v>
      </c>
      <c r="AB29" s="68">
        <v>45.798697246445897</v>
      </c>
      <c r="AC29" s="69">
        <v>0</v>
      </c>
      <c r="AD29" s="69">
        <v>8.2985141870048498</v>
      </c>
      <c r="AE29" s="68">
        <v>8.1042323902859188</v>
      </c>
      <c r="AF29" s="68">
        <v>0</v>
      </c>
      <c r="AG29" s="68">
        <v>1</v>
      </c>
      <c r="AH29" s="69">
        <v>211.15060075124103</v>
      </c>
      <c r="AI29" s="69">
        <v>475.38463907241817</v>
      </c>
      <c r="AJ29" s="69">
        <v>1376.9759562810264</v>
      </c>
      <c r="AK29" s="69">
        <v>448.4021264712016</v>
      </c>
      <c r="AL29" s="69">
        <v>1885.6608249664305</v>
      </c>
      <c r="AM29" s="69">
        <v>2065.023390197754</v>
      </c>
      <c r="AN29" s="69">
        <v>588.1905172030132</v>
      </c>
      <c r="AO29" s="69">
        <v>1488.0137215932214</v>
      </c>
      <c r="AP29" s="69">
        <v>380.58259720802306</v>
      </c>
      <c r="AQ29" s="69">
        <v>756.19705890019736</v>
      </c>
    </row>
    <row r="30" spans="1:43" x14ac:dyDescent="0.25">
      <c r="A30" s="11">
        <v>42513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224.62593342463182</v>
      </c>
      <c r="J30" s="60">
        <v>683.49126803080105</v>
      </c>
      <c r="K30" s="60">
        <v>33.969793939590446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380.8966008080381</v>
      </c>
      <c r="V30" s="62">
        <v>0</v>
      </c>
      <c r="W30" s="62">
        <v>27.522225932280261</v>
      </c>
      <c r="X30" s="62">
        <v>0</v>
      </c>
      <c r="Y30" s="66">
        <v>279.65511793295525</v>
      </c>
      <c r="Z30" s="66">
        <v>0</v>
      </c>
      <c r="AA30" s="67">
        <v>0</v>
      </c>
      <c r="AB30" s="68">
        <v>47.200354923142989</v>
      </c>
      <c r="AC30" s="69">
        <v>0</v>
      </c>
      <c r="AD30" s="69">
        <v>9.5457169145345713</v>
      </c>
      <c r="AE30" s="68">
        <v>9.3281282916546093</v>
      </c>
      <c r="AF30" s="68">
        <v>0</v>
      </c>
      <c r="AG30" s="68">
        <v>1</v>
      </c>
      <c r="AH30" s="69">
        <v>208.82798760732015</v>
      </c>
      <c r="AI30" s="69">
        <v>472.25980725288395</v>
      </c>
      <c r="AJ30" s="69">
        <v>1371.6823135375978</v>
      </c>
      <c r="AK30" s="69">
        <v>499.75937533378601</v>
      </c>
      <c r="AL30" s="69">
        <v>1794.7168233235677</v>
      </c>
      <c r="AM30" s="69">
        <v>2073.3763582865399</v>
      </c>
      <c r="AN30" s="69">
        <v>545.12815707524612</v>
      </c>
      <c r="AO30" s="69">
        <v>1591.3467695236207</v>
      </c>
      <c r="AP30" s="69">
        <v>463.96394386291507</v>
      </c>
      <c r="AQ30" s="69">
        <v>666.47496700286877</v>
      </c>
    </row>
    <row r="31" spans="1:43" x14ac:dyDescent="0.25">
      <c r="A31" s="11">
        <v>42514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249.83402039209977</v>
      </c>
      <c r="J31" s="60">
        <v>648.01583010355739</v>
      </c>
      <c r="K31" s="60">
        <v>32.602022167046933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386.69997785356281</v>
      </c>
      <c r="V31" s="62">
        <v>0</v>
      </c>
      <c r="W31" s="62">
        <v>27.970599945386247</v>
      </c>
      <c r="X31" s="62">
        <v>0</v>
      </c>
      <c r="Y31" s="66">
        <v>255.34813529650367</v>
      </c>
      <c r="Z31" s="66">
        <v>0</v>
      </c>
      <c r="AA31" s="67">
        <v>0</v>
      </c>
      <c r="AB31" s="68">
        <v>56.844147006671363</v>
      </c>
      <c r="AC31" s="69">
        <v>0</v>
      </c>
      <c r="AD31" s="69">
        <v>9.0181358708275763</v>
      </c>
      <c r="AE31" s="68">
        <v>8.8281040684806786</v>
      </c>
      <c r="AF31" s="68">
        <v>0</v>
      </c>
      <c r="AG31" s="68">
        <v>1</v>
      </c>
      <c r="AH31" s="69">
        <v>210.9696725050608</v>
      </c>
      <c r="AI31" s="69">
        <v>486.62151972452801</v>
      </c>
      <c r="AJ31" s="69">
        <v>1388.1230405171714</v>
      </c>
      <c r="AK31" s="69">
        <v>610.20060071945181</v>
      </c>
      <c r="AL31" s="69">
        <v>1915.2099153518679</v>
      </c>
      <c r="AM31" s="69">
        <v>2137.1534203847245</v>
      </c>
      <c r="AN31" s="69">
        <v>546.77091458638506</v>
      </c>
      <c r="AO31" s="69">
        <v>2012.3815145492554</v>
      </c>
      <c r="AP31" s="69">
        <v>405.37457574208577</v>
      </c>
      <c r="AQ31" s="69">
        <v>723.49103043874106</v>
      </c>
    </row>
    <row r="32" spans="1:43" x14ac:dyDescent="0.25">
      <c r="A32" s="11">
        <v>42515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271.58471212387099</v>
      </c>
      <c r="J32" s="60">
        <v>705.19783093134618</v>
      </c>
      <c r="K32" s="60">
        <v>35.642465223868804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390.79472938114094</v>
      </c>
      <c r="V32" s="62">
        <v>0</v>
      </c>
      <c r="W32" s="62">
        <v>28.099010105927771</v>
      </c>
      <c r="X32" s="62">
        <v>0</v>
      </c>
      <c r="Y32" s="66">
        <v>301.68739944299057</v>
      </c>
      <c r="Z32" s="66">
        <v>0</v>
      </c>
      <c r="AA32" s="67">
        <v>0</v>
      </c>
      <c r="AB32" s="68">
        <v>64.228598438369417</v>
      </c>
      <c r="AC32" s="69">
        <v>0</v>
      </c>
      <c r="AD32" s="69">
        <v>10.467694007688094</v>
      </c>
      <c r="AE32" s="68">
        <v>10.266931677069611</v>
      </c>
      <c r="AF32" s="68">
        <v>0</v>
      </c>
      <c r="AG32" s="68">
        <v>1</v>
      </c>
      <c r="AH32" s="69">
        <v>211.77635571161906</v>
      </c>
      <c r="AI32" s="69">
        <v>488.72586174011224</v>
      </c>
      <c r="AJ32" s="69">
        <v>1337.8256740570073</v>
      </c>
      <c r="AK32" s="69">
        <v>619.41276369094851</v>
      </c>
      <c r="AL32" s="69">
        <v>1586.43067111969</v>
      </c>
      <c r="AM32" s="69">
        <v>2010.4334323883056</v>
      </c>
      <c r="AN32" s="69">
        <v>563.65075181325267</v>
      </c>
      <c r="AO32" s="69">
        <v>1628.3149019241337</v>
      </c>
      <c r="AP32" s="69">
        <v>422.15964962641402</v>
      </c>
      <c r="AQ32" s="69">
        <v>737.44648488362634</v>
      </c>
    </row>
    <row r="33" spans="1:43" x14ac:dyDescent="0.25">
      <c r="A33" s="11">
        <v>42516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308.39169545173627</v>
      </c>
      <c r="J33" s="60">
        <v>818.89526710510233</v>
      </c>
      <c r="K33" s="60">
        <v>41.009662119547485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457.82768885294149</v>
      </c>
      <c r="V33" s="62">
        <v>0</v>
      </c>
      <c r="W33" s="62">
        <v>33.058547663688671</v>
      </c>
      <c r="X33" s="62">
        <v>0</v>
      </c>
      <c r="Y33" s="66">
        <v>352.89433703422498</v>
      </c>
      <c r="Z33" s="66">
        <v>0</v>
      </c>
      <c r="AA33" s="67">
        <v>0</v>
      </c>
      <c r="AB33" s="68">
        <v>62.541192966038686</v>
      </c>
      <c r="AC33" s="69">
        <v>0</v>
      </c>
      <c r="AD33" s="69">
        <v>12.252702564001083</v>
      </c>
      <c r="AE33" s="68">
        <v>12.001580982315964</v>
      </c>
      <c r="AF33" s="68">
        <v>0</v>
      </c>
      <c r="AG33" s="68">
        <v>1</v>
      </c>
      <c r="AH33" s="69">
        <v>219.29413166046143</v>
      </c>
      <c r="AI33" s="69">
        <v>465.64413574536644</v>
      </c>
      <c r="AJ33" s="69">
        <v>1298.8080116907759</v>
      </c>
      <c r="AK33" s="69">
        <v>620.43890221913659</v>
      </c>
      <c r="AL33" s="69">
        <v>1406.8925032297766</v>
      </c>
      <c r="AM33" s="69">
        <v>2030.0639101664221</v>
      </c>
      <c r="AN33" s="69">
        <v>540.50790411631272</v>
      </c>
      <c r="AO33" s="69">
        <v>1693.804036394755</v>
      </c>
      <c r="AP33" s="69">
        <v>495.29775892893474</v>
      </c>
      <c r="AQ33" s="69">
        <v>673.90002021789553</v>
      </c>
    </row>
    <row r="34" spans="1:43" x14ac:dyDescent="0.25">
      <c r="A34" s="11">
        <v>42517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307.88933355013546</v>
      </c>
      <c r="J34" s="60">
        <v>818.13634001413948</v>
      </c>
      <c r="K34" s="60">
        <v>40.659846933682715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457.99950095282281</v>
      </c>
      <c r="V34" s="62">
        <v>0</v>
      </c>
      <c r="W34" s="62">
        <v>31.974757786591859</v>
      </c>
      <c r="X34" s="62">
        <v>0</v>
      </c>
      <c r="Y34" s="66">
        <v>345.55197517077141</v>
      </c>
      <c r="Z34" s="66">
        <v>0</v>
      </c>
      <c r="AA34" s="67">
        <v>0</v>
      </c>
      <c r="AB34" s="68">
        <v>53.08637891610384</v>
      </c>
      <c r="AC34" s="69">
        <v>0</v>
      </c>
      <c r="AD34" s="69">
        <v>12.24984800749356</v>
      </c>
      <c r="AE34" s="68">
        <v>12.000946051543572</v>
      </c>
      <c r="AF34" s="68">
        <v>0</v>
      </c>
      <c r="AG34" s="68">
        <v>1</v>
      </c>
      <c r="AH34" s="69">
        <v>237.9937588055929</v>
      </c>
      <c r="AI34" s="69">
        <v>476.4536492029826</v>
      </c>
      <c r="AJ34" s="69">
        <v>1340.9862168629966</v>
      </c>
      <c r="AK34" s="69">
        <v>628.74625380833936</v>
      </c>
      <c r="AL34" s="69">
        <v>1449.0124478022258</v>
      </c>
      <c r="AM34" s="69">
        <v>2078.5856569925941</v>
      </c>
      <c r="AN34" s="69">
        <v>495.42808178265886</v>
      </c>
      <c r="AO34" s="69">
        <v>1687.4891590754194</v>
      </c>
      <c r="AP34" s="69">
        <v>494.59950256347656</v>
      </c>
      <c r="AQ34" s="69">
        <v>588.91636123657224</v>
      </c>
    </row>
    <row r="35" spans="1:43" x14ac:dyDescent="0.25">
      <c r="A35" s="11">
        <v>42518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308.18837051391608</v>
      </c>
      <c r="J35" s="60">
        <v>818.23705736796023</v>
      </c>
      <c r="K35" s="60">
        <v>40.955625937382365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465.05069603389984</v>
      </c>
      <c r="V35" s="62">
        <v>0</v>
      </c>
      <c r="W35" s="62">
        <v>32.350077390670812</v>
      </c>
      <c r="X35" s="62">
        <v>0</v>
      </c>
      <c r="Y35" s="66">
        <v>345.06770429611191</v>
      </c>
      <c r="Z35" s="66">
        <v>0</v>
      </c>
      <c r="AA35" s="67">
        <v>0</v>
      </c>
      <c r="AB35" s="68">
        <v>50.776102357439356</v>
      </c>
      <c r="AC35" s="69">
        <v>0</v>
      </c>
      <c r="AD35" s="69">
        <v>12.246450624863295</v>
      </c>
      <c r="AE35" s="68">
        <v>12.001799939239465</v>
      </c>
      <c r="AF35" s="68">
        <v>0</v>
      </c>
      <c r="AG35" s="68">
        <v>1</v>
      </c>
      <c r="AH35" s="69">
        <v>219.76902302106222</v>
      </c>
      <c r="AI35" s="69">
        <v>462.49352768262236</v>
      </c>
      <c r="AJ35" s="69">
        <v>1197.131016667684</v>
      </c>
      <c r="AK35" s="69">
        <v>622.24072793324808</v>
      </c>
      <c r="AL35" s="69">
        <v>1413.3333673477173</v>
      </c>
      <c r="AM35" s="69">
        <v>2000.9826475779214</v>
      </c>
      <c r="AN35" s="69">
        <v>500.63324613571166</v>
      </c>
      <c r="AO35" s="69">
        <v>1643.6713463465373</v>
      </c>
      <c r="AP35" s="69">
        <v>372.67445726394652</v>
      </c>
      <c r="AQ35" s="69">
        <v>697.03035087585442</v>
      </c>
    </row>
    <row r="36" spans="1:43" x14ac:dyDescent="0.25">
      <c r="A36" s="11">
        <v>42519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307.92507588068662</v>
      </c>
      <c r="J36" s="60">
        <v>817.79171479542867</v>
      </c>
      <c r="K36" s="60">
        <v>40.6299509167671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467.61660859849769</v>
      </c>
      <c r="V36" s="62">
        <v>0</v>
      </c>
      <c r="W36" s="62">
        <v>33.790706622600588</v>
      </c>
      <c r="X36" s="62">
        <v>0</v>
      </c>
      <c r="Y36" s="66">
        <v>352.51927216847764</v>
      </c>
      <c r="Z36" s="66">
        <v>0</v>
      </c>
      <c r="AA36" s="67">
        <v>0</v>
      </c>
      <c r="AB36" s="68">
        <v>50.778788521553622</v>
      </c>
      <c r="AC36" s="69">
        <v>0</v>
      </c>
      <c r="AD36" s="69">
        <v>12.242440156141909</v>
      </c>
      <c r="AE36" s="68">
        <v>11.99943273042491</v>
      </c>
      <c r="AF36" s="68">
        <v>0</v>
      </c>
      <c r="AG36" s="68">
        <v>1</v>
      </c>
      <c r="AH36" s="69">
        <v>204.42052826881408</v>
      </c>
      <c r="AI36" s="69">
        <v>468.57547939618428</v>
      </c>
      <c r="AJ36" s="69">
        <v>1186.1459387461343</v>
      </c>
      <c r="AK36" s="69">
        <v>626.13503398895284</v>
      </c>
      <c r="AL36" s="69">
        <v>1502.6821224848431</v>
      </c>
      <c r="AM36" s="69">
        <v>1991.5340014139808</v>
      </c>
      <c r="AN36" s="69">
        <v>491.45663560231515</v>
      </c>
      <c r="AO36" s="69">
        <v>1581.7535562515257</v>
      </c>
      <c r="AP36" s="69">
        <v>277.08258884747818</v>
      </c>
      <c r="AQ36" s="69">
        <v>750.8988759040833</v>
      </c>
    </row>
    <row r="37" spans="1:43" x14ac:dyDescent="0.25">
      <c r="A37" s="11">
        <v>42520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340.10567185878756</v>
      </c>
      <c r="J37" s="60">
        <v>919.39874731699524</v>
      </c>
      <c r="K37" s="60">
        <v>46.162297089894622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530.0454170015106</v>
      </c>
      <c r="V37" s="62">
        <v>0</v>
      </c>
      <c r="W37" s="62">
        <v>37.785313089688657</v>
      </c>
      <c r="X37" s="62">
        <v>0</v>
      </c>
      <c r="Y37" s="66">
        <v>405.23998257319113</v>
      </c>
      <c r="Z37" s="66">
        <v>0</v>
      </c>
      <c r="AA37" s="67">
        <v>0</v>
      </c>
      <c r="AB37" s="68">
        <v>53.901417144139479</v>
      </c>
      <c r="AC37" s="69">
        <v>0</v>
      </c>
      <c r="AD37" s="69">
        <v>13.839588731527316</v>
      </c>
      <c r="AE37" s="68">
        <v>13.591404948115315</v>
      </c>
      <c r="AF37" s="68">
        <v>0</v>
      </c>
      <c r="AG37" s="68">
        <v>1</v>
      </c>
      <c r="AH37" s="69">
        <v>208.46856188774109</v>
      </c>
      <c r="AI37" s="69">
        <v>471.9735571861267</v>
      </c>
      <c r="AJ37" s="69">
        <v>1135.0088915506997</v>
      </c>
      <c r="AK37" s="69">
        <v>633.79426361719788</v>
      </c>
      <c r="AL37" s="69">
        <v>1446.0564029057821</v>
      </c>
      <c r="AM37" s="69">
        <v>1823.0053862253826</v>
      </c>
      <c r="AN37" s="69">
        <v>561.23867092132571</v>
      </c>
      <c r="AO37" s="69">
        <v>1711.9782568613689</v>
      </c>
      <c r="AP37" s="69">
        <v>280.05134499867756</v>
      </c>
      <c r="AQ37" s="69">
        <v>725.66194035212197</v>
      </c>
    </row>
    <row r="38" spans="1:43" ht="15.75" thickBot="1" x14ac:dyDescent="0.3">
      <c r="A38" s="11">
        <v>42521</v>
      </c>
      <c r="B38" s="73"/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5">
        <v>0</v>
      </c>
      <c r="I38" s="76">
        <v>413.27137362162279</v>
      </c>
      <c r="J38" s="74">
        <v>1118.4995359420764</v>
      </c>
      <c r="K38" s="74">
        <v>56.268552354971604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615.06966434055005</v>
      </c>
      <c r="V38" s="80">
        <v>0</v>
      </c>
      <c r="W38" s="81">
        <v>42.841211163997784</v>
      </c>
      <c r="X38" s="81">
        <v>0</v>
      </c>
      <c r="Y38" s="80">
        <v>480.96450743675211</v>
      </c>
      <c r="Z38" s="80">
        <v>0</v>
      </c>
      <c r="AA38" s="82">
        <v>0</v>
      </c>
      <c r="AB38" s="83">
        <v>61.391254115104523</v>
      </c>
      <c r="AC38" s="84">
        <v>0</v>
      </c>
      <c r="AD38" s="85">
        <v>16.495935061242804</v>
      </c>
      <c r="AE38" s="83">
        <v>16.24237637970689</v>
      </c>
      <c r="AF38" s="83">
        <v>0</v>
      </c>
      <c r="AG38" s="83">
        <v>1</v>
      </c>
      <c r="AH38" s="84">
        <v>205.19284257888793</v>
      </c>
      <c r="AI38" s="84">
        <v>443.78009538650514</v>
      </c>
      <c r="AJ38" s="84">
        <v>1179.7741410573324</v>
      </c>
      <c r="AK38" s="84">
        <v>631.38630034128835</v>
      </c>
      <c r="AL38" s="84">
        <v>1628.814240264893</v>
      </c>
      <c r="AM38" s="84">
        <v>1918.4869574228921</v>
      </c>
      <c r="AN38" s="84">
        <v>505.29601709047944</v>
      </c>
      <c r="AO38" s="84">
        <v>1938.1869865417482</v>
      </c>
      <c r="AP38" s="84">
        <v>287.26550165812171</v>
      </c>
      <c r="AQ38" s="84">
        <v>671.1890564600626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4860.9685609062517</v>
      </c>
      <c r="J39" s="30">
        <f t="shared" si="0"/>
        <v>12864.304903034365</v>
      </c>
      <c r="K39" s="30">
        <f t="shared" si="0"/>
        <v>660.79963228901272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5548.2894531554603</v>
      </c>
      <c r="V39" s="262">
        <f t="shared" si="0"/>
        <v>0</v>
      </c>
      <c r="W39" s="262">
        <f t="shared" si="0"/>
        <v>394.923235177994</v>
      </c>
      <c r="X39" s="262">
        <f t="shared" si="0"/>
        <v>0</v>
      </c>
      <c r="Y39" s="262">
        <f t="shared" si="0"/>
        <v>3910.4297780036918</v>
      </c>
      <c r="Z39" s="262">
        <f t="shared" si="0"/>
        <v>0</v>
      </c>
      <c r="AA39" s="270">
        <f t="shared" si="0"/>
        <v>0</v>
      </c>
      <c r="AB39" s="273">
        <f t="shared" si="0"/>
        <v>1026.6380767438166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159</v>
      </c>
      <c r="AH39" s="273">
        <f t="shared" ref="AH39:AQ39" si="1">SUM(AH8:AH38)</f>
        <v>6742.9202539245289</v>
      </c>
      <c r="AI39" s="273">
        <f t="shared" si="1"/>
        <v>14377.932924334204</v>
      </c>
      <c r="AJ39" s="273">
        <f t="shared" si="1"/>
        <v>38037.141982460016</v>
      </c>
      <c r="AK39" s="273">
        <f t="shared" si="1"/>
        <v>12125.819783234596</v>
      </c>
      <c r="AL39" s="273">
        <f t="shared" si="1"/>
        <v>48353.649728457123</v>
      </c>
      <c r="AM39" s="273">
        <f t="shared" si="1"/>
        <v>61088.992522557586</v>
      </c>
      <c r="AN39" s="273">
        <f t="shared" si="1"/>
        <v>17056.488098096848</v>
      </c>
      <c r="AO39" s="273">
        <f t="shared" si="1"/>
        <v>26287.362629429503</v>
      </c>
      <c r="AP39" s="273">
        <f t="shared" si="1"/>
        <v>9209.5905299226415</v>
      </c>
      <c r="AQ39" s="273">
        <f t="shared" si="1"/>
        <v>21146.316943677266</v>
      </c>
    </row>
    <row r="40" spans="1:43" ht="15.75" thickBot="1" x14ac:dyDescent="0.3">
      <c r="A40" s="47" t="s">
        <v>174</v>
      </c>
      <c r="B40" s="32">
        <f>Projection!$AB$30</f>
        <v>0.80583665399999982</v>
      </c>
      <c r="C40" s="33">
        <f>Projection!$AB$28</f>
        <v>1.3221902399999999</v>
      </c>
      <c r="D40" s="33">
        <f>Projection!$AB$31</f>
        <v>2.1962556000000002</v>
      </c>
      <c r="E40" s="33">
        <f>Projection!$AB$26</f>
        <v>4.3368000000000002</v>
      </c>
      <c r="F40" s="33">
        <f>Projection!$AB$23</f>
        <v>0</v>
      </c>
      <c r="G40" s="33">
        <f>Projection!$AB$24</f>
        <v>5.2499999999999998E-2</v>
      </c>
      <c r="H40" s="34">
        <f>Projection!$AB$29</f>
        <v>3.6159737999999999</v>
      </c>
      <c r="I40" s="32">
        <f>Projection!$AB$30</f>
        <v>0.80583665399999982</v>
      </c>
      <c r="J40" s="33">
        <f>Projection!$AB$28</f>
        <v>1.3221902399999999</v>
      </c>
      <c r="K40" s="33">
        <f>Projection!$AB$26</f>
        <v>4.3368000000000002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1.3221902399999999</v>
      </c>
      <c r="T40" s="38">
        <f>Projection!$AB$28</f>
        <v>1.3221902399999999</v>
      </c>
      <c r="U40" s="26">
        <f>Projection!$AB$27</f>
        <v>0.25650000000000001</v>
      </c>
      <c r="V40" s="27">
        <f>Projection!$AB$27</f>
        <v>0.25650000000000001</v>
      </c>
      <c r="W40" s="27">
        <f>Projection!$AB$22</f>
        <v>1.625</v>
      </c>
      <c r="X40" s="27">
        <f>Projection!$AB$22</f>
        <v>1.625</v>
      </c>
      <c r="Y40" s="27">
        <f>Projection!$AB$31</f>
        <v>2.1962556000000002</v>
      </c>
      <c r="Z40" s="27">
        <f>Projection!$AB$31</f>
        <v>2.1962556000000002</v>
      </c>
      <c r="AA40" s="28">
        <v>0</v>
      </c>
      <c r="AB40" s="41">
        <f>Projection!$AB$27</f>
        <v>0.25650000000000001</v>
      </c>
      <c r="AC40" s="41">
        <f>Projection!$AB$30</f>
        <v>0.80583665399999982</v>
      </c>
      <c r="AD40" s="277">
        <f>SUM(AD8:AD38)</f>
        <v>121.08093644314339</v>
      </c>
      <c r="AE40" s="277">
        <f>SUM(AE8:AE38)</f>
        <v>135.72803796197445</v>
      </c>
      <c r="AF40" s="277">
        <f>SUM(AF8:AF38)</f>
        <v>0</v>
      </c>
      <c r="AG40" s="277">
        <f>IF(SUM(AE40:AF40)&gt;0, AE40/(AE40+AF40), "")</f>
        <v>1</v>
      </c>
      <c r="AH40" s="313">
        <v>3.6999999999999998E-2</v>
      </c>
      <c r="AI40" s="313">
        <f t="shared" ref="AI40:AQ40" si="2">$AH$40</f>
        <v>3.6999999999999998E-2</v>
      </c>
      <c r="AJ40" s="313">
        <f t="shared" si="2"/>
        <v>3.6999999999999998E-2</v>
      </c>
      <c r="AK40" s="313">
        <f t="shared" si="2"/>
        <v>3.6999999999999998E-2</v>
      </c>
      <c r="AL40" s="313">
        <f t="shared" si="2"/>
        <v>3.6999999999999998E-2</v>
      </c>
      <c r="AM40" s="313">
        <f t="shared" si="2"/>
        <v>3.6999999999999998E-2</v>
      </c>
      <c r="AN40" s="313">
        <f t="shared" si="2"/>
        <v>3.6999999999999998E-2</v>
      </c>
      <c r="AO40" s="313">
        <f t="shared" si="2"/>
        <v>3.6999999999999998E-2</v>
      </c>
      <c r="AP40" s="313">
        <f t="shared" si="2"/>
        <v>3.6999999999999998E-2</v>
      </c>
      <c r="AQ40" s="313">
        <f t="shared" si="2"/>
        <v>3.6999999999999998E-2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3917.1466403198883</v>
      </c>
      <c r="J41" s="36">
        <f t="shared" si="3"/>
        <v>17009.058387176181</v>
      </c>
      <c r="K41" s="36">
        <f t="shared" si="3"/>
        <v>2865.7558453109905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1423.1362447343756</v>
      </c>
      <c r="V41" s="268">
        <f t="shared" si="3"/>
        <v>0</v>
      </c>
      <c r="W41" s="268">
        <f t="shared" si="3"/>
        <v>641.75025716424022</v>
      </c>
      <c r="X41" s="268">
        <f t="shared" si="3"/>
        <v>0</v>
      </c>
      <c r="Y41" s="268">
        <f t="shared" si="3"/>
        <v>8588.3032983473659</v>
      </c>
      <c r="Z41" s="268">
        <f t="shared" si="3"/>
        <v>0</v>
      </c>
      <c r="AA41" s="272">
        <f t="shared" si="3"/>
        <v>0</v>
      </c>
      <c r="AB41" s="275">
        <f t="shared" si="3"/>
        <v>263.33266668478893</v>
      </c>
      <c r="AC41" s="275">
        <f t="shared" si="3"/>
        <v>0</v>
      </c>
      <c r="AH41" s="278">
        <f t="shared" ref="AH41:AQ41" si="4">AH40*AH39</f>
        <v>249.48804939520755</v>
      </c>
      <c r="AI41" s="278">
        <f t="shared" si="4"/>
        <v>531.98351820036555</v>
      </c>
      <c r="AJ41" s="278">
        <f t="shared" si="4"/>
        <v>1407.3742533510206</v>
      </c>
      <c r="AK41" s="278">
        <f t="shared" si="4"/>
        <v>448.65533197968</v>
      </c>
      <c r="AL41" s="278">
        <f t="shared" si="4"/>
        <v>1789.0850399529136</v>
      </c>
      <c r="AM41" s="278">
        <f t="shared" si="4"/>
        <v>2260.2927233346304</v>
      </c>
      <c r="AN41" s="278">
        <f t="shared" si="4"/>
        <v>631.09005962958338</v>
      </c>
      <c r="AO41" s="278">
        <f t="shared" si="4"/>
        <v>972.63241728889159</v>
      </c>
      <c r="AP41" s="278">
        <f t="shared" si="4"/>
        <v>340.75484960713771</v>
      </c>
      <c r="AQ41" s="278">
        <f t="shared" si="4"/>
        <v>782.41372691605875</v>
      </c>
    </row>
    <row r="42" spans="1:43" ht="49.5" customHeight="1" thickTop="1" thickBot="1" x14ac:dyDescent="0.3">
      <c r="A42" s="576" t="s">
        <v>227</v>
      </c>
      <c r="B42" s="577"/>
      <c r="C42" s="577"/>
      <c r="D42" s="577"/>
      <c r="E42" s="577"/>
      <c r="F42" s="577"/>
      <c r="G42" s="577"/>
      <c r="H42" s="577"/>
      <c r="I42" s="577"/>
      <c r="J42" s="577"/>
      <c r="K42" s="578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6" t="s">
        <v>186</v>
      </c>
      <c r="AH42" s="295">
        <v>557.66</v>
      </c>
      <c r="AI42" s="278" t="s">
        <v>199</v>
      </c>
      <c r="AJ42" s="278">
        <v>1057.8499999999999</v>
      </c>
      <c r="AK42" s="278">
        <v>347.37</v>
      </c>
      <c r="AL42" s="278">
        <v>525.86</v>
      </c>
      <c r="AM42" s="278">
        <v>2865.15</v>
      </c>
      <c r="AN42" s="278">
        <v>694.14</v>
      </c>
      <c r="AO42" s="278" t="s">
        <v>199</v>
      </c>
      <c r="AP42" s="278">
        <v>96.57</v>
      </c>
      <c r="AQ42" s="278">
        <v>263.52999999999997</v>
      </c>
    </row>
    <row r="43" spans="1:43" ht="38.25" customHeight="1" thickTop="1" thickBot="1" x14ac:dyDescent="0.3">
      <c r="A43" s="608" t="s">
        <v>49</v>
      </c>
      <c r="B43" s="605"/>
      <c r="C43" s="289"/>
      <c r="D43" s="605" t="s">
        <v>47</v>
      </c>
      <c r="E43" s="605"/>
      <c r="F43" s="289"/>
      <c r="G43" s="605" t="s">
        <v>48</v>
      </c>
      <c r="H43" s="605"/>
      <c r="I43" s="290"/>
      <c r="J43" s="605" t="s">
        <v>50</v>
      </c>
      <c r="K43" s="578"/>
      <c r="L43" s="44"/>
      <c r="M43" s="44"/>
      <c r="N43" s="44"/>
      <c r="O43" s="45"/>
      <c r="P43" s="45"/>
      <c r="Q43" s="45"/>
      <c r="R43" s="568" t="s">
        <v>168</v>
      </c>
      <c r="S43" s="569"/>
      <c r="T43" s="569"/>
      <c r="U43" s="570"/>
      <c r="AC43" s="45"/>
    </row>
    <row r="44" spans="1:43" ht="24.75" thickTop="1" thickBot="1" x14ac:dyDescent="0.3">
      <c r="A44" s="282" t="s">
        <v>135</v>
      </c>
      <c r="B44" s="283">
        <f>SUM(B41:AC41)</f>
        <v>34708.483339737824</v>
      </c>
      <c r="C44" s="12"/>
      <c r="D44" s="282" t="s">
        <v>135</v>
      </c>
      <c r="E44" s="283">
        <f>SUM(B41:H41)+P41+R41+T41+V41+X41+Z41</f>
        <v>0</v>
      </c>
      <c r="F44" s="12"/>
      <c r="G44" s="282" t="s">
        <v>135</v>
      </c>
      <c r="H44" s="283">
        <f>SUM(I41:N41)+O41+Q41+S41+U41+W41+Y41</f>
        <v>34445.150673053038</v>
      </c>
      <c r="I44" s="12"/>
      <c r="J44" s="282" t="s">
        <v>200</v>
      </c>
      <c r="K44" s="283">
        <v>146177.39000000001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169</v>
      </c>
      <c r="U44" s="255" t="s">
        <v>170</v>
      </c>
    </row>
    <row r="45" spans="1:43" ht="24" thickBot="1" x14ac:dyDescent="0.4">
      <c r="A45" s="284" t="s">
        <v>185</v>
      </c>
      <c r="B45" s="285">
        <f>SUM(AH41:AQ41)</f>
        <v>9413.7699696554882</v>
      </c>
      <c r="C45" s="12"/>
      <c r="D45" s="284" t="s">
        <v>185</v>
      </c>
      <c r="E45" s="285">
        <f>AH41*(1-$AG$40)+AI41+AJ41*0.5+AL41+AM41*(1-$AG$40)+AN41*(1-$AG$40)+AO41*(1-$AG$40)+AP41*0.5+AQ41*0.5</f>
        <v>3586.3399730903875</v>
      </c>
      <c r="F45" s="24"/>
      <c r="G45" s="284" t="s">
        <v>185</v>
      </c>
      <c r="H45" s="285">
        <f>AH41*AG40+AJ41*0.5+AK41+AM41*AG40+AN41*AG40+AO41*AG40+AP41*0.5+AQ41*0.5</f>
        <v>5827.4299965651016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394.923235177994</v>
      </c>
      <c r="U45" s="256">
        <f>(T45*8.34*0.895)/27000</f>
        <v>0.10917872238292967</v>
      </c>
    </row>
    <row r="46" spans="1:43" ht="32.25" thickBot="1" x14ac:dyDescent="0.3">
      <c r="A46" s="286" t="s">
        <v>186</v>
      </c>
      <c r="B46" s="287">
        <f>SUM(AH42:AQ42)</f>
        <v>6408.1299999999992</v>
      </c>
      <c r="C46" s="12"/>
      <c r="D46" s="286" t="s">
        <v>186</v>
      </c>
      <c r="E46" s="287">
        <f>AH42*(1-$AG$40)+AJ42*0.5+AL42+AM42*(1-$AG$40)+AN42*(1-$AG$40)+AP42*0.5+AQ42*0.5</f>
        <v>1234.835</v>
      </c>
      <c r="F46" s="23"/>
      <c r="G46" s="286" t="s">
        <v>186</v>
      </c>
      <c r="H46" s="287">
        <f>AH42*AG40+AJ42*0.5+AK42+AM42*AG40+AN42*AG40+AP42*0.5+AQ42*0.5</f>
        <v>5173.2950000000001</v>
      </c>
      <c r="I46" s="12"/>
      <c r="J46" s="606" t="s">
        <v>201</v>
      </c>
      <c r="K46" s="607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3" ht="24.75" thickTop="1" thickBot="1" x14ac:dyDescent="0.4">
      <c r="A47" s="286" t="s">
        <v>187</v>
      </c>
      <c r="B47" s="287">
        <f>K44</f>
        <v>146177.39000000001</v>
      </c>
      <c r="C47" s="12"/>
      <c r="D47" s="286" t="s">
        <v>189</v>
      </c>
      <c r="E47" s="287">
        <f>K44*0.5</f>
        <v>73088.695000000007</v>
      </c>
      <c r="F47" s="24"/>
      <c r="G47" s="286" t="s">
        <v>187</v>
      </c>
      <c r="H47" s="287">
        <f>K44*0.5</f>
        <v>73088.695000000007</v>
      </c>
      <c r="I47" s="12"/>
      <c r="J47" s="282" t="s">
        <v>200</v>
      </c>
      <c r="K47" s="283">
        <v>298801.7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0</v>
      </c>
      <c r="U47" s="256">
        <f>T47/40000</f>
        <v>0</v>
      </c>
    </row>
    <row r="48" spans="1:43" ht="24" thickBot="1" x14ac:dyDescent="0.3">
      <c r="A48" s="286" t="s">
        <v>188</v>
      </c>
      <c r="B48" s="287">
        <f>K47</f>
        <v>298801.7</v>
      </c>
      <c r="C48" s="12"/>
      <c r="D48" s="286" t="s">
        <v>188</v>
      </c>
      <c r="E48" s="287">
        <f>K47*0.5</f>
        <v>149400.85</v>
      </c>
      <c r="F48" s="23"/>
      <c r="G48" s="286" t="s">
        <v>188</v>
      </c>
      <c r="H48" s="287">
        <f>K47*0.5</f>
        <v>149400.85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196</v>
      </c>
      <c r="B49" s="292">
        <f>AD40</f>
        <v>121.08093644314339</v>
      </c>
      <c r="C49" s="12"/>
      <c r="D49" s="291" t="s">
        <v>197</v>
      </c>
      <c r="E49" s="292">
        <f>AF40</f>
        <v>0</v>
      </c>
      <c r="F49" s="23"/>
      <c r="G49" s="291" t="s">
        <v>198</v>
      </c>
      <c r="H49" s="292">
        <f>AE40</f>
        <v>135.72803796197445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660.79963228901272</v>
      </c>
      <c r="U49" s="256">
        <f>(T49*8.34*1.04)/45000</f>
        <v>0.12736692645826625</v>
      </c>
    </row>
    <row r="50" spans="1:25" ht="48" thickTop="1" thickBot="1" x14ac:dyDescent="0.3">
      <c r="A50" s="291" t="s">
        <v>192</v>
      </c>
      <c r="B50" s="293">
        <f>(SUM(B44:B48)/AD40)</f>
        <v>4092.3822351016615</v>
      </c>
      <c r="C50" s="12"/>
      <c r="D50" s="291" t="s">
        <v>190</v>
      </c>
      <c r="E50" s="293" t="e">
        <f>SUM(E44:E48)/AF40</f>
        <v>#DIV/0!</v>
      </c>
      <c r="F50" s="23"/>
      <c r="G50" s="291" t="s">
        <v>191</v>
      </c>
      <c r="H50" s="293">
        <f>SUM(H44:H48)/AE40</f>
        <v>1974.060958169033</v>
      </c>
      <c r="I50" s="367">
        <f>H44/H49</f>
        <v>253.7806571896603</v>
      </c>
      <c r="J50" s="12"/>
      <c r="K50" s="86"/>
      <c r="L50" s="12"/>
      <c r="M50" s="12"/>
      <c r="N50" s="12"/>
      <c r="O50" s="12"/>
      <c r="P50" s="12"/>
      <c r="Q50" s="12"/>
      <c r="R50" s="318" t="s">
        <v>153</v>
      </c>
      <c r="S50" s="319"/>
      <c r="T50" s="254">
        <f>$U$39+$V$39+$AB$39</f>
        <v>6574.927529899277</v>
      </c>
      <c r="U50" s="256">
        <f>T50/2000/8</f>
        <v>0.41093297061870482</v>
      </c>
    </row>
    <row r="51" spans="1:25" ht="57" customHeight="1" thickTop="1" thickBot="1" x14ac:dyDescent="0.3">
      <c r="A51" s="281" t="s">
        <v>193</v>
      </c>
      <c r="B51" s="294">
        <f>B50/1000</f>
        <v>4.0923822351016614</v>
      </c>
      <c r="C51" s="12"/>
      <c r="D51" s="281" t="s">
        <v>194</v>
      </c>
      <c r="E51" s="294" t="e">
        <f>E50/1000</f>
        <v>#DIV/0!</v>
      </c>
      <c r="F51" s="12"/>
      <c r="G51" s="281" t="s">
        <v>195</v>
      </c>
      <c r="H51" s="294">
        <f>H50/1000</f>
        <v>1.9740609581690329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154</v>
      </c>
      <c r="S51" s="319"/>
      <c r="T51" s="254">
        <f>$C$39+$J$39+$S$39+$T$39</f>
        <v>12864.304903034365</v>
      </c>
      <c r="U51" s="256">
        <f>(T51*8.34*1.4)/45000</f>
        <v>3.3378583121739824</v>
      </c>
    </row>
    <row r="52" spans="1:25" ht="16.5" thickTop="1" thickBot="1" x14ac:dyDescent="0.3">
      <c r="A52" s="303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155</v>
      </c>
      <c r="S52" s="319"/>
      <c r="T52" s="254">
        <f>$H$39</f>
        <v>0</v>
      </c>
      <c r="U52" s="256">
        <f>(T52*8.34*1.135)/45000</f>
        <v>0</v>
      </c>
    </row>
    <row r="53" spans="1:25" ht="48" customHeight="1" thickTop="1" thickBot="1" x14ac:dyDescent="0.3">
      <c r="A53" s="571" t="s">
        <v>51</v>
      </c>
      <c r="B53" s="572"/>
      <c r="C53" s="572"/>
      <c r="D53" s="572"/>
      <c r="E53" s="573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156</v>
      </c>
      <c r="S53" s="319"/>
      <c r="T53" s="254">
        <f>$B$39+$I$39+$AC$39</f>
        <v>4860.9685609062517</v>
      </c>
      <c r="U53" s="256">
        <f>(T53*8.34*1.029*0.03)/3300</f>
        <v>0.37923774230999024</v>
      </c>
    </row>
    <row r="54" spans="1:25" ht="45.75" customHeight="1" thickBot="1" x14ac:dyDescent="0.3">
      <c r="A54" s="602" t="s">
        <v>202</v>
      </c>
      <c r="B54" s="603"/>
      <c r="C54" s="603"/>
      <c r="D54" s="603"/>
      <c r="E54" s="604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65" t="s">
        <v>158</v>
      </c>
      <c r="S54" s="566"/>
      <c r="T54" s="258">
        <f>$D$39+$Y$39+$Z$39</f>
        <v>3910.4297780036918</v>
      </c>
      <c r="U54" s="259">
        <f>(T54*1.54*8.34)/45000</f>
        <v>1.1160887977059604</v>
      </c>
    </row>
    <row r="55" spans="1:25" ht="24" thickTop="1" x14ac:dyDescent="0.25">
      <c r="A55" s="611"/>
      <c r="B55" s="6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613"/>
      <c r="B56" s="61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09"/>
      <c r="B57" s="61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10"/>
      <c r="B58" s="61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09"/>
      <c r="B59" s="61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10"/>
      <c r="B60" s="610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selectLockedCells="1" selectUnlockedCells="1"/>
  <mergeCells count="34"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Instructions</vt:lpstr>
      <vt:lpstr>Yearly Summary </vt:lpstr>
      <vt:lpstr>Projection Instructions</vt:lpstr>
      <vt:lpstr>Projection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>City of Aurora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Bong</dc:creator>
  <cp:lastModifiedBy>COA</cp:lastModifiedBy>
  <cp:lastPrinted>2017-08-09T16:41:58Z</cp:lastPrinted>
  <dcterms:created xsi:type="dcterms:W3CDTF">2010-10-11T23:47:50Z</dcterms:created>
  <dcterms:modified xsi:type="dcterms:W3CDTF">2017-08-09T21:57:48Z</dcterms:modified>
</cp:coreProperties>
</file>