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K:\Dept\Water\Divisions\Water Treatment\Binney\Operations\BWPF Operating Reports\BWPF Cost Reports and Query Tool\"/>
    </mc:Choice>
  </mc:AlternateContent>
  <bookViews>
    <workbookView xWindow="7065" yWindow="1140" windowWidth="19320" windowHeight="12120" tabRatio="875" firstSheet="1" activeTab="1"/>
  </bookViews>
  <sheets>
    <sheet name="Instructions" sheetId="29" r:id="rId1"/>
    <sheet name="Yearly Summary " sheetId="27" r:id="rId2"/>
    <sheet name="Projection Instructions" sheetId="30" r:id="rId3"/>
    <sheet name="Projection" sheetId="28" r:id="rId4"/>
    <sheet name="JANUARY" sheetId="22" r:id="rId5"/>
    <sheet name="FEBRUARY" sheetId="21" r:id="rId6"/>
    <sheet name="MARCH" sheetId="20" r:id="rId7"/>
    <sheet name="APRIL" sheetId="19" r:id="rId8"/>
    <sheet name="MAY" sheetId="18" r:id="rId9"/>
    <sheet name="JUNE" sheetId="17" r:id="rId10"/>
    <sheet name="JULY" sheetId="24" r:id="rId11"/>
    <sheet name="AUGUST" sheetId="23" r:id="rId12"/>
    <sheet name="SEPTEMBER" sheetId="16" r:id="rId13"/>
    <sheet name="OCTOBER" sheetId="6" r:id="rId14"/>
    <sheet name="NOVEMBER" sheetId="31" r:id="rId15"/>
    <sheet name="DECEMBER" sheetId="26" r:id="rId16"/>
  </sheets>
  <externalReferences>
    <externalReference r:id="rId17"/>
    <externalReference r:id="rId18"/>
    <externalReference r:id="rId19"/>
  </externalReferences>
  <definedNames>
    <definedName name="_xlnm.Print_Area" localSheetId="7">APRIL!$A$42:$K$55</definedName>
    <definedName name="_xlnm.Print_Area" localSheetId="11">AUGUST!$A$42:$K$55</definedName>
    <definedName name="_xlnm.Print_Area" localSheetId="15">DECEMBER!$A$42:$K$55</definedName>
    <definedName name="_xlnm.Print_Area" localSheetId="5">FEBRUARY!$A$42:$K$55</definedName>
    <definedName name="_xlnm.Print_Area" localSheetId="4">JANUARY!$A$42:$K$55</definedName>
    <definedName name="_xlnm.Print_Area" localSheetId="10">JULY!$A$42:$K$55</definedName>
    <definedName name="_xlnm.Print_Area" localSheetId="9">JUNE!$A$42:$K$55</definedName>
    <definedName name="_xlnm.Print_Area" localSheetId="6">MARCH!$A$42:$K$55</definedName>
    <definedName name="_xlnm.Print_Area" localSheetId="8">MAY!$A$42:$K$55</definedName>
    <definedName name="_xlnm.Print_Area" localSheetId="14">NOVEMBER!$A$42:$K$55</definedName>
    <definedName name="_xlnm.Print_Area" localSheetId="13">OCTOBER!$A$42:$K$55</definedName>
    <definedName name="_xlnm.Print_Area" localSheetId="12">SEPTEMBER!$A$42:$K$55</definedName>
  </definedNames>
  <calcPr calcId="152511"/>
</workbook>
</file>

<file path=xl/calcChain.xml><?xml version="1.0" encoding="utf-8"?>
<calcChain xmlns="http://schemas.openxmlformats.org/spreadsheetml/2006/main">
  <c r="F52" i="26" l="1"/>
  <c r="I52" i="26"/>
  <c r="C54" i="27" l="1"/>
  <c r="E48" i="27" l="1"/>
  <c r="D48" i="27"/>
  <c r="C4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C28" i="27"/>
  <c r="AI14" i="27"/>
  <c r="AJ14" i="27"/>
  <c r="AK14" i="27"/>
  <c r="AH14" i="27"/>
  <c r="AG14" i="27"/>
  <c r="AF14" i="27"/>
  <c r="AE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C14" i="27" l="1"/>
  <c r="H48" i="31" l="1"/>
  <c r="E48" i="31"/>
  <c r="B48" i="31"/>
  <c r="H47" i="31"/>
  <c r="E47" i="31"/>
  <c r="B47" i="31"/>
  <c r="B46" i="31"/>
  <c r="AS40" i="31"/>
  <c r="AR40" i="31"/>
  <c r="AQ40" i="31"/>
  <c r="AP40" i="31"/>
  <c r="AO40" i="31"/>
  <c r="AN40" i="31"/>
  <c r="AM40" i="31"/>
  <c r="AL40" i="31"/>
  <c r="AK40" i="31"/>
  <c r="AH40" i="31"/>
  <c r="E49" i="31" s="1"/>
  <c r="AG40" i="31"/>
  <c r="AF40" i="31"/>
  <c r="B49" i="31" s="1"/>
  <c r="AE40" i="31"/>
  <c r="E50" i="31" s="1"/>
  <c r="AD40" i="31"/>
  <c r="H50" i="31" s="1"/>
  <c r="AC40" i="31"/>
  <c r="AB40" i="31"/>
  <c r="Z40" i="31"/>
  <c r="Y40" i="31"/>
  <c r="X40" i="31"/>
  <c r="W40" i="31"/>
  <c r="V40" i="31"/>
  <c r="U40" i="31"/>
  <c r="T40" i="31"/>
  <c r="S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B40" i="31"/>
  <c r="AS39" i="31"/>
  <c r="AR39" i="31"/>
  <c r="AQ39" i="31"/>
  <c r="AP39" i="31"/>
  <c r="AO39" i="31"/>
  <c r="AN39" i="31"/>
  <c r="AM39" i="31"/>
  <c r="AL39" i="31"/>
  <c r="AK39" i="31"/>
  <c r="AJ39" i="31"/>
  <c r="AJ41" i="31" s="1"/>
  <c r="AC39" i="31"/>
  <c r="AB39" i="31"/>
  <c r="AA39" i="31"/>
  <c r="AA41" i="31" s="1"/>
  <c r="Z39" i="31"/>
  <c r="Y39" i="31"/>
  <c r="X39" i="31"/>
  <c r="W39" i="31"/>
  <c r="V39" i="31"/>
  <c r="U39" i="31"/>
  <c r="T39" i="31"/>
  <c r="S39" i="31"/>
  <c r="R39" i="31"/>
  <c r="R41" i="31" s="1"/>
  <c r="Q39" i="31"/>
  <c r="Q41" i="31" s="1"/>
  <c r="P39" i="31"/>
  <c r="P41" i="31" s="1"/>
  <c r="O39" i="31"/>
  <c r="O41" i="31" s="1"/>
  <c r="N39" i="31"/>
  <c r="M39" i="31"/>
  <c r="L39" i="31"/>
  <c r="T48" i="31" s="1"/>
  <c r="U48" i="31" s="1"/>
  <c r="K39" i="31"/>
  <c r="J39" i="31"/>
  <c r="I39" i="31"/>
  <c r="H39" i="31"/>
  <c r="T53" i="31" s="1"/>
  <c r="U53" i="31" s="1"/>
  <c r="G39" i="31"/>
  <c r="F39" i="31"/>
  <c r="E39" i="31"/>
  <c r="D39" i="31"/>
  <c r="C39" i="31"/>
  <c r="B39" i="31"/>
  <c r="AK41" i="31" l="1"/>
  <c r="AO41" i="31"/>
  <c r="AS41" i="31"/>
  <c r="AC41" i="31"/>
  <c r="G41" i="31"/>
  <c r="K41" i="31"/>
  <c r="S41" i="31"/>
  <c r="D41" i="31"/>
  <c r="H41" i="31"/>
  <c r="L41" i="31"/>
  <c r="T41" i="31"/>
  <c r="X41" i="31"/>
  <c r="AI40" i="31"/>
  <c r="H46" i="31" s="1"/>
  <c r="AM41" i="31"/>
  <c r="Y41" i="31"/>
  <c r="AQ41" i="31"/>
  <c r="U41" i="31"/>
  <c r="T46" i="31"/>
  <c r="U46" i="31" s="1"/>
  <c r="T55" i="31"/>
  <c r="U55" i="31" s="1"/>
  <c r="B41" i="31"/>
  <c r="F41" i="31"/>
  <c r="J41" i="31"/>
  <c r="N41" i="31"/>
  <c r="V41" i="31"/>
  <c r="Z41" i="31"/>
  <c r="T49" i="31"/>
  <c r="U49" i="31" s="1"/>
  <c r="T54" i="31"/>
  <c r="U54" i="31" s="1"/>
  <c r="T51" i="31"/>
  <c r="U51" i="31" s="1"/>
  <c r="AB41" i="31"/>
  <c r="AL41" i="31"/>
  <c r="AP41" i="31"/>
  <c r="H49" i="31"/>
  <c r="T52" i="31"/>
  <c r="U52" i="31" s="1"/>
  <c r="T45" i="31"/>
  <c r="U45" i="31" s="1"/>
  <c r="E41" i="31"/>
  <c r="I41" i="31"/>
  <c r="M41" i="31"/>
  <c r="AN41" i="31"/>
  <c r="AR41" i="31"/>
  <c r="C41" i="31"/>
  <c r="W41" i="31"/>
  <c r="T47" i="31"/>
  <c r="U47" i="31" s="1"/>
  <c r="B50" i="31"/>
  <c r="E46" i="31" l="1"/>
  <c r="E45" i="31"/>
  <c r="E44" i="31"/>
  <c r="B45" i="31"/>
  <c r="B44" i="31"/>
  <c r="H45" i="31"/>
  <c r="H44" i="31"/>
  <c r="B51" i="31" l="1"/>
  <c r="B52" i="31" s="1"/>
  <c r="C43" i="27" s="1"/>
  <c r="E51" i="31"/>
  <c r="E52" i="31" s="1"/>
  <c r="D43" i="27" s="1"/>
  <c r="H51" i="31"/>
  <c r="H52" i="31" s="1"/>
  <c r="E43" i="27" s="1"/>
  <c r="AG13" i="27" l="1"/>
  <c r="AG12" i="27"/>
  <c r="AG11" i="27"/>
  <c r="AG10" i="27"/>
  <c r="AG9" i="27"/>
  <c r="AG8" i="27"/>
  <c r="AG7" i="27"/>
  <c r="AG6" i="27"/>
  <c r="AG5" i="27"/>
  <c r="AG4" i="27"/>
  <c r="AF13" i="27"/>
  <c r="AE13" i="27"/>
  <c r="AE12" i="27"/>
  <c r="AF11" i="27"/>
  <c r="AE11" i="27"/>
  <c r="AF10" i="27"/>
  <c r="AE10" i="27"/>
  <c r="AF9" i="27"/>
  <c r="AE9" i="27"/>
  <c r="AF8" i="27"/>
  <c r="AE8" i="27"/>
  <c r="AF7" i="27"/>
  <c r="AE7" i="27"/>
  <c r="AF6" i="27"/>
  <c r="AF5" i="27"/>
  <c r="AF4" i="27"/>
  <c r="AE6" i="27"/>
  <c r="AE5" i="27"/>
  <c r="AE4" i="27"/>
  <c r="E41" i="27"/>
  <c r="H51" i="20" l="1"/>
  <c r="E51" i="20"/>
  <c r="B51" i="20"/>
  <c r="AE40" i="26" l="1"/>
  <c r="AF15" i="27" s="1"/>
  <c r="AD40" i="26"/>
  <c r="AE15" i="27" s="1"/>
  <c r="AE40" i="6"/>
  <c r="AD40" i="6"/>
  <c r="AE40" i="16"/>
  <c r="AF12" i="27" s="1"/>
  <c r="AD40" i="16"/>
  <c r="AE40" i="23"/>
  <c r="AD40" i="23"/>
  <c r="AE40" i="24"/>
  <c r="AD40" i="24"/>
  <c r="AE40" i="17"/>
  <c r="AD40" i="17"/>
  <c r="AE40" i="18"/>
  <c r="AD40" i="18"/>
  <c r="AE40" i="19"/>
  <c r="AD40" i="19"/>
  <c r="AE40" i="20"/>
  <c r="AD40" i="20"/>
  <c r="AE40" i="22"/>
  <c r="AD40" i="22"/>
  <c r="AE40" i="21"/>
  <c r="AD40" i="21"/>
  <c r="AG15" i="27" l="1"/>
  <c r="AF17" i="27"/>
  <c r="D58" i="27" s="1"/>
  <c r="AG17" i="27"/>
  <c r="AE17" i="27"/>
  <c r="H50" i="26"/>
  <c r="E50" i="26"/>
  <c r="H50" i="6"/>
  <c r="E50" i="6"/>
  <c r="H50" i="16"/>
  <c r="E50" i="16"/>
  <c r="H50" i="23"/>
  <c r="E50" i="23"/>
  <c r="H50" i="24"/>
  <c r="E50" i="24"/>
  <c r="H50" i="17"/>
  <c r="E50" i="17"/>
  <c r="H50" i="18"/>
  <c r="E50" i="18"/>
  <c r="H50" i="19"/>
  <c r="E50" i="19"/>
  <c r="E58" i="27" l="1"/>
  <c r="C58" i="27"/>
  <c r="B50" i="19"/>
  <c r="B50" i="17"/>
  <c r="B50" i="26"/>
  <c r="B50" i="6"/>
  <c r="B50" i="16"/>
  <c r="B50" i="23"/>
  <c r="B50" i="24"/>
  <c r="B50" i="18"/>
  <c r="H50" i="20"/>
  <c r="E50" i="20"/>
  <c r="B50" i="20" l="1"/>
  <c r="H50" i="21"/>
  <c r="E50" i="21"/>
  <c r="B50" i="21" l="1"/>
  <c r="H50" i="22"/>
  <c r="E50" i="22"/>
  <c r="B50" i="22" l="1"/>
  <c r="C39" i="21" l="1"/>
  <c r="K47" i="22" l="1"/>
  <c r="K44" i="22"/>
  <c r="AB22" i="28" l="1"/>
  <c r="AC22" i="28"/>
  <c r="AD22" i="28"/>
  <c r="AA22" i="28"/>
  <c r="AI22" i="28" l="1"/>
  <c r="AH22" i="28"/>
  <c r="AG22" i="28"/>
  <c r="AF22" i="28"/>
  <c r="AB28" i="28" l="1"/>
  <c r="S40" i="17" s="1"/>
  <c r="J40" i="19" l="1"/>
  <c r="T40" i="19"/>
  <c r="J40" i="18"/>
  <c r="T40" i="18"/>
  <c r="J40" i="17"/>
  <c r="T40" i="17"/>
  <c r="C40" i="19"/>
  <c r="S40" i="19"/>
  <c r="C40" i="18"/>
  <c r="S40" i="18"/>
  <c r="C40" i="17"/>
  <c r="AH19" i="28"/>
  <c r="AF19" i="28"/>
  <c r="AI10" i="28"/>
  <c r="AG10" i="28"/>
  <c r="AH40" i="24" l="1"/>
  <c r="E49" i="24" s="1"/>
  <c r="AG40" i="24"/>
  <c r="AF40" i="24"/>
  <c r="B49" i="24" s="1"/>
  <c r="H48" i="26"/>
  <c r="E51" i="27" s="1"/>
  <c r="E48" i="26"/>
  <c r="D51" i="27" s="1"/>
  <c r="B48" i="26"/>
  <c r="C51" i="27" s="1"/>
  <c r="H47" i="26"/>
  <c r="E49" i="27" s="1"/>
  <c r="E47" i="26"/>
  <c r="D49" i="27" s="1"/>
  <c r="B47" i="26"/>
  <c r="C49" i="27" s="1"/>
  <c r="B46" i="26"/>
  <c r="C52" i="27" s="1"/>
  <c r="AS40" i="26"/>
  <c r="AR40" i="26"/>
  <c r="AQ40" i="26"/>
  <c r="AP40" i="26"/>
  <c r="AO40" i="26"/>
  <c r="AN40" i="26"/>
  <c r="AM40" i="26"/>
  <c r="AL40" i="26"/>
  <c r="AK40" i="26"/>
  <c r="L39" i="26"/>
  <c r="B39" i="26"/>
  <c r="H48" i="6"/>
  <c r="E48" i="6"/>
  <c r="B48" i="6"/>
  <c r="H47" i="6"/>
  <c r="E47" i="6"/>
  <c r="B47" i="6"/>
  <c r="B46" i="6"/>
  <c r="AS40" i="6"/>
  <c r="AR40" i="6"/>
  <c r="AQ40" i="6"/>
  <c r="AP40" i="6"/>
  <c r="AO40" i="6"/>
  <c r="AN40" i="6"/>
  <c r="AM40" i="6"/>
  <c r="AL40" i="6"/>
  <c r="AK40" i="6"/>
  <c r="AH40" i="6"/>
  <c r="E49" i="6" s="1"/>
  <c r="AG40" i="6"/>
  <c r="AF40" i="6"/>
  <c r="B49" i="6" s="1"/>
  <c r="AS39" i="6"/>
  <c r="AR39" i="6"/>
  <c r="AQ39" i="6"/>
  <c r="AP39" i="6"/>
  <c r="AO39" i="6"/>
  <c r="AN39" i="6"/>
  <c r="AM39" i="6"/>
  <c r="AL39" i="6"/>
  <c r="AK39" i="6"/>
  <c r="AJ39" i="6"/>
  <c r="AJ41" i="6" s="1"/>
  <c r="AC39" i="6"/>
  <c r="AB39" i="6"/>
  <c r="AA39" i="6"/>
  <c r="AA41" i="6" s="1"/>
  <c r="Z39" i="6"/>
  <c r="Y39" i="6"/>
  <c r="X39" i="6"/>
  <c r="W39" i="6"/>
  <c r="V39" i="6"/>
  <c r="U39" i="6"/>
  <c r="T39" i="6"/>
  <c r="S39" i="6"/>
  <c r="R39" i="6"/>
  <c r="R41" i="6" s="1"/>
  <c r="Q39" i="6"/>
  <c r="Q41" i="6" s="1"/>
  <c r="P39" i="6"/>
  <c r="P41" i="6" s="1"/>
  <c r="O39" i="6"/>
  <c r="O41" i="6" s="1"/>
  <c r="N39" i="6"/>
  <c r="M39" i="6"/>
  <c r="L39" i="6"/>
  <c r="K39" i="6"/>
  <c r="J39" i="6"/>
  <c r="I39" i="6"/>
  <c r="H39" i="6"/>
  <c r="T53" i="6" s="1"/>
  <c r="U53" i="6" s="1"/>
  <c r="G39" i="6"/>
  <c r="T47" i="6" s="1"/>
  <c r="U47" i="6" s="1"/>
  <c r="F39" i="6"/>
  <c r="E39" i="6"/>
  <c r="D39" i="6"/>
  <c r="C39" i="6"/>
  <c r="B39" i="6"/>
  <c r="AH40" i="23"/>
  <c r="E49" i="23" s="1"/>
  <c r="AG40" i="23"/>
  <c r="AF40" i="23"/>
  <c r="B49" i="23" s="1"/>
  <c r="H48" i="23"/>
  <c r="E48" i="23"/>
  <c r="B48" i="23"/>
  <c r="H47" i="23"/>
  <c r="E47" i="23"/>
  <c r="B47" i="23"/>
  <c r="B46" i="23"/>
  <c r="AS40" i="23"/>
  <c r="AR40" i="23"/>
  <c r="AQ40" i="23"/>
  <c r="AP40" i="23"/>
  <c r="AO40" i="23"/>
  <c r="AN40" i="23"/>
  <c r="AM40" i="23"/>
  <c r="AL40" i="23"/>
  <c r="AK40" i="23"/>
  <c r="AS39" i="23"/>
  <c r="AR39" i="23"/>
  <c r="AQ39" i="23"/>
  <c r="AP39" i="23"/>
  <c r="AO39" i="23"/>
  <c r="AN39" i="23"/>
  <c r="AM39" i="23"/>
  <c r="AL39" i="23"/>
  <c r="AK39" i="23"/>
  <c r="AJ39" i="23"/>
  <c r="AJ41" i="23" s="1"/>
  <c r="AC39" i="23"/>
  <c r="AB39" i="23"/>
  <c r="AA39" i="23"/>
  <c r="AA41" i="23" s="1"/>
  <c r="Z39" i="23"/>
  <c r="Y39" i="23"/>
  <c r="X39" i="23"/>
  <c r="W39" i="23"/>
  <c r="V39" i="23"/>
  <c r="U39" i="23"/>
  <c r="T39" i="23"/>
  <c r="S39" i="23"/>
  <c r="R39" i="23"/>
  <c r="R41" i="23" s="1"/>
  <c r="Q39" i="23"/>
  <c r="Q41" i="23" s="1"/>
  <c r="P39" i="23"/>
  <c r="P41" i="23" s="1"/>
  <c r="O39" i="23"/>
  <c r="O41" i="23" s="1"/>
  <c r="N39" i="23"/>
  <c r="M39" i="23"/>
  <c r="L39" i="23"/>
  <c r="K39" i="23"/>
  <c r="J39" i="23"/>
  <c r="I39" i="23"/>
  <c r="H39" i="23"/>
  <c r="T53" i="23" s="1"/>
  <c r="U53" i="23" s="1"/>
  <c r="G39" i="23"/>
  <c r="T47" i="23" s="1"/>
  <c r="U47" i="23" s="1"/>
  <c r="F39" i="23"/>
  <c r="E39" i="23"/>
  <c r="D39" i="23"/>
  <c r="C39" i="23"/>
  <c r="B39" i="23"/>
  <c r="H48" i="24"/>
  <c r="E48" i="24"/>
  <c r="B48" i="24"/>
  <c r="H47" i="24"/>
  <c r="E47" i="24"/>
  <c r="B47" i="24"/>
  <c r="B46" i="24"/>
  <c r="AS40" i="24"/>
  <c r="AR40" i="24"/>
  <c r="AQ40" i="24"/>
  <c r="AP40" i="24"/>
  <c r="AO40" i="24"/>
  <c r="AN40" i="24"/>
  <c r="AM40" i="24"/>
  <c r="AL40" i="24"/>
  <c r="AK40" i="24"/>
  <c r="AS39" i="24"/>
  <c r="AR39" i="24"/>
  <c r="AQ39" i="24"/>
  <c r="AP39" i="24"/>
  <c r="AO39" i="24"/>
  <c r="AN39" i="24"/>
  <c r="AM39" i="24"/>
  <c r="AL39" i="24"/>
  <c r="AK39" i="24"/>
  <c r="AJ39" i="24"/>
  <c r="AJ41" i="24" s="1"/>
  <c r="AC39" i="24"/>
  <c r="AB39" i="24"/>
  <c r="AA39" i="24"/>
  <c r="AA41" i="24" s="1"/>
  <c r="Z39" i="24"/>
  <c r="Y39" i="24"/>
  <c r="X39" i="24"/>
  <c r="W39" i="24"/>
  <c r="V39" i="24"/>
  <c r="U39" i="24"/>
  <c r="T39" i="24"/>
  <c r="S39" i="24"/>
  <c r="R39" i="24"/>
  <c r="R41" i="24" s="1"/>
  <c r="Q39" i="24"/>
  <c r="Q41" i="24" s="1"/>
  <c r="P39" i="24"/>
  <c r="P41" i="24" s="1"/>
  <c r="O39" i="24"/>
  <c r="O41" i="24" s="1"/>
  <c r="N39" i="24"/>
  <c r="M39" i="24"/>
  <c r="L39" i="24"/>
  <c r="K39" i="24"/>
  <c r="J39" i="24"/>
  <c r="I39" i="24"/>
  <c r="H39" i="24"/>
  <c r="T53" i="24" s="1"/>
  <c r="U53" i="24" s="1"/>
  <c r="G39" i="24"/>
  <c r="T47" i="24" s="1"/>
  <c r="U47" i="24" s="1"/>
  <c r="F39" i="24"/>
  <c r="E39" i="24"/>
  <c r="D39" i="24"/>
  <c r="C39" i="24"/>
  <c r="B39" i="24"/>
  <c r="H48" i="17"/>
  <c r="E48" i="17"/>
  <c r="B48" i="17"/>
  <c r="H47" i="17"/>
  <c r="E47" i="17"/>
  <c r="B47" i="17"/>
  <c r="B46" i="17"/>
  <c r="AS40" i="17"/>
  <c r="AR40" i="17"/>
  <c r="AQ40" i="17"/>
  <c r="AP40" i="17"/>
  <c r="AO40" i="17"/>
  <c r="AN40" i="17"/>
  <c r="AM40" i="17"/>
  <c r="AL40" i="17"/>
  <c r="AK40" i="17"/>
  <c r="AH40" i="17"/>
  <c r="E49" i="17" s="1"/>
  <c r="AG40" i="17"/>
  <c r="AF40" i="17"/>
  <c r="B49" i="17" s="1"/>
  <c r="AS39" i="17"/>
  <c r="AR39" i="17"/>
  <c r="AQ39" i="17"/>
  <c r="AP39" i="17"/>
  <c r="AO39" i="17"/>
  <c r="AN39" i="17"/>
  <c r="AM39" i="17"/>
  <c r="AL39" i="17"/>
  <c r="AK39" i="17"/>
  <c r="AJ39" i="17"/>
  <c r="AJ41" i="17" s="1"/>
  <c r="AC39" i="17"/>
  <c r="AB39" i="17"/>
  <c r="AA39" i="17"/>
  <c r="AA41" i="17" s="1"/>
  <c r="Z39" i="17"/>
  <c r="Y39" i="17"/>
  <c r="X39" i="17"/>
  <c r="W39" i="17"/>
  <c r="V39" i="17"/>
  <c r="U39" i="17"/>
  <c r="T39" i="17"/>
  <c r="T41" i="17" s="1"/>
  <c r="S39" i="17"/>
  <c r="S41" i="17" s="1"/>
  <c r="R39" i="17"/>
  <c r="R41" i="17" s="1"/>
  <c r="Q39" i="17"/>
  <c r="Q41" i="17" s="1"/>
  <c r="P39" i="17"/>
  <c r="P41" i="17" s="1"/>
  <c r="O39" i="17"/>
  <c r="O41" i="17" s="1"/>
  <c r="N39" i="17"/>
  <c r="M39" i="17"/>
  <c r="L39" i="17"/>
  <c r="K39" i="17"/>
  <c r="J39" i="17"/>
  <c r="J41" i="17" s="1"/>
  <c r="I39" i="17"/>
  <c r="H39" i="17"/>
  <c r="T53" i="17" s="1"/>
  <c r="U53" i="17" s="1"/>
  <c r="G39" i="17"/>
  <c r="T47" i="17" s="1"/>
  <c r="U47" i="17" s="1"/>
  <c r="F39" i="17"/>
  <c r="E39" i="17"/>
  <c r="D39" i="17"/>
  <c r="C39" i="17"/>
  <c r="B39" i="17"/>
  <c r="H48" i="18"/>
  <c r="E48" i="18"/>
  <c r="B48" i="18"/>
  <c r="H47" i="18"/>
  <c r="E47" i="18"/>
  <c r="B47" i="18"/>
  <c r="B46" i="18"/>
  <c r="AS40" i="18"/>
  <c r="AR40" i="18"/>
  <c r="AQ40" i="18"/>
  <c r="AP40" i="18"/>
  <c r="AO40" i="18"/>
  <c r="AN40" i="18"/>
  <c r="AM40" i="18"/>
  <c r="AL40" i="18"/>
  <c r="AK40" i="18"/>
  <c r="AH40" i="18"/>
  <c r="E49" i="18" s="1"/>
  <c r="AG40" i="18"/>
  <c r="AF40" i="18"/>
  <c r="B49" i="18" s="1"/>
  <c r="AS39" i="18"/>
  <c r="AR39" i="18"/>
  <c r="AQ39" i="18"/>
  <c r="AP39" i="18"/>
  <c r="AO39" i="18"/>
  <c r="AN39" i="18"/>
  <c r="AM39" i="18"/>
  <c r="AL39" i="18"/>
  <c r="AK39" i="18"/>
  <c r="AJ39" i="18"/>
  <c r="AJ41" i="18" s="1"/>
  <c r="AC39" i="18"/>
  <c r="AB39" i="18"/>
  <c r="AA39" i="18"/>
  <c r="AA41" i="18" s="1"/>
  <c r="Z39" i="18"/>
  <c r="Y39" i="18"/>
  <c r="X39" i="18"/>
  <c r="W39" i="18"/>
  <c r="V39" i="18"/>
  <c r="U39" i="18"/>
  <c r="T39" i="18"/>
  <c r="T41" i="18" s="1"/>
  <c r="S39" i="18"/>
  <c r="S41" i="18" s="1"/>
  <c r="R39" i="18"/>
  <c r="R41" i="18" s="1"/>
  <c r="Q39" i="18"/>
  <c r="Q41" i="18" s="1"/>
  <c r="P39" i="18"/>
  <c r="P41" i="18" s="1"/>
  <c r="O39" i="18"/>
  <c r="O41" i="18" s="1"/>
  <c r="N39" i="18"/>
  <c r="M39" i="18"/>
  <c r="L39" i="18"/>
  <c r="K39" i="18"/>
  <c r="J39" i="18"/>
  <c r="J41" i="18" s="1"/>
  <c r="I39" i="18"/>
  <c r="H39" i="18"/>
  <c r="T53" i="18" s="1"/>
  <c r="U53" i="18" s="1"/>
  <c r="G39" i="18"/>
  <c r="T47" i="18" s="1"/>
  <c r="U47" i="18" s="1"/>
  <c r="F39" i="18"/>
  <c r="E39" i="18"/>
  <c r="D39" i="18"/>
  <c r="C39" i="18"/>
  <c r="B39" i="18"/>
  <c r="H48" i="19"/>
  <c r="E48" i="19"/>
  <c r="B48" i="19"/>
  <c r="H47" i="19"/>
  <c r="E47" i="19"/>
  <c r="B47" i="19"/>
  <c r="B46" i="19"/>
  <c r="AS40" i="19"/>
  <c r="AR40" i="19"/>
  <c r="AQ40" i="19"/>
  <c r="AP40" i="19"/>
  <c r="AO40" i="19"/>
  <c r="AN40" i="19"/>
  <c r="AM40" i="19"/>
  <c r="AL40" i="19"/>
  <c r="AK40" i="19"/>
  <c r="AH40" i="19"/>
  <c r="E49" i="19" s="1"/>
  <c r="AG40" i="19"/>
  <c r="AF40" i="19"/>
  <c r="B49" i="19" s="1"/>
  <c r="AS39" i="19"/>
  <c r="AR39" i="19"/>
  <c r="AQ39" i="19"/>
  <c r="AP39" i="19"/>
  <c r="AO39" i="19"/>
  <c r="AN39" i="19"/>
  <c r="AM39" i="19"/>
  <c r="AL39" i="19"/>
  <c r="AK39" i="19"/>
  <c r="AJ39" i="19"/>
  <c r="AJ41" i="19" s="1"/>
  <c r="AC39" i="19"/>
  <c r="AB39" i="19"/>
  <c r="AA39" i="19"/>
  <c r="AA41" i="19" s="1"/>
  <c r="Z39" i="19"/>
  <c r="Y39" i="19"/>
  <c r="X39" i="19"/>
  <c r="W39" i="19"/>
  <c r="V39" i="19"/>
  <c r="U39" i="19"/>
  <c r="T39" i="19"/>
  <c r="T41" i="19" s="1"/>
  <c r="S39" i="19"/>
  <c r="S41" i="19" s="1"/>
  <c r="R39" i="19"/>
  <c r="R41" i="19" s="1"/>
  <c r="Q39" i="19"/>
  <c r="Q41" i="19" s="1"/>
  <c r="P39" i="19"/>
  <c r="P41" i="19" s="1"/>
  <c r="O39" i="19"/>
  <c r="O41" i="19" s="1"/>
  <c r="N39" i="19"/>
  <c r="M39" i="19"/>
  <c r="L39" i="19"/>
  <c r="K39" i="19"/>
  <c r="J39" i="19"/>
  <c r="J41" i="19" s="1"/>
  <c r="I39" i="19"/>
  <c r="H39" i="19"/>
  <c r="T53" i="19" s="1"/>
  <c r="U53" i="19" s="1"/>
  <c r="G39" i="19"/>
  <c r="T47" i="19" s="1"/>
  <c r="U47" i="19" s="1"/>
  <c r="F39" i="19"/>
  <c r="E39" i="19"/>
  <c r="D39" i="19"/>
  <c r="C39" i="19"/>
  <c r="B39" i="19"/>
  <c r="H48" i="20"/>
  <c r="E48" i="20"/>
  <c r="B48" i="20"/>
  <c r="H47" i="20"/>
  <c r="E47" i="20"/>
  <c r="B47" i="20"/>
  <c r="B46" i="20"/>
  <c r="AS40" i="20"/>
  <c r="AR40" i="20"/>
  <c r="AQ40" i="20"/>
  <c r="AP40" i="20"/>
  <c r="AO40" i="20"/>
  <c r="AN40" i="20"/>
  <c r="AM40" i="20"/>
  <c r="AL40" i="20"/>
  <c r="AK40" i="20"/>
  <c r="AH40" i="20"/>
  <c r="E49" i="20" s="1"/>
  <c r="AG40" i="20"/>
  <c r="AF40" i="20"/>
  <c r="B49" i="20" s="1"/>
  <c r="AS39" i="20"/>
  <c r="AR39" i="20"/>
  <c r="AQ39" i="20"/>
  <c r="AP39" i="20"/>
  <c r="AO39" i="20"/>
  <c r="AN39" i="20"/>
  <c r="AM39" i="20"/>
  <c r="AL39" i="20"/>
  <c r="AK39" i="20"/>
  <c r="AJ39" i="20"/>
  <c r="AJ41" i="20" s="1"/>
  <c r="AC39" i="20"/>
  <c r="AB39" i="20"/>
  <c r="AA39" i="20"/>
  <c r="AA41" i="20" s="1"/>
  <c r="Z39" i="20"/>
  <c r="Y39" i="20"/>
  <c r="X39" i="20"/>
  <c r="W39" i="20"/>
  <c r="V39" i="20"/>
  <c r="U39" i="20"/>
  <c r="T39" i="20"/>
  <c r="S39" i="20"/>
  <c r="R39" i="20"/>
  <c r="R41" i="20" s="1"/>
  <c r="Q39" i="20"/>
  <c r="Q41" i="20" s="1"/>
  <c r="P39" i="20"/>
  <c r="P41" i="20" s="1"/>
  <c r="O39" i="20"/>
  <c r="O41" i="20" s="1"/>
  <c r="N39" i="20"/>
  <c r="M39" i="20"/>
  <c r="L39" i="20"/>
  <c r="K39" i="20"/>
  <c r="J39" i="20"/>
  <c r="I39" i="20"/>
  <c r="H39" i="20"/>
  <c r="T53" i="20" s="1"/>
  <c r="U53" i="20" s="1"/>
  <c r="G39" i="20"/>
  <c r="T47" i="20" s="1"/>
  <c r="U47" i="20" s="1"/>
  <c r="F39" i="20"/>
  <c r="E39" i="20"/>
  <c r="D39" i="20"/>
  <c r="C39" i="20"/>
  <c r="B39" i="20"/>
  <c r="AI40" i="6" l="1"/>
  <c r="E46" i="6" s="1"/>
  <c r="AI40" i="24"/>
  <c r="E46" i="24" s="1"/>
  <c r="H49" i="19"/>
  <c r="AI40" i="19"/>
  <c r="H49" i="23"/>
  <c r="AI40" i="23"/>
  <c r="H46" i="23" s="1"/>
  <c r="AI40" i="17"/>
  <c r="E46" i="17" s="1"/>
  <c r="H49" i="18"/>
  <c r="AI40" i="18"/>
  <c r="H49" i="20"/>
  <c r="AI40" i="20"/>
  <c r="T54" i="24"/>
  <c r="U54" i="24" s="1"/>
  <c r="T49" i="18"/>
  <c r="U49" i="18" s="1"/>
  <c r="T54" i="19"/>
  <c r="U54" i="19" s="1"/>
  <c r="T54" i="17"/>
  <c r="U54" i="17" s="1"/>
  <c r="T54" i="23"/>
  <c r="U54" i="23" s="1"/>
  <c r="T55" i="19"/>
  <c r="U55" i="19" s="1"/>
  <c r="T55" i="17"/>
  <c r="U55" i="17" s="1"/>
  <c r="T45" i="24"/>
  <c r="U45" i="24" s="1"/>
  <c r="T45" i="20"/>
  <c r="U45" i="20" s="1"/>
  <c r="T54" i="20"/>
  <c r="U54" i="20" s="1"/>
  <c r="T54" i="6"/>
  <c r="U54" i="6" s="1"/>
  <c r="T52" i="19"/>
  <c r="U52" i="19" s="1"/>
  <c r="T45" i="19"/>
  <c r="U45" i="19" s="1"/>
  <c r="T55" i="18"/>
  <c r="U55" i="18" s="1"/>
  <c r="T52" i="17"/>
  <c r="U52" i="17" s="1"/>
  <c r="T45" i="17"/>
  <c r="U45" i="17" s="1"/>
  <c r="T45" i="23"/>
  <c r="U45" i="23" s="1"/>
  <c r="T55" i="20"/>
  <c r="U55" i="20" s="1"/>
  <c r="T49" i="19"/>
  <c r="U49" i="19" s="1"/>
  <c r="T51" i="19"/>
  <c r="U51" i="19" s="1"/>
  <c r="T54" i="18"/>
  <c r="U54" i="18" s="1"/>
  <c r="T49" i="17"/>
  <c r="U49" i="17" s="1"/>
  <c r="T51" i="17"/>
  <c r="U51" i="17" s="1"/>
  <c r="T55" i="24"/>
  <c r="U55" i="24" s="1"/>
  <c r="T55" i="23"/>
  <c r="U55" i="23" s="1"/>
  <c r="T55" i="6"/>
  <c r="U55" i="6" s="1"/>
  <c r="T52" i="20"/>
  <c r="U52" i="20" s="1"/>
  <c r="T51" i="18"/>
  <c r="U51" i="18" s="1"/>
  <c r="T52" i="24"/>
  <c r="U52" i="24" s="1"/>
  <c r="T52" i="23"/>
  <c r="U52" i="23" s="1"/>
  <c r="T52" i="6"/>
  <c r="U52" i="6" s="1"/>
  <c r="T49" i="20"/>
  <c r="U49" i="20" s="1"/>
  <c r="T51" i="20"/>
  <c r="U51" i="20" s="1"/>
  <c r="T52" i="18"/>
  <c r="U52" i="18" s="1"/>
  <c r="T45" i="18"/>
  <c r="U45" i="18" s="1"/>
  <c r="T49" i="24"/>
  <c r="U49" i="24" s="1"/>
  <c r="T51" i="24"/>
  <c r="U51" i="24" s="1"/>
  <c r="T49" i="23"/>
  <c r="U49" i="23" s="1"/>
  <c r="T51" i="23"/>
  <c r="U51" i="23" s="1"/>
  <c r="T49" i="6"/>
  <c r="U49" i="6" s="1"/>
  <c r="T46" i="19"/>
  <c r="U46" i="19" s="1"/>
  <c r="T46" i="20"/>
  <c r="U46" i="20" s="1"/>
  <c r="T51" i="6"/>
  <c r="U51" i="6" s="1"/>
  <c r="T45" i="6"/>
  <c r="U45" i="6" s="1"/>
  <c r="AL41" i="6"/>
  <c r="AN41" i="6"/>
  <c r="AP41" i="6"/>
  <c r="AR41" i="6"/>
  <c r="AK41" i="6"/>
  <c r="AM41" i="6"/>
  <c r="AO41" i="6"/>
  <c r="AQ41" i="6"/>
  <c r="AS41" i="6"/>
  <c r="AL41" i="23"/>
  <c r="AN41" i="23"/>
  <c r="AP41" i="23"/>
  <c r="AR41" i="23"/>
  <c r="AK41" i="23"/>
  <c r="AM41" i="23"/>
  <c r="AO41" i="23"/>
  <c r="AQ41" i="23"/>
  <c r="AS41" i="23"/>
  <c r="AL41" i="24"/>
  <c r="AN41" i="24"/>
  <c r="AP41" i="24"/>
  <c r="AR41" i="24"/>
  <c r="AK41" i="24"/>
  <c r="AM41" i="24"/>
  <c r="AO41" i="24"/>
  <c r="AQ41" i="24"/>
  <c r="AS41" i="24"/>
  <c r="AL41" i="17"/>
  <c r="AN41" i="17"/>
  <c r="AP41" i="17"/>
  <c r="AR41" i="17"/>
  <c r="AK41" i="17"/>
  <c r="AM41" i="17"/>
  <c r="AO41" i="17"/>
  <c r="AQ41" i="17"/>
  <c r="AS41" i="17"/>
  <c r="AK41" i="19"/>
  <c r="AM41" i="19"/>
  <c r="AO41" i="19"/>
  <c r="AQ41" i="19"/>
  <c r="AS41" i="19"/>
  <c r="AL41" i="19"/>
  <c r="AN41" i="19"/>
  <c r="AP41" i="19"/>
  <c r="AR41" i="19"/>
  <c r="AL41" i="20"/>
  <c r="AN41" i="20"/>
  <c r="AP41" i="20"/>
  <c r="AR41" i="20"/>
  <c r="AK41" i="20"/>
  <c r="AM41" i="20"/>
  <c r="AO41" i="20"/>
  <c r="AQ41" i="20"/>
  <c r="AS41" i="20"/>
  <c r="T48" i="26"/>
  <c r="U48" i="26" s="1"/>
  <c r="T46" i="6"/>
  <c r="U46" i="6" s="1"/>
  <c r="T48" i="6"/>
  <c r="U48" i="6" s="1"/>
  <c r="H49" i="6"/>
  <c r="T46" i="23"/>
  <c r="U46" i="23" s="1"/>
  <c r="T48" i="23"/>
  <c r="U48" i="23" s="1"/>
  <c r="T46" i="24"/>
  <c r="U46" i="24" s="1"/>
  <c r="T48" i="24"/>
  <c r="U48" i="24" s="1"/>
  <c r="H49" i="24"/>
  <c r="T46" i="17"/>
  <c r="U46" i="17" s="1"/>
  <c r="C41" i="17"/>
  <c r="T48" i="17"/>
  <c r="U48" i="17" s="1"/>
  <c r="H49" i="17"/>
  <c r="AK41" i="18"/>
  <c r="AM41" i="18"/>
  <c r="AO41" i="18"/>
  <c r="AQ41" i="18"/>
  <c r="AS41" i="18"/>
  <c r="T46" i="18"/>
  <c r="U46" i="18" s="1"/>
  <c r="AL41" i="18"/>
  <c r="AN41" i="18"/>
  <c r="AP41" i="18"/>
  <c r="AR41" i="18"/>
  <c r="C41" i="18"/>
  <c r="T48" i="18"/>
  <c r="U48" i="18" s="1"/>
  <c r="C41" i="19"/>
  <c r="T48" i="19"/>
  <c r="U48" i="19" s="1"/>
  <c r="T48" i="20"/>
  <c r="U48" i="20" s="1"/>
  <c r="E46" i="19" l="1"/>
  <c r="H46" i="19"/>
  <c r="H46" i="20"/>
  <c r="E46" i="20"/>
  <c r="E45" i="23"/>
  <c r="H45" i="6"/>
  <c r="H46" i="24"/>
  <c r="H45" i="19"/>
  <c r="E45" i="24"/>
  <c r="E46" i="23"/>
  <c r="E45" i="20"/>
  <c r="H46" i="17"/>
  <c r="E45" i="19"/>
  <c r="E45" i="17"/>
  <c r="H46" i="6"/>
  <c r="H45" i="20"/>
  <c r="B45" i="19"/>
  <c r="B45" i="24"/>
  <c r="H45" i="24"/>
  <c r="B45" i="23"/>
  <c r="B45" i="17"/>
  <c r="E45" i="6"/>
  <c r="B45" i="20"/>
  <c r="B45" i="6"/>
  <c r="E46" i="18"/>
  <c r="H46" i="18"/>
  <c r="H45" i="23"/>
  <c r="H45" i="17"/>
  <c r="E45" i="18"/>
  <c r="B45" i="18"/>
  <c r="H45" i="18"/>
  <c r="H48" i="21" l="1"/>
  <c r="E48" i="21"/>
  <c r="B48" i="21"/>
  <c r="H47" i="21"/>
  <c r="E47" i="21"/>
  <c r="B47" i="21"/>
  <c r="B46" i="21"/>
  <c r="AS40" i="21"/>
  <c r="AR40" i="21"/>
  <c r="AQ40" i="21"/>
  <c r="AP40" i="21"/>
  <c r="AO40" i="21"/>
  <c r="AN40" i="21"/>
  <c r="AM40" i="21"/>
  <c r="AL40" i="21"/>
  <c r="AK40" i="21"/>
  <c r="AH40" i="21"/>
  <c r="E49" i="21" s="1"/>
  <c r="AG40" i="21"/>
  <c r="AF40" i="21"/>
  <c r="B49" i="21" s="1"/>
  <c r="AS39" i="21"/>
  <c r="AR39" i="21"/>
  <c r="AQ39" i="21"/>
  <c r="AP39" i="21"/>
  <c r="AO39" i="21"/>
  <c r="AN39" i="21"/>
  <c r="AM39" i="21"/>
  <c r="AL39" i="21"/>
  <c r="AK39" i="21"/>
  <c r="AJ39" i="21"/>
  <c r="AJ41" i="21" s="1"/>
  <c r="AC39" i="21"/>
  <c r="AB39" i="21"/>
  <c r="AA39" i="21"/>
  <c r="AA41" i="21" s="1"/>
  <c r="Z39" i="21"/>
  <c r="Y39" i="21"/>
  <c r="X39" i="21"/>
  <c r="W39" i="21"/>
  <c r="V39" i="21"/>
  <c r="U39" i="21"/>
  <c r="T39" i="21"/>
  <c r="S39" i="21"/>
  <c r="R39" i="21"/>
  <c r="R41" i="21" s="1"/>
  <c r="Q39" i="21"/>
  <c r="Q41" i="21" s="1"/>
  <c r="P39" i="21"/>
  <c r="P41" i="21" s="1"/>
  <c r="O39" i="21"/>
  <c r="O41" i="21" s="1"/>
  <c r="N39" i="21"/>
  <c r="M39" i="21"/>
  <c r="L39" i="21"/>
  <c r="K39" i="21"/>
  <c r="J39" i="21"/>
  <c r="I39" i="21"/>
  <c r="H39" i="21"/>
  <c r="T53" i="21" s="1"/>
  <c r="U53" i="21" s="1"/>
  <c r="G39" i="21"/>
  <c r="T47" i="21" s="1"/>
  <c r="U47" i="21" s="1"/>
  <c r="F39" i="21"/>
  <c r="E39" i="21"/>
  <c r="D39" i="21"/>
  <c r="B39" i="21"/>
  <c r="AI40" i="21" l="1"/>
  <c r="H46" i="21" s="1"/>
  <c r="T49" i="21"/>
  <c r="U49" i="21" s="1"/>
  <c r="T52" i="21"/>
  <c r="U52" i="21" s="1"/>
  <c r="T51" i="21"/>
  <c r="U51" i="21" s="1"/>
  <c r="T55" i="21"/>
  <c r="U55" i="21" s="1"/>
  <c r="T54" i="21"/>
  <c r="U54" i="21" s="1"/>
  <c r="AL41" i="21"/>
  <c r="AN41" i="21"/>
  <c r="AP41" i="21"/>
  <c r="AR41" i="21"/>
  <c r="AK41" i="21"/>
  <c r="AM41" i="21"/>
  <c r="AO41" i="21"/>
  <c r="AQ41" i="21"/>
  <c r="AS41" i="21"/>
  <c r="T46" i="21"/>
  <c r="U46" i="21" s="1"/>
  <c r="T45" i="21"/>
  <c r="U45" i="21" s="1"/>
  <c r="T48" i="21"/>
  <c r="U48" i="21" s="1"/>
  <c r="H49" i="21"/>
  <c r="E46" i="21" l="1"/>
  <c r="E45" i="21"/>
  <c r="B45" i="21"/>
  <c r="H45" i="21"/>
  <c r="H48" i="22" l="1"/>
  <c r="E48" i="22"/>
  <c r="B48" i="22"/>
  <c r="H47" i="22"/>
  <c r="E47" i="22"/>
  <c r="B47" i="22"/>
  <c r="B46" i="22"/>
  <c r="AS40" i="22"/>
  <c r="AR40" i="22"/>
  <c r="AQ40" i="22"/>
  <c r="AP40" i="22"/>
  <c r="AO40" i="22"/>
  <c r="AN40" i="22"/>
  <c r="AM40" i="22"/>
  <c r="AL40" i="22"/>
  <c r="AK40" i="22"/>
  <c r="AH40" i="22"/>
  <c r="E49" i="22" s="1"/>
  <c r="AG40" i="22"/>
  <c r="AF40" i="22"/>
  <c r="B49" i="22" s="1"/>
  <c r="AS39" i="22"/>
  <c r="AR39" i="22"/>
  <c r="AQ39" i="22"/>
  <c r="AP39" i="22"/>
  <c r="AO39" i="22"/>
  <c r="AN39" i="22"/>
  <c r="AM39" i="22"/>
  <c r="AL39" i="22"/>
  <c r="AK39" i="22"/>
  <c r="AJ39" i="22"/>
  <c r="AC39" i="22"/>
  <c r="AB39" i="22"/>
  <c r="AA39" i="22"/>
  <c r="AA41" i="22" s="1"/>
  <c r="Z39" i="22"/>
  <c r="Y39" i="22"/>
  <c r="X39" i="22"/>
  <c r="W39" i="22"/>
  <c r="V39" i="22"/>
  <c r="U39" i="22"/>
  <c r="T39" i="22"/>
  <c r="S39" i="22"/>
  <c r="R39" i="22"/>
  <c r="R41" i="22" s="1"/>
  <c r="Q39" i="22"/>
  <c r="Q41" i="22" s="1"/>
  <c r="P39" i="22"/>
  <c r="P41" i="22" s="1"/>
  <c r="O39" i="22"/>
  <c r="O41" i="22" s="1"/>
  <c r="N39" i="22"/>
  <c r="M39" i="22"/>
  <c r="L39" i="22"/>
  <c r="K39" i="22"/>
  <c r="J39" i="22"/>
  <c r="I39" i="22"/>
  <c r="H39" i="22"/>
  <c r="T53" i="22" s="1"/>
  <c r="U53" i="22" s="1"/>
  <c r="G39" i="22"/>
  <c r="T47" i="22" s="1"/>
  <c r="U47" i="22" s="1"/>
  <c r="F39" i="22"/>
  <c r="E39" i="22"/>
  <c r="D39" i="22"/>
  <c r="C39" i="22"/>
  <c r="B39" i="22"/>
  <c r="AI40" i="22" l="1"/>
  <c r="H46" i="22" s="1"/>
  <c r="T55" i="22"/>
  <c r="U55" i="22" s="1"/>
  <c r="T49" i="22"/>
  <c r="U49" i="22" s="1"/>
  <c r="T54" i="22"/>
  <c r="U54" i="22" s="1"/>
  <c r="AJ41" i="22"/>
  <c r="T52" i="22"/>
  <c r="U52" i="22" s="1"/>
  <c r="T51" i="22"/>
  <c r="U51" i="22" s="1"/>
  <c r="T45" i="22"/>
  <c r="U45" i="22" s="1"/>
  <c r="AL41" i="22"/>
  <c r="AN41" i="22"/>
  <c r="AP41" i="22"/>
  <c r="AR41" i="22"/>
  <c r="AK41" i="22"/>
  <c r="AM41" i="22"/>
  <c r="AO41" i="22"/>
  <c r="AQ41" i="22"/>
  <c r="AS41" i="22"/>
  <c r="T46" i="22"/>
  <c r="U46" i="22" s="1"/>
  <c r="T48" i="22"/>
  <c r="U48" i="22" s="1"/>
  <c r="H49" i="22"/>
  <c r="H48" i="16"/>
  <c r="E48" i="16"/>
  <c r="B48" i="16"/>
  <c r="E46" i="22" l="1"/>
  <c r="B45" i="22"/>
  <c r="H45" i="22"/>
  <c r="E45" i="22"/>
  <c r="B46" i="16"/>
  <c r="B47" i="16" l="1"/>
  <c r="AS40" i="16"/>
  <c r="AR40" i="16"/>
  <c r="AQ40" i="16"/>
  <c r="AP40" i="16"/>
  <c r="AO40" i="16"/>
  <c r="AN40" i="16"/>
  <c r="AM40" i="16"/>
  <c r="AL40" i="16"/>
  <c r="AK40" i="16"/>
  <c r="AS39" i="16"/>
  <c r="AR39" i="16"/>
  <c r="AQ39" i="16"/>
  <c r="AP39" i="16"/>
  <c r="AO39" i="16"/>
  <c r="AN39" i="16"/>
  <c r="AM39" i="16"/>
  <c r="AL39" i="16"/>
  <c r="AK39" i="16"/>
  <c r="AJ39" i="16"/>
  <c r="H47" i="16"/>
  <c r="E47" i="16"/>
  <c r="AJ41" i="16" l="1"/>
  <c r="AN41" i="16"/>
  <c r="AS41" i="16"/>
  <c r="AR41" i="16"/>
  <c r="AP41" i="16"/>
  <c r="AO41" i="16"/>
  <c r="AM41" i="16"/>
  <c r="AL41" i="16"/>
  <c r="AK41" i="16"/>
  <c r="AQ41" i="16" l="1"/>
  <c r="B45" i="16" s="1"/>
  <c r="AB26" i="28"/>
  <c r="AC26" i="28"/>
  <c r="AD26" i="28"/>
  <c r="AA26" i="28"/>
  <c r="K40" i="20" l="1"/>
  <c r="K41" i="20" s="1"/>
  <c r="L20" i="27" s="1"/>
  <c r="K40" i="21"/>
  <c r="K41" i="21" s="1"/>
  <c r="L19" i="27" s="1"/>
  <c r="K40" i="22"/>
  <c r="K41" i="22" s="1"/>
  <c r="L18" i="27" s="1"/>
  <c r="E40" i="20"/>
  <c r="E41" i="20" s="1"/>
  <c r="F20" i="27" s="1"/>
  <c r="E40" i="21"/>
  <c r="E41" i="21" s="1"/>
  <c r="F19" i="27" s="1"/>
  <c r="E40" i="22"/>
  <c r="E41" i="22" s="1"/>
  <c r="F18" i="27" s="1"/>
  <c r="K40" i="16"/>
  <c r="K40" i="23"/>
  <c r="K41" i="23" s="1"/>
  <c r="L25" i="27" s="1"/>
  <c r="K40" i="24"/>
  <c r="K41" i="24" s="1"/>
  <c r="E40" i="16"/>
  <c r="E40" i="23"/>
  <c r="E41" i="23" s="1"/>
  <c r="F25" i="27" s="1"/>
  <c r="E40" i="24"/>
  <c r="E41" i="24" s="1"/>
  <c r="F24" i="27" s="1"/>
  <c r="K40" i="26"/>
  <c r="K40" i="6"/>
  <c r="K41" i="6" s="1"/>
  <c r="E40" i="26"/>
  <c r="E40" i="6"/>
  <c r="E41" i="6" s="1"/>
  <c r="K40" i="17"/>
  <c r="K41" i="17" s="1"/>
  <c r="L23" i="27" s="1"/>
  <c r="K40" i="18"/>
  <c r="K41" i="18" s="1"/>
  <c r="L22" i="27" s="1"/>
  <c r="K40" i="19"/>
  <c r="K41" i="19" s="1"/>
  <c r="L21" i="27" s="1"/>
  <c r="E40" i="17"/>
  <c r="E41" i="17" s="1"/>
  <c r="F23" i="27" s="1"/>
  <c r="E40" i="18"/>
  <c r="E41" i="18" s="1"/>
  <c r="F22" i="27" s="1"/>
  <c r="E40" i="19"/>
  <c r="E41" i="19" s="1"/>
  <c r="F21" i="27" s="1"/>
  <c r="AG24" i="28"/>
  <c r="AH24" i="28"/>
  <c r="AI24" i="28"/>
  <c r="AF24" i="28"/>
  <c r="AI31" i="28"/>
  <c r="AH31" i="28"/>
  <c r="AG31" i="28"/>
  <c r="AF31" i="28"/>
  <c r="AD31" i="28"/>
  <c r="AC31" i="28"/>
  <c r="AB31" i="28"/>
  <c r="AA31" i="28"/>
  <c r="AI30" i="28"/>
  <c r="AH30" i="28"/>
  <c r="AG30" i="28"/>
  <c r="AF30" i="28"/>
  <c r="AD30" i="28"/>
  <c r="AC30" i="28"/>
  <c r="AB30" i="28"/>
  <c r="AA30" i="28"/>
  <c r="AI29" i="28"/>
  <c r="AH29" i="28"/>
  <c r="AG29" i="28"/>
  <c r="AF29" i="28"/>
  <c r="AD29" i="28"/>
  <c r="AC29" i="28"/>
  <c r="AB29" i="28"/>
  <c r="AA29" i="28"/>
  <c r="AI28" i="28"/>
  <c r="AH28" i="28"/>
  <c r="AG28" i="28"/>
  <c r="AF28" i="28"/>
  <c r="AD28" i="28"/>
  <c r="AC28" i="28"/>
  <c r="AA28" i="28"/>
  <c r="AI27" i="28"/>
  <c r="AH27" i="28"/>
  <c r="AG27" i="28"/>
  <c r="AF27" i="28"/>
  <c r="AD27" i="28"/>
  <c r="AC27" i="28"/>
  <c r="AB27" i="28"/>
  <c r="AA27" i="28"/>
  <c r="AI26" i="28"/>
  <c r="AH26" i="28"/>
  <c r="AG26" i="28"/>
  <c r="AF26" i="28"/>
  <c r="AI25" i="28"/>
  <c r="AH25" i="28"/>
  <c r="AG25" i="28"/>
  <c r="AF25" i="28"/>
  <c r="AD25" i="28"/>
  <c r="AC25" i="28"/>
  <c r="AB25" i="28"/>
  <c r="AA25" i="28"/>
  <c r="AD24" i="28"/>
  <c r="AC24" i="28"/>
  <c r="AB24" i="28"/>
  <c r="AA24" i="28"/>
  <c r="AI23" i="28"/>
  <c r="AH23" i="28"/>
  <c r="AG23" i="28"/>
  <c r="AF23" i="28"/>
  <c r="AD23" i="28"/>
  <c r="AC23" i="28"/>
  <c r="AB23" i="28"/>
  <c r="AA23" i="28"/>
  <c r="R20" i="28"/>
  <c r="AI19" i="28"/>
  <c r="AG19" i="28"/>
  <c r="T18" i="28"/>
  <c r="AB18" i="28" s="1"/>
  <c r="P18" i="28"/>
  <c r="A12" i="28"/>
  <c r="A20" i="28" s="1"/>
  <c r="AE7" i="28"/>
  <c r="AD7" i="28"/>
  <c r="AD9" i="28" s="1"/>
  <c r="P25" i="27"/>
  <c r="Q25" i="27"/>
  <c r="R25" i="27"/>
  <c r="S25" i="27"/>
  <c r="AB25" i="27"/>
  <c r="L24" i="27"/>
  <c r="P24" i="27"/>
  <c r="Q24" i="27"/>
  <c r="R24" i="27"/>
  <c r="S24" i="27"/>
  <c r="AB24" i="27"/>
  <c r="AH10" i="27"/>
  <c r="AI10" i="27"/>
  <c r="AJ10" i="27"/>
  <c r="AK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D23" i="27"/>
  <c r="K23" i="27"/>
  <c r="P23" i="27"/>
  <c r="Q23" i="27"/>
  <c r="R23" i="27"/>
  <c r="S23" i="27"/>
  <c r="T23" i="27"/>
  <c r="U23" i="27"/>
  <c r="AB23" i="27"/>
  <c r="D22" i="27"/>
  <c r="K22" i="27"/>
  <c r="P22" i="27"/>
  <c r="Q22" i="27"/>
  <c r="R22" i="27"/>
  <c r="S22" i="27"/>
  <c r="T22" i="27"/>
  <c r="U22" i="27"/>
  <c r="AB22" i="27"/>
  <c r="AH9" i="27"/>
  <c r="AI9" i="27"/>
  <c r="AJ9" i="27"/>
  <c r="AK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H8" i="27"/>
  <c r="AI8" i="27"/>
  <c r="AJ8" i="27"/>
  <c r="AK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D21" i="27"/>
  <c r="K21" i="27"/>
  <c r="P21" i="27"/>
  <c r="Q21" i="27"/>
  <c r="R21" i="27"/>
  <c r="S21" i="27"/>
  <c r="T21" i="27"/>
  <c r="U21" i="27"/>
  <c r="AB21" i="27"/>
  <c r="AH7" i="27"/>
  <c r="AI7" i="27"/>
  <c r="AJ7" i="27"/>
  <c r="AK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P20" i="27"/>
  <c r="Q20" i="27"/>
  <c r="R20" i="27"/>
  <c r="S20" i="27"/>
  <c r="AB20" i="27"/>
  <c r="AH6" i="27"/>
  <c r="AI6" i="27"/>
  <c r="AJ6" i="27"/>
  <c r="AK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P19" i="27"/>
  <c r="Q19" i="27"/>
  <c r="R19" i="27"/>
  <c r="S19" i="27"/>
  <c r="AB19" i="27"/>
  <c r="AH5" i="27"/>
  <c r="AI5" i="27"/>
  <c r="AJ5" i="27"/>
  <c r="AK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H11" i="27"/>
  <c r="AI11" i="27"/>
  <c r="AJ11" i="27"/>
  <c r="AK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B18" i="27"/>
  <c r="S18" i="27"/>
  <c r="R18" i="27"/>
  <c r="Q18" i="27"/>
  <c r="P18" i="27"/>
  <c r="AH30" i="27"/>
  <c r="AI30" i="27"/>
  <c r="AJ30" i="27"/>
  <c r="AK30" i="27"/>
  <c r="AH4" i="27"/>
  <c r="AI4" i="27"/>
  <c r="AJ4" i="27"/>
  <c r="AK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W40" i="20" l="1"/>
  <c r="W41" i="20" s="1"/>
  <c r="W40" i="21"/>
  <c r="W41" i="21" s="1"/>
  <c r="W40" i="22"/>
  <c r="W41" i="22" s="1"/>
  <c r="X40" i="20"/>
  <c r="X41" i="20" s="1"/>
  <c r="X40" i="22"/>
  <c r="X41" i="22" s="1"/>
  <c r="X40" i="21"/>
  <c r="X41" i="21" s="1"/>
  <c r="W40" i="16"/>
  <c r="W40" i="23"/>
  <c r="W41" i="23" s="1"/>
  <c r="X25" i="27" s="1"/>
  <c r="W40" i="24"/>
  <c r="W41" i="24" s="1"/>
  <c r="X40" i="16"/>
  <c r="X40" i="23"/>
  <c r="X41" i="23" s="1"/>
  <c r="Y25" i="27" s="1"/>
  <c r="X40" i="24"/>
  <c r="X41" i="24" s="1"/>
  <c r="N40" i="20"/>
  <c r="N41" i="20" s="1"/>
  <c r="O20" i="27" s="1"/>
  <c r="F40" i="20"/>
  <c r="F41" i="20" s="1"/>
  <c r="M40" i="21"/>
  <c r="M41" i="21" s="1"/>
  <c r="N40" i="22"/>
  <c r="N41" i="22" s="1"/>
  <c r="O18" i="27" s="1"/>
  <c r="F40" i="22"/>
  <c r="F41" i="22" s="1"/>
  <c r="M40" i="20"/>
  <c r="M41" i="20" s="1"/>
  <c r="F40" i="21"/>
  <c r="F41" i="21" s="1"/>
  <c r="M40" i="22"/>
  <c r="M41" i="22" s="1"/>
  <c r="N40" i="21"/>
  <c r="N41" i="21" s="1"/>
  <c r="O19" i="27" s="1"/>
  <c r="N40" i="16"/>
  <c r="F40" i="16"/>
  <c r="M40" i="23"/>
  <c r="M41" i="23" s="1"/>
  <c r="N25" i="27" s="1"/>
  <c r="N40" i="24"/>
  <c r="N41" i="24" s="1"/>
  <c r="O24" i="27" s="1"/>
  <c r="F40" i="24"/>
  <c r="F41" i="24" s="1"/>
  <c r="N40" i="23"/>
  <c r="N41" i="23" s="1"/>
  <c r="O25" i="27" s="1"/>
  <c r="F40" i="23"/>
  <c r="F41" i="23" s="1"/>
  <c r="G25" i="27" s="1"/>
  <c r="M40" i="16"/>
  <c r="M40" i="24"/>
  <c r="M41" i="24" s="1"/>
  <c r="M40" i="26"/>
  <c r="N40" i="26"/>
  <c r="F40" i="26"/>
  <c r="G40" i="21"/>
  <c r="G41" i="21" s="1"/>
  <c r="H19" i="27" s="1"/>
  <c r="G40" i="22"/>
  <c r="G41" i="22" s="1"/>
  <c r="H18" i="27" s="1"/>
  <c r="G40" i="20"/>
  <c r="G41" i="20" s="1"/>
  <c r="H20" i="27" s="1"/>
  <c r="G40" i="16"/>
  <c r="G40" i="24"/>
  <c r="G41" i="24" s="1"/>
  <c r="H24" i="27" s="1"/>
  <c r="G40" i="23"/>
  <c r="G41" i="23" s="1"/>
  <c r="H25" i="27" s="1"/>
  <c r="L40" i="21"/>
  <c r="L41" i="21" s="1"/>
  <c r="M19" i="27" s="1"/>
  <c r="L40" i="20"/>
  <c r="L41" i="20" s="1"/>
  <c r="M20" i="27" s="1"/>
  <c r="L40" i="22"/>
  <c r="L41" i="22" s="1"/>
  <c r="M18" i="27" s="1"/>
  <c r="L40" i="23"/>
  <c r="L41" i="23" s="1"/>
  <c r="M25" i="27" s="1"/>
  <c r="L40" i="16"/>
  <c r="L40" i="24"/>
  <c r="L41" i="24" s="1"/>
  <c r="M24" i="27" s="1"/>
  <c r="V40" i="20"/>
  <c r="V41" i="20" s="1"/>
  <c r="W20" i="27" s="1"/>
  <c r="AB40" i="21"/>
  <c r="AB41" i="21" s="1"/>
  <c r="AC19" i="27" s="1"/>
  <c r="U40" i="21"/>
  <c r="U41" i="21" s="1"/>
  <c r="V19" i="27" s="1"/>
  <c r="V40" i="22"/>
  <c r="V41" i="22" s="1"/>
  <c r="W18" i="27" s="1"/>
  <c r="AB40" i="20"/>
  <c r="AB41" i="20" s="1"/>
  <c r="AC20" i="27" s="1"/>
  <c r="U40" i="20"/>
  <c r="U41" i="20" s="1"/>
  <c r="V40" i="21"/>
  <c r="V41" i="21" s="1"/>
  <c r="W19" i="27" s="1"/>
  <c r="AB40" i="22"/>
  <c r="AB41" i="22" s="1"/>
  <c r="AC18" i="27" s="1"/>
  <c r="U40" i="22"/>
  <c r="U41" i="22" s="1"/>
  <c r="V18" i="27" s="1"/>
  <c r="V40" i="16"/>
  <c r="AB40" i="23"/>
  <c r="AB41" i="23" s="1"/>
  <c r="AC25" i="27" s="1"/>
  <c r="U40" i="23"/>
  <c r="U41" i="23" s="1"/>
  <c r="V25" i="27" s="1"/>
  <c r="V40" i="24"/>
  <c r="V41" i="24" s="1"/>
  <c r="W24" i="27" s="1"/>
  <c r="AB40" i="16"/>
  <c r="U40" i="16"/>
  <c r="V40" i="23"/>
  <c r="V41" i="23" s="1"/>
  <c r="W25" i="27" s="1"/>
  <c r="AB40" i="24"/>
  <c r="AB41" i="24" s="1"/>
  <c r="AC24" i="27" s="1"/>
  <c r="U40" i="24"/>
  <c r="U41" i="24" s="1"/>
  <c r="V24" i="27" s="1"/>
  <c r="T40" i="20"/>
  <c r="T41" i="20" s="1"/>
  <c r="J40" i="20"/>
  <c r="J41" i="20" s="1"/>
  <c r="K20" i="27" s="1"/>
  <c r="T40" i="21"/>
  <c r="T41" i="21" s="1"/>
  <c r="J40" i="21"/>
  <c r="J41" i="21" s="1"/>
  <c r="K19" i="27" s="1"/>
  <c r="T40" i="22"/>
  <c r="T41" i="22" s="1"/>
  <c r="J40" i="22"/>
  <c r="J41" i="22" s="1"/>
  <c r="K18" i="27" s="1"/>
  <c r="S40" i="20"/>
  <c r="S41" i="20" s="1"/>
  <c r="T20" i="27" s="1"/>
  <c r="C40" i="20"/>
  <c r="C41" i="20" s="1"/>
  <c r="D20" i="27" s="1"/>
  <c r="S40" i="21"/>
  <c r="S41" i="21" s="1"/>
  <c r="C40" i="21"/>
  <c r="C41" i="21" s="1"/>
  <c r="D19" i="27" s="1"/>
  <c r="S40" i="22"/>
  <c r="S41" i="22" s="1"/>
  <c r="C40" i="22"/>
  <c r="C41" i="22" s="1"/>
  <c r="D18" i="27" s="1"/>
  <c r="S40" i="26"/>
  <c r="C40" i="26"/>
  <c r="S40" i="6"/>
  <c r="S41" i="6" s="1"/>
  <c r="C40" i="6"/>
  <c r="C41" i="6" s="1"/>
  <c r="T40" i="26"/>
  <c r="J40" i="26"/>
  <c r="T40" i="6"/>
  <c r="T41" i="6" s="1"/>
  <c r="J40" i="6"/>
  <c r="J41" i="6" s="1"/>
  <c r="H40" i="18"/>
  <c r="H41" i="18" s="1"/>
  <c r="I22" i="27" s="1"/>
  <c r="H40" i="17"/>
  <c r="H41" i="17" s="1"/>
  <c r="I23" i="27" s="1"/>
  <c r="H40" i="19"/>
  <c r="H41" i="19" s="1"/>
  <c r="I21" i="27" s="1"/>
  <c r="H40" i="26"/>
  <c r="H40" i="6"/>
  <c r="H41" i="6" s="1"/>
  <c r="I40" i="17"/>
  <c r="I41" i="17" s="1"/>
  <c r="J23" i="27" s="1"/>
  <c r="AC40" i="18"/>
  <c r="AC41" i="18" s="1"/>
  <c r="AD22" i="27" s="1"/>
  <c r="B40" i="18"/>
  <c r="B41" i="18" s="1"/>
  <c r="I40" i="19"/>
  <c r="I41" i="19" s="1"/>
  <c r="J21" i="27" s="1"/>
  <c r="AC40" i="17"/>
  <c r="AC41" i="17" s="1"/>
  <c r="AD23" i="27" s="1"/>
  <c r="B40" i="17"/>
  <c r="B41" i="17" s="1"/>
  <c r="I40" i="18"/>
  <c r="I41" i="18" s="1"/>
  <c r="J22" i="27" s="1"/>
  <c r="AC40" i="19"/>
  <c r="AC41" i="19" s="1"/>
  <c r="AD21" i="27" s="1"/>
  <c r="B40" i="19"/>
  <c r="B41" i="19" s="1"/>
  <c r="I40" i="26"/>
  <c r="I40" i="6"/>
  <c r="I41" i="6" s="1"/>
  <c r="AC40" i="26"/>
  <c r="B40" i="26"/>
  <c r="B41" i="26" s="1"/>
  <c r="AC40" i="6"/>
  <c r="AC41" i="6" s="1"/>
  <c r="B40" i="6"/>
  <c r="B41" i="6" s="1"/>
  <c r="Y40" i="17"/>
  <c r="Y41" i="17" s="1"/>
  <c r="Z23" i="27" s="1"/>
  <c r="Z40" i="18"/>
  <c r="Z41" i="18" s="1"/>
  <c r="AA22" i="27" s="1"/>
  <c r="D40" i="18"/>
  <c r="D41" i="18" s="1"/>
  <c r="E22" i="27" s="1"/>
  <c r="Y40" i="19"/>
  <c r="Y41" i="19" s="1"/>
  <c r="Z21" i="27" s="1"/>
  <c r="D40" i="17"/>
  <c r="D41" i="17" s="1"/>
  <c r="E23" i="27" s="1"/>
  <c r="Z40" i="17"/>
  <c r="Z41" i="17" s="1"/>
  <c r="AA23" i="27" s="1"/>
  <c r="Y40" i="18"/>
  <c r="Y41" i="18" s="1"/>
  <c r="Z22" i="27" s="1"/>
  <c r="Z40" i="19"/>
  <c r="Z41" i="19" s="1"/>
  <c r="AA21" i="27" s="1"/>
  <c r="D40" i="19"/>
  <c r="D41" i="19" s="1"/>
  <c r="E21" i="27" s="1"/>
  <c r="Y40" i="26"/>
  <c r="Z40" i="6"/>
  <c r="Z41" i="6" s="1"/>
  <c r="Z40" i="26"/>
  <c r="D40" i="26"/>
  <c r="D40" i="6"/>
  <c r="D41" i="6" s="1"/>
  <c r="Y40" i="6"/>
  <c r="Y41" i="6" s="1"/>
  <c r="W40" i="17"/>
  <c r="W41" i="17" s="1"/>
  <c r="W40" i="18"/>
  <c r="W41" i="18" s="1"/>
  <c r="W40" i="19"/>
  <c r="W41" i="19" s="1"/>
  <c r="X40" i="17"/>
  <c r="X41" i="17" s="1"/>
  <c r="X40" i="18"/>
  <c r="X41" i="18" s="1"/>
  <c r="X40" i="19"/>
  <c r="X41" i="19" s="1"/>
  <c r="W40" i="26"/>
  <c r="W40" i="6"/>
  <c r="W41" i="6" s="1"/>
  <c r="X40" i="26"/>
  <c r="X40" i="6"/>
  <c r="X41" i="6" s="1"/>
  <c r="M40" i="17"/>
  <c r="M41" i="17" s="1"/>
  <c r="N40" i="18"/>
  <c r="N41" i="18" s="1"/>
  <c r="O22" i="27" s="1"/>
  <c r="F40" i="18"/>
  <c r="F41" i="18" s="1"/>
  <c r="M40" i="19"/>
  <c r="M41" i="19" s="1"/>
  <c r="F40" i="17"/>
  <c r="F41" i="17" s="1"/>
  <c r="N40" i="19"/>
  <c r="N41" i="19" s="1"/>
  <c r="O21" i="27" s="1"/>
  <c r="N40" i="17"/>
  <c r="N41" i="17" s="1"/>
  <c r="O23" i="27" s="1"/>
  <c r="M40" i="18"/>
  <c r="M41" i="18" s="1"/>
  <c r="F40" i="19"/>
  <c r="F41" i="19" s="1"/>
  <c r="M40" i="6"/>
  <c r="M41" i="6" s="1"/>
  <c r="F40" i="6"/>
  <c r="F41" i="6" s="1"/>
  <c r="N40" i="6"/>
  <c r="N41" i="6" s="1"/>
  <c r="G40" i="17"/>
  <c r="G41" i="17" s="1"/>
  <c r="H23" i="27" s="1"/>
  <c r="G40" i="19"/>
  <c r="G41" i="19" s="1"/>
  <c r="H21" i="27" s="1"/>
  <c r="G40" i="18"/>
  <c r="G41" i="18" s="1"/>
  <c r="H22" i="27" s="1"/>
  <c r="G40" i="26"/>
  <c r="G40" i="6"/>
  <c r="G41" i="6" s="1"/>
  <c r="L40" i="17"/>
  <c r="L41" i="17" s="1"/>
  <c r="M23" i="27" s="1"/>
  <c r="L40" i="19"/>
  <c r="L41" i="19" s="1"/>
  <c r="M21" i="27" s="1"/>
  <c r="L40" i="18"/>
  <c r="L41" i="18" s="1"/>
  <c r="M22" i="27" s="1"/>
  <c r="L40" i="26"/>
  <c r="L41" i="26" s="1"/>
  <c r="L40" i="6"/>
  <c r="L41" i="6" s="1"/>
  <c r="AB40" i="17"/>
  <c r="AB41" i="17" s="1"/>
  <c r="AC23" i="27" s="1"/>
  <c r="U40" i="17"/>
  <c r="U41" i="17" s="1"/>
  <c r="V40" i="18"/>
  <c r="V41" i="18" s="1"/>
  <c r="AB40" i="19"/>
  <c r="AB41" i="19" s="1"/>
  <c r="AC21" i="27" s="1"/>
  <c r="U40" i="19"/>
  <c r="U41" i="19" s="1"/>
  <c r="V40" i="17"/>
  <c r="V41" i="17" s="1"/>
  <c r="AB40" i="18"/>
  <c r="AB41" i="18" s="1"/>
  <c r="AC22" i="27" s="1"/>
  <c r="U40" i="18"/>
  <c r="U41" i="18" s="1"/>
  <c r="V40" i="19"/>
  <c r="V41" i="19" s="1"/>
  <c r="AB40" i="26"/>
  <c r="U40" i="26"/>
  <c r="AB40" i="6"/>
  <c r="AB41" i="6" s="1"/>
  <c r="U40" i="6"/>
  <c r="U41" i="6" s="1"/>
  <c r="V40" i="26"/>
  <c r="V40" i="6"/>
  <c r="V41" i="6" s="1"/>
  <c r="S40" i="16"/>
  <c r="C40" i="16"/>
  <c r="S40" i="23"/>
  <c r="S41" i="23" s="1"/>
  <c r="C40" i="23"/>
  <c r="C41" i="23" s="1"/>
  <c r="D25" i="27" s="1"/>
  <c r="S40" i="24"/>
  <c r="S41" i="24" s="1"/>
  <c r="C40" i="24"/>
  <c r="C41" i="24" s="1"/>
  <c r="D24" i="27" s="1"/>
  <c r="T40" i="16"/>
  <c r="J40" i="16"/>
  <c r="T40" i="23"/>
  <c r="T41" i="23" s="1"/>
  <c r="J40" i="23"/>
  <c r="J41" i="23" s="1"/>
  <c r="K25" i="27" s="1"/>
  <c r="T40" i="24"/>
  <c r="T41" i="24" s="1"/>
  <c r="J40" i="24"/>
  <c r="J41" i="24" s="1"/>
  <c r="K24" i="27" s="1"/>
  <c r="H40" i="20"/>
  <c r="H41" i="20" s="1"/>
  <c r="I20" i="27" s="1"/>
  <c r="H40" i="22"/>
  <c r="H41" i="22" s="1"/>
  <c r="I18" i="27" s="1"/>
  <c r="H40" i="21"/>
  <c r="H41" i="21" s="1"/>
  <c r="I19" i="27" s="1"/>
  <c r="H40" i="16"/>
  <c r="H40" i="24"/>
  <c r="H41" i="24" s="1"/>
  <c r="I24" i="27" s="1"/>
  <c r="H40" i="23"/>
  <c r="H41" i="23" s="1"/>
  <c r="I25" i="27" s="1"/>
  <c r="AC40" i="20"/>
  <c r="AC41" i="20" s="1"/>
  <c r="AD20" i="27" s="1"/>
  <c r="B40" i="20"/>
  <c r="B41" i="20" s="1"/>
  <c r="I40" i="21"/>
  <c r="I41" i="21" s="1"/>
  <c r="J19" i="27" s="1"/>
  <c r="AC40" i="22"/>
  <c r="AC41" i="22" s="1"/>
  <c r="AD18" i="27" s="1"/>
  <c r="B40" i="22"/>
  <c r="B41" i="22" s="1"/>
  <c r="I40" i="20"/>
  <c r="I41" i="20" s="1"/>
  <c r="J20" i="27" s="1"/>
  <c r="AC40" i="21"/>
  <c r="AC41" i="21" s="1"/>
  <c r="AD19" i="27" s="1"/>
  <c r="B40" i="21"/>
  <c r="B41" i="21" s="1"/>
  <c r="I40" i="22"/>
  <c r="I41" i="22" s="1"/>
  <c r="J18" i="27" s="1"/>
  <c r="AC40" i="16"/>
  <c r="B40" i="16"/>
  <c r="I40" i="23"/>
  <c r="I41" i="23" s="1"/>
  <c r="J25" i="27" s="1"/>
  <c r="AC40" i="24"/>
  <c r="AC41" i="24" s="1"/>
  <c r="AD24" i="27" s="1"/>
  <c r="B40" i="24"/>
  <c r="B41" i="24" s="1"/>
  <c r="I40" i="16"/>
  <c r="AC40" i="23"/>
  <c r="AC41" i="23" s="1"/>
  <c r="AD25" i="27" s="1"/>
  <c r="B40" i="23"/>
  <c r="B41" i="23" s="1"/>
  <c r="I40" i="24"/>
  <c r="I41" i="24" s="1"/>
  <c r="J24" i="27" s="1"/>
  <c r="D40" i="20"/>
  <c r="D41" i="20" s="1"/>
  <c r="E20" i="27" s="1"/>
  <c r="Y40" i="20"/>
  <c r="Y41" i="20" s="1"/>
  <c r="Z20" i="27" s="1"/>
  <c r="Z40" i="21"/>
  <c r="Z41" i="21" s="1"/>
  <c r="AA19" i="27" s="1"/>
  <c r="Z40" i="22"/>
  <c r="Z41" i="22" s="1"/>
  <c r="AA18" i="27" s="1"/>
  <c r="D40" i="22"/>
  <c r="D41" i="22" s="1"/>
  <c r="E18" i="27" s="1"/>
  <c r="Z40" i="20"/>
  <c r="Z41" i="20" s="1"/>
  <c r="AA20" i="27" s="1"/>
  <c r="D40" i="21"/>
  <c r="D41" i="21" s="1"/>
  <c r="E19" i="27" s="1"/>
  <c r="Y40" i="21"/>
  <c r="Y41" i="21" s="1"/>
  <c r="Z19" i="27" s="1"/>
  <c r="Y40" i="22"/>
  <c r="Y41" i="22" s="1"/>
  <c r="Z18" i="27" s="1"/>
  <c r="D40" i="16"/>
  <c r="Y40" i="16"/>
  <c r="Z40" i="23"/>
  <c r="Z41" i="23" s="1"/>
  <c r="AA25" i="27" s="1"/>
  <c r="Z40" i="24"/>
  <c r="Z41" i="24" s="1"/>
  <c r="AA24" i="27" s="1"/>
  <c r="D40" i="24"/>
  <c r="D41" i="24" s="1"/>
  <c r="E24" i="27" s="1"/>
  <c r="Z40" i="16"/>
  <c r="D40" i="23"/>
  <c r="D41" i="23" s="1"/>
  <c r="E25" i="27" s="1"/>
  <c r="Y40" i="23"/>
  <c r="Y41" i="23" s="1"/>
  <c r="Z25" i="27" s="1"/>
  <c r="Y40" i="24"/>
  <c r="Y41" i="24" s="1"/>
  <c r="Z24" i="27" s="1"/>
  <c r="AH40" i="16"/>
  <c r="AG40" i="16"/>
  <c r="AF40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T48" i="16" s="1"/>
  <c r="U48" i="16" s="1"/>
  <c r="K39" i="16"/>
  <c r="J39" i="16"/>
  <c r="I39" i="16"/>
  <c r="H39" i="16"/>
  <c r="T53" i="16" s="1"/>
  <c r="U53" i="16" s="1"/>
  <c r="G39" i="16"/>
  <c r="T47" i="16" s="1"/>
  <c r="U47" i="16" s="1"/>
  <c r="F39" i="16"/>
  <c r="E39" i="16"/>
  <c r="D39" i="16"/>
  <c r="C39" i="16"/>
  <c r="B39" i="16"/>
  <c r="AJ13" i="27"/>
  <c r="AH13" i="27"/>
  <c r="AI40" i="16" l="1"/>
  <c r="E46" i="16" s="1"/>
  <c r="C41" i="16"/>
  <c r="D26" i="27" s="1"/>
  <c r="T52" i="16"/>
  <c r="U52" i="16" s="1"/>
  <c r="T45" i="16"/>
  <c r="U45" i="16" s="1"/>
  <c r="T55" i="16"/>
  <c r="U55" i="16" s="1"/>
  <c r="T54" i="16"/>
  <c r="U54" i="16" s="1"/>
  <c r="T49" i="16"/>
  <c r="U49" i="16" s="1"/>
  <c r="T51" i="16"/>
  <c r="U51" i="16" s="1"/>
  <c r="B44" i="23"/>
  <c r="C25" i="27"/>
  <c r="B44" i="22"/>
  <c r="C18" i="27"/>
  <c r="E44" i="24"/>
  <c r="E51" i="24" s="1"/>
  <c r="U24" i="27"/>
  <c r="E44" i="23"/>
  <c r="E51" i="23" s="1"/>
  <c r="U25" i="27"/>
  <c r="H44" i="24"/>
  <c r="H51" i="24" s="1"/>
  <c r="T24" i="27"/>
  <c r="H44" i="23"/>
  <c r="H51" i="23" s="1"/>
  <c r="T25" i="27"/>
  <c r="E44" i="19"/>
  <c r="E51" i="19" s="1"/>
  <c r="W21" i="27"/>
  <c r="H44" i="19"/>
  <c r="H51" i="19" s="1"/>
  <c r="V21" i="27"/>
  <c r="E44" i="18"/>
  <c r="E51" i="18" s="1"/>
  <c r="W22" i="27"/>
  <c r="B44" i="17"/>
  <c r="C23" i="27"/>
  <c r="H44" i="20"/>
  <c r="V20" i="27"/>
  <c r="B44" i="6"/>
  <c r="B44" i="24"/>
  <c r="C24" i="27"/>
  <c r="B44" i="21"/>
  <c r="C19" i="27"/>
  <c r="B44" i="20"/>
  <c r="B52" i="20" s="1"/>
  <c r="C35" i="27" s="1"/>
  <c r="C20" i="27"/>
  <c r="H44" i="18"/>
  <c r="H51" i="18" s="1"/>
  <c r="V22" i="27"/>
  <c r="E44" i="17"/>
  <c r="E51" i="17" s="1"/>
  <c r="W23" i="27"/>
  <c r="H44" i="17"/>
  <c r="H51" i="17" s="1"/>
  <c r="V23" i="27"/>
  <c r="B44" i="19"/>
  <c r="C21" i="27"/>
  <c r="B44" i="18"/>
  <c r="C22" i="27"/>
  <c r="H44" i="22"/>
  <c r="H51" i="22" s="1"/>
  <c r="T18" i="27"/>
  <c r="H44" i="21"/>
  <c r="H51" i="21" s="1"/>
  <c r="T19" i="27"/>
  <c r="E44" i="22"/>
  <c r="E51" i="22" s="1"/>
  <c r="U18" i="27"/>
  <c r="E44" i="21"/>
  <c r="E51" i="21" s="1"/>
  <c r="U19" i="27"/>
  <c r="E44" i="20"/>
  <c r="U20" i="27"/>
  <c r="E44" i="6"/>
  <c r="E51" i="6" s="1"/>
  <c r="H44" i="6"/>
  <c r="H51" i="6" s="1"/>
  <c r="H49" i="16"/>
  <c r="AH12" i="27"/>
  <c r="B49" i="16"/>
  <c r="C45" i="16" s="1"/>
  <c r="AJ12" i="27"/>
  <c r="E49" i="16"/>
  <c r="T46" i="16"/>
  <c r="U46" i="16" s="1"/>
  <c r="C29" i="27"/>
  <c r="C15" i="27"/>
  <c r="M29" i="27"/>
  <c r="M15" i="27"/>
  <c r="Z27" i="27"/>
  <c r="Z13" i="27"/>
  <c r="AB27" i="27"/>
  <c r="AB13" i="27"/>
  <c r="AD13" i="27"/>
  <c r="AI13" i="27"/>
  <c r="AK13" i="27"/>
  <c r="Y27" i="27"/>
  <c r="Y13" i="27"/>
  <c r="AA27" i="27"/>
  <c r="AA13" i="27"/>
  <c r="AC13" i="27"/>
  <c r="AI12" i="27"/>
  <c r="N24" i="27"/>
  <c r="G24" i="27"/>
  <c r="N23" i="27"/>
  <c r="G23" i="27"/>
  <c r="N22" i="27"/>
  <c r="G22" i="27"/>
  <c r="N21" i="27"/>
  <c r="G21" i="27"/>
  <c r="N20" i="27"/>
  <c r="G20" i="27"/>
  <c r="N19" i="27"/>
  <c r="G19" i="27"/>
  <c r="N18" i="27"/>
  <c r="G18" i="27"/>
  <c r="Y24" i="27"/>
  <c r="X24" i="27"/>
  <c r="Y23" i="27"/>
  <c r="X23" i="27"/>
  <c r="Y22" i="27"/>
  <c r="X22" i="27"/>
  <c r="Y21" i="27"/>
  <c r="X21" i="27"/>
  <c r="Y20" i="27"/>
  <c r="X20" i="27"/>
  <c r="Y19" i="27"/>
  <c r="X19" i="27"/>
  <c r="Y18" i="27"/>
  <c r="X18" i="27"/>
  <c r="B41" i="16"/>
  <c r="C12" i="27"/>
  <c r="D41" i="16"/>
  <c r="E26" i="27" s="1"/>
  <c r="E12" i="27"/>
  <c r="F41" i="16"/>
  <c r="G12" i="27"/>
  <c r="H41" i="16"/>
  <c r="I26" i="27" s="1"/>
  <c r="I12" i="27"/>
  <c r="J41" i="16"/>
  <c r="K26" i="27" s="1"/>
  <c r="K12" i="27"/>
  <c r="L41" i="16"/>
  <c r="M26" i="27" s="1"/>
  <c r="M12" i="27"/>
  <c r="N41" i="16"/>
  <c r="O26" i="27" s="1"/>
  <c r="O12" i="27"/>
  <c r="P41" i="16"/>
  <c r="Q26" i="27" s="1"/>
  <c r="Q12" i="27"/>
  <c r="R41" i="16"/>
  <c r="S26" i="27" s="1"/>
  <c r="S12" i="27"/>
  <c r="T41" i="16"/>
  <c r="U26" i="27" s="1"/>
  <c r="U12" i="27"/>
  <c r="V41" i="16"/>
  <c r="W26" i="27" s="1"/>
  <c r="W12" i="27"/>
  <c r="X41" i="16"/>
  <c r="Y12" i="27"/>
  <c r="Z41" i="16"/>
  <c r="AA26" i="27" s="1"/>
  <c r="AA12" i="27"/>
  <c r="AB41" i="16"/>
  <c r="AC12" i="27"/>
  <c r="D12" i="27"/>
  <c r="E41" i="16"/>
  <c r="F26" i="27" s="1"/>
  <c r="F12" i="27"/>
  <c r="G41" i="16"/>
  <c r="H26" i="27" s="1"/>
  <c r="H12" i="27"/>
  <c r="I41" i="16"/>
  <c r="J26" i="27" s="1"/>
  <c r="J12" i="27"/>
  <c r="K41" i="16"/>
  <c r="L26" i="27" s="1"/>
  <c r="L12" i="27"/>
  <c r="M41" i="16"/>
  <c r="N12" i="27"/>
  <c r="O41" i="16"/>
  <c r="P12" i="27"/>
  <c r="Q41" i="16"/>
  <c r="R26" i="27" s="1"/>
  <c r="R12" i="27"/>
  <c r="S41" i="16"/>
  <c r="T26" i="27" s="1"/>
  <c r="T12" i="27"/>
  <c r="U41" i="16"/>
  <c r="V26" i="27" s="1"/>
  <c r="V12" i="27"/>
  <c r="W41" i="16"/>
  <c r="X12" i="27"/>
  <c r="Y41" i="16"/>
  <c r="Z26" i="27" s="1"/>
  <c r="Z12" i="27"/>
  <c r="AA41" i="16"/>
  <c r="AB26" i="27" s="1"/>
  <c r="AB12" i="27"/>
  <c r="AC41" i="16"/>
  <c r="AD12" i="27"/>
  <c r="B51" i="6" l="1"/>
  <c r="B52" i="6" s="1"/>
  <c r="C42" i="27" s="1"/>
  <c r="B51" i="23"/>
  <c r="B52" i="23" s="1"/>
  <c r="C40" i="27" s="1"/>
  <c r="B51" i="24"/>
  <c r="B52" i="24" s="1"/>
  <c r="C39" i="27" s="1"/>
  <c r="B51" i="17"/>
  <c r="B52" i="17" s="1"/>
  <c r="C38" i="27" s="1"/>
  <c r="B51" i="18"/>
  <c r="B52" i="18" s="1"/>
  <c r="C37" i="27" s="1"/>
  <c r="B51" i="19"/>
  <c r="B52" i="19" s="1"/>
  <c r="C36" i="27" s="1"/>
  <c r="B51" i="21"/>
  <c r="B52" i="21" s="1"/>
  <c r="C34" i="27" s="1"/>
  <c r="B51" i="22"/>
  <c r="B52" i="22" s="1"/>
  <c r="C33" i="27" s="1"/>
  <c r="E52" i="22"/>
  <c r="D33" i="27" s="1"/>
  <c r="F52" i="22"/>
  <c r="H52" i="22"/>
  <c r="E33" i="27" s="1"/>
  <c r="I52" i="22"/>
  <c r="E52" i="18"/>
  <c r="D37" i="27" s="1"/>
  <c r="F51" i="18"/>
  <c r="E52" i="19"/>
  <c r="D36" i="27" s="1"/>
  <c r="F52" i="19"/>
  <c r="H52" i="19"/>
  <c r="E36" i="27" s="1"/>
  <c r="I52" i="19"/>
  <c r="H52" i="20"/>
  <c r="E35" i="27" s="1"/>
  <c r="I51" i="20"/>
  <c r="E52" i="20"/>
  <c r="D35" i="27" s="1"/>
  <c r="F51" i="20"/>
  <c r="E52" i="21"/>
  <c r="D34" i="27" s="1"/>
  <c r="F52" i="21"/>
  <c r="H52" i="21"/>
  <c r="E34" i="27" s="1"/>
  <c r="I52" i="21"/>
  <c r="E52" i="6"/>
  <c r="D42" i="27" s="1"/>
  <c r="F52" i="6"/>
  <c r="H52" i="6"/>
  <c r="E42" i="27" s="1"/>
  <c r="I52" i="6"/>
  <c r="H52" i="23"/>
  <c r="E40" i="27" s="1"/>
  <c r="I52" i="23"/>
  <c r="E52" i="23"/>
  <c r="D40" i="27" s="1"/>
  <c r="F52" i="23"/>
  <c r="H52" i="17"/>
  <c r="E38" i="27" s="1"/>
  <c r="I49" i="17"/>
  <c r="E52" i="17"/>
  <c r="D38" i="27" s="1"/>
  <c r="F49" i="17"/>
  <c r="H52" i="24"/>
  <c r="E39" i="27" s="1"/>
  <c r="I49" i="24"/>
  <c r="E52" i="24"/>
  <c r="D39" i="27" s="1"/>
  <c r="F49" i="24"/>
  <c r="H52" i="18"/>
  <c r="E37" i="27" s="1"/>
  <c r="I51" i="18"/>
  <c r="H46" i="16"/>
  <c r="B44" i="16"/>
  <c r="B51" i="16" s="1"/>
  <c r="AK12" i="27"/>
  <c r="E45" i="16"/>
  <c r="H45" i="16"/>
  <c r="P26" i="27"/>
  <c r="X26" i="27"/>
  <c r="H44" i="16"/>
  <c r="N26" i="27"/>
  <c r="Y26" i="27"/>
  <c r="E44" i="16"/>
  <c r="G26" i="27"/>
  <c r="C27" i="27"/>
  <c r="C13" i="27"/>
  <c r="C17" i="27" s="1"/>
  <c r="C6" i="28" s="1"/>
  <c r="E27" i="27"/>
  <c r="E13" i="27"/>
  <c r="G27" i="27"/>
  <c r="G13" i="27"/>
  <c r="I27" i="27"/>
  <c r="I13" i="27"/>
  <c r="K27" i="27"/>
  <c r="K13" i="27"/>
  <c r="M27" i="27"/>
  <c r="M30" i="27" s="1"/>
  <c r="T10" i="28" s="1"/>
  <c r="M13" i="27"/>
  <c r="M17" i="27" s="1"/>
  <c r="T6" i="28" s="1"/>
  <c r="T7" i="28" s="1"/>
  <c r="T9" i="28" s="1"/>
  <c r="O27" i="27"/>
  <c r="O13" i="27"/>
  <c r="Q27" i="27"/>
  <c r="Q13" i="27"/>
  <c r="S27" i="27"/>
  <c r="S13" i="27"/>
  <c r="U27" i="27"/>
  <c r="U13" i="27"/>
  <c r="W27" i="27"/>
  <c r="W13" i="27"/>
  <c r="AC27" i="27"/>
  <c r="AD27" i="27"/>
  <c r="D27" i="27"/>
  <c r="D13" i="27"/>
  <c r="F27" i="27"/>
  <c r="F13" i="27"/>
  <c r="H27" i="27"/>
  <c r="H13" i="27"/>
  <c r="J27" i="27"/>
  <c r="J13" i="27"/>
  <c r="L27" i="27"/>
  <c r="L13" i="27"/>
  <c r="N27" i="27"/>
  <c r="N13" i="27"/>
  <c r="P27" i="27"/>
  <c r="P13" i="27"/>
  <c r="R27" i="27"/>
  <c r="R13" i="27"/>
  <c r="T27" i="27"/>
  <c r="T13" i="27"/>
  <c r="V27" i="27"/>
  <c r="V13" i="27"/>
  <c r="X27" i="27"/>
  <c r="X13" i="27"/>
  <c r="AD26" i="27"/>
  <c r="AC26" i="27"/>
  <c r="C26" i="27"/>
  <c r="E51" i="16" l="1"/>
  <c r="E52" i="16" s="1"/>
  <c r="D41" i="27" s="1"/>
  <c r="I51" i="16"/>
  <c r="H51" i="16"/>
  <c r="H52" i="16" s="1"/>
  <c r="F51" i="16"/>
  <c r="B52" i="16"/>
  <c r="C41" i="27" s="1"/>
  <c r="C49" i="16"/>
  <c r="C30" i="27"/>
  <c r="C10" i="28" s="1"/>
  <c r="C7" i="28"/>
  <c r="C9" i="28" s="1"/>
  <c r="AB39" i="26" l="1"/>
  <c r="AA39" i="26"/>
  <c r="K39" i="26"/>
  <c r="G39" i="26"/>
  <c r="J39" i="26" l="1"/>
  <c r="D39" i="26"/>
  <c r="AF40" i="26"/>
  <c r="AA41" i="26"/>
  <c r="AB29" i="27" s="1"/>
  <c r="AB30" i="27" s="1"/>
  <c r="AB15" i="27"/>
  <c r="AB17" i="27" s="1"/>
  <c r="N39" i="26"/>
  <c r="M39" i="26"/>
  <c r="C39" i="26"/>
  <c r="F39" i="26"/>
  <c r="K41" i="26"/>
  <c r="L29" i="27" s="1"/>
  <c r="L30" i="27" s="1"/>
  <c r="S10" i="28" s="1"/>
  <c r="L15" i="27"/>
  <c r="L17" i="27" s="1"/>
  <c r="S6" i="28" s="1"/>
  <c r="H39" i="26"/>
  <c r="AB41" i="26"/>
  <c r="AC29" i="27" s="1"/>
  <c r="AC30" i="27" s="1"/>
  <c r="AD10" i="28" s="1"/>
  <c r="AC15" i="27"/>
  <c r="AC17" i="27" s="1"/>
  <c r="T47" i="26"/>
  <c r="U47" i="26" s="1"/>
  <c r="G41" i="26"/>
  <c r="H29" i="27" s="1"/>
  <c r="H30" i="27" s="1"/>
  <c r="H10" i="28" s="1"/>
  <c r="H15" i="27"/>
  <c r="H17" i="27" s="1"/>
  <c r="H6" i="28" s="1"/>
  <c r="E39" i="26"/>
  <c r="I39" i="26"/>
  <c r="AC39" i="26"/>
  <c r="AK39" i="26" l="1"/>
  <c r="AK41" i="26" s="1"/>
  <c r="T49" i="26"/>
  <c r="U49" i="26" s="1"/>
  <c r="E41" i="26"/>
  <c r="F29" i="27" s="1"/>
  <c r="F30" i="27" s="1"/>
  <c r="F10" i="28" s="1"/>
  <c r="F15" i="27"/>
  <c r="F17" i="27" s="1"/>
  <c r="F6" i="28" s="1"/>
  <c r="S7" i="28"/>
  <c r="E15" i="27"/>
  <c r="E17" i="27" s="1"/>
  <c r="E6" i="28" s="1"/>
  <c r="D41" i="26"/>
  <c r="E29" i="27" s="1"/>
  <c r="E30" i="27" s="1"/>
  <c r="E10" i="28" s="1"/>
  <c r="T46" i="26"/>
  <c r="U46" i="26" s="1"/>
  <c r="N15" i="27"/>
  <c r="N17" i="27" s="1"/>
  <c r="U6" i="28" s="1"/>
  <c r="M41" i="26"/>
  <c r="N29" i="27" s="1"/>
  <c r="N30" i="27" s="1"/>
  <c r="U10" i="28" s="1"/>
  <c r="AH40" i="26"/>
  <c r="AL39" i="26"/>
  <c r="AL41" i="26" s="1"/>
  <c r="H7" i="28"/>
  <c r="T53" i="26"/>
  <c r="U53" i="26" s="1"/>
  <c r="H41" i="26"/>
  <c r="I29" i="27" s="1"/>
  <c r="I30" i="27" s="1"/>
  <c r="I10" i="28" s="1"/>
  <c r="I15" i="27"/>
  <c r="I17" i="27" s="1"/>
  <c r="I6" i="28" s="1"/>
  <c r="J41" i="26"/>
  <c r="K29" i="27" s="1"/>
  <c r="K30" i="27" s="1"/>
  <c r="R10" i="28" s="1"/>
  <c r="K15" i="27"/>
  <c r="K17" i="27" s="1"/>
  <c r="R6" i="28" s="1"/>
  <c r="T54" i="26"/>
  <c r="U54" i="26" s="1"/>
  <c r="I41" i="26"/>
  <c r="J15" i="27"/>
  <c r="J17" i="27" s="1"/>
  <c r="Q6" i="28" s="1"/>
  <c r="AD15" i="27"/>
  <c r="AD17" i="27" s="1"/>
  <c r="AC41" i="26"/>
  <c r="AD29" i="27" s="1"/>
  <c r="AD30" i="27" s="1"/>
  <c r="AE10" i="28" s="1"/>
  <c r="G15" i="27"/>
  <c r="G17" i="27" s="1"/>
  <c r="G6" i="28" s="1"/>
  <c r="F41" i="26"/>
  <c r="G29" i="27" s="1"/>
  <c r="G30" i="27" s="1"/>
  <c r="G10" i="28" s="1"/>
  <c r="D15" i="27"/>
  <c r="D17" i="27" s="1"/>
  <c r="D6" i="28" s="1"/>
  <c r="C41" i="26"/>
  <c r="N41" i="26"/>
  <c r="O29" i="27" s="1"/>
  <c r="O30" i="27" s="1"/>
  <c r="V10" i="28" s="1"/>
  <c r="O15" i="27"/>
  <c r="O17" i="27" s="1"/>
  <c r="V6" i="28" s="1"/>
  <c r="B49" i="26"/>
  <c r="AH15" i="27"/>
  <c r="AH17" i="27" s="1"/>
  <c r="AF6" i="28" l="1"/>
  <c r="D29" i="27"/>
  <c r="D30" i="27" s="1"/>
  <c r="D10" i="28" s="1"/>
  <c r="G7" i="28"/>
  <c r="J29" i="27"/>
  <c r="J30" i="27" s="1"/>
  <c r="Q10" i="28" s="1"/>
  <c r="AG40" i="26"/>
  <c r="AI40" i="26" s="1"/>
  <c r="D7" i="28"/>
  <c r="H9" i="28"/>
  <c r="W39" i="26"/>
  <c r="X39" i="26"/>
  <c r="V39" i="26"/>
  <c r="Q39" i="26"/>
  <c r="P39" i="26"/>
  <c r="Z39" i="26"/>
  <c r="T39" i="26"/>
  <c r="R39" i="26"/>
  <c r="O39" i="26"/>
  <c r="Y39" i="26"/>
  <c r="U39" i="26"/>
  <c r="S39" i="26"/>
  <c r="E7" i="28"/>
  <c r="V7" i="28"/>
  <c r="R7" i="28"/>
  <c r="I7" i="28"/>
  <c r="U7" i="28"/>
  <c r="S9" i="28"/>
  <c r="Q7" i="28"/>
  <c r="E49" i="26"/>
  <c r="AJ15" i="27"/>
  <c r="AJ17" i="27" s="1"/>
  <c r="F7" i="28"/>
  <c r="I9" i="28" l="1"/>
  <c r="V9" i="28"/>
  <c r="T51" i="26"/>
  <c r="U51" i="26" s="1"/>
  <c r="U41" i="26"/>
  <c r="V29" i="27" s="1"/>
  <c r="V30" i="27" s="1"/>
  <c r="Z10" i="28" s="1"/>
  <c r="V15" i="27"/>
  <c r="V17" i="27" s="1"/>
  <c r="Z6" i="28" s="1"/>
  <c r="T41" i="26"/>
  <c r="U29" i="27" s="1"/>
  <c r="U30" i="27" s="1"/>
  <c r="L16" i="28" s="1"/>
  <c r="U15" i="27"/>
  <c r="U17" i="27" s="1"/>
  <c r="L6" i="28" s="1"/>
  <c r="V41" i="26"/>
  <c r="W29" i="27" s="1"/>
  <c r="W30" i="27" s="1"/>
  <c r="M10" i="28" s="1"/>
  <c r="W15" i="27"/>
  <c r="W17" i="27" s="1"/>
  <c r="M6" i="28" s="1"/>
  <c r="Y41" i="26"/>
  <c r="Z29" i="27" s="1"/>
  <c r="Z30" i="27" s="1"/>
  <c r="AB10" i="28" s="1"/>
  <c r="Z15" i="27"/>
  <c r="Z17" i="27" s="1"/>
  <c r="AB6" i="28" s="1"/>
  <c r="T55" i="26"/>
  <c r="U55" i="26" s="1"/>
  <c r="Z41" i="26"/>
  <c r="AA29" i="27" s="1"/>
  <c r="AA30" i="27" s="1"/>
  <c r="O10" i="28" s="1"/>
  <c r="AA15" i="27"/>
  <c r="AA17" i="27" s="1"/>
  <c r="O6" i="28" s="1"/>
  <c r="Y15" i="27"/>
  <c r="Y17" i="27" s="1"/>
  <c r="N6" i="28" s="1"/>
  <c r="X41" i="26"/>
  <c r="Y29" i="27" s="1"/>
  <c r="Y30" i="27" s="1"/>
  <c r="N10" i="28" s="1"/>
  <c r="D9" i="28"/>
  <c r="F9" i="28"/>
  <c r="Q9" i="28"/>
  <c r="U9" i="28"/>
  <c r="R9" i="28"/>
  <c r="E9" i="28"/>
  <c r="O41" i="26"/>
  <c r="P15" i="27"/>
  <c r="P17" i="27" s="1"/>
  <c r="W6" i="28" s="1"/>
  <c r="P41" i="26"/>
  <c r="Q15" i="27"/>
  <c r="Q17" i="27" s="1"/>
  <c r="J6" i="28" s="1"/>
  <c r="T45" i="26"/>
  <c r="U45" i="26" s="1"/>
  <c r="X15" i="27"/>
  <c r="X17" i="27" s="1"/>
  <c r="AA6" i="28" s="1"/>
  <c r="W41" i="26"/>
  <c r="X29" i="27" s="1"/>
  <c r="X30" i="27" s="1"/>
  <c r="AA10" i="28" s="1"/>
  <c r="H49" i="26"/>
  <c r="AI15" i="27"/>
  <c r="AI17" i="27" s="1"/>
  <c r="AH6" i="28"/>
  <c r="F8" i="28" s="1"/>
  <c r="F15" i="28" s="1"/>
  <c r="T15" i="27"/>
  <c r="T17" i="27" s="1"/>
  <c r="Y6" i="28" s="1"/>
  <c r="S41" i="26"/>
  <c r="T29" i="27" s="1"/>
  <c r="T30" i="27" s="1"/>
  <c r="Y16" i="28" s="1"/>
  <c r="T52" i="26"/>
  <c r="U52" i="26" s="1"/>
  <c r="R41" i="26"/>
  <c r="S29" i="27" s="1"/>
  <c r="S30" i="27" s="1"/>
  <c r="K16" i="28" s="1"/>
  <c r="S15" i="27"/>
  <c r="S17" i="27" s="1"/>
  <c r="K6" i="28" s="1"/>
  <c r="Q41" i="26"/>
  <c r="R29" i="27" s="1"/>
  <c r="R30" i="27" s="1"/>
  <c r="X10" i="28" s="1"/>
  <c r="R15" i="27"/>
  <c r="R17" i="27" s="1"/>
  <c r="X6" i="28" s="1"/>
  <c r="G9" i="28"/>
  <c r="E8" i="28" l="1"/>
  <c r="E15" i="28" s="1"/>
  <c r="E16" i="28" s="1"/>
  <c r="G8" i="28"/>
  <c r="G15" i="28" s="1"/>
  <c r="G16" i="28" s="1"/>
  <c r="D8" i="28"/>
  <c r="D15" i="28" s="1"/>
  <c r="D16" i="28" s="1"/>
  <c r="K14" i="28"/>
  <c r="K7" i="28"/>
  <c r="Y7" i="28"/>
  <c r="C14" i="28"/>
  <c r="C8" i="28"/>
  <c r="C15" i="28" s="1"/>
  <c r="H14" i="28"/>
  <c r="H8" i="28"/>
  <c r="H15" i="28" s="1"/>
  <c r="I14" i="28"/>
  <c r="G14" i="28"/>
  <c r="D14" i="28"/>
  <c r="E14" i="28"/>
  <c r="F14" i="28"/>
  <c r="Q29" i="27"/>
  <c r="Q30" i="27" s="1"/>
  <c r="J10" i="28" s="1"/>
  <c r="E44" i="26"/>
  <c r="AK17" i="27"/>
  <c r="AI6" i="28" s="1"/>
  <c r="AG6" i="28"/>
  <c r="W14" i="28" s="1"/>
  <c r="AA7" i="28"/>
  <c r="W7" i="28"/>
  <c r="M7" i="28"/>
  <c r="M14" i="28"/>
  <c r="Z7" i="28"/>
  <c r="X7" i="28"/>
  <c r="P29" i="27"/>
  <c r="P30" i="27" s="1"/>
  <c r="W10" i="28" s="1"/>
  <c r="H44" i="26"/>
  <c r="B44" i="26"/>
  <c r="N7" i="28"/>
  <c r="N14" i="28"/>
  <c r="AB7" i="28"/>
  <c r="I8" i="28"/>
  <c r="I15" i="28" s="1"/>
  <c r="H46" i="26"/>
  <c r="E52" i="27" s="1"/>
  <c r="E46" i="26"/>
  <c r="D52" i="27" s="1"/>
  <c r="AK15" i="27"/>
  <c r="J14" i="28"/>
  <c r="J7" i="28"/>
  <c r="F16" i="28"/>
  <c r="O7" i="28"/>
  <c r="O14" i="28"/>
  <c r="L7" i="28"/>
  <c r="L14" i="28"/>
  <c r="X14" i="28" l="1"/>
  <c r="AA14" i="28"/>
  <c r="AB14" i="28"/>
  <c r="Z14" i="28"/>
  <c r="W9" i="28"/>
  <c r="W8" i="28"/>
  <c r="W15" i="28" s="1"/>
  <c r="O9" i="28"/>
  <c r="O8" i="28"/>
  <c r="O15" i="28" s="1"/>
  <c r="C29" i="28"/>
  <c r="G29" i="28" s="1"/>
  <c r="J29" i="28" s="1"/>
  <c r="M29" i="28" s="1"/>
  <c r="O29" i="28" s="1"/>
  <c r="I16" i="28"/>
  <c r="E29" i="28" s="1"/>
  <c r="N9" i="28"/>
  <c r="N8" i="28"/>
  <c r="N15" i="28" s="1"/>
  <c r="H18" i="28"/>
  <c r="X18" i="28" s="1"/>
  <c r="AE18" i="28" s="1"/>
  <c r="AE14" i="28"/>
  <c r="AE15" i="28" s="1"/>
  <c r="AE16" i="28" s="1"/>
  <c r="T8" i="28"/>
  <c r="T15" i="28" s="1"/>
  <c r="R11" i="28"/>
  <c r="AD14" i="28"/>
  <c r="T14" i="28"/>
  <c r="AD8" i="28"/>
  <c r="AD15" i="28" s="1"/>
  <c r="AD16" i="28" s="1"/>
  <c r="S14" i="28"/>
  <c r="V14" i="28"/>
  <c r="S8" i="28"/>
  <c r="S15" i="28" s="1"/>
  <c r="R14" i="28"/>
  <c r="U14" i="28"/>
  <c r="Q14" i="28"/>
  <c r="U8" i="28"/>
  <c r="U15" i="28" s="1"/>
  <c r="Q8" i="28"/>
  <c r="Q15" i="28" s="1"/>
  <c r="Q16" i="28" s="1"/>
  <c r="R8" i="28"/>
  <c r="R15" i="28" s="1"/>
  <c r="R16" i="28" s="1"/>
  <c r="E28" i="28" s="1"/>
  <c r="V8" i="28"/>
  <c r="V15" i="28" s="1"/>
  <c r="V16" i="28" s="1"/>
  <c r="H16" i="28"/>
  <c r="E24" i="28" s="1"/>
  <c r="C24" i="28"/>
  <c r="G24" i="28" s="1"/>
  <c r="J24" i="28" s="1"/>
  <c r="M24" i="28" s="1"/>
  <c r="O24" i="28" s="1"/>
  <c r="Y14" i="28"/>
  <c r="X9" i="28"/>
  <c r="X8" i="28"/>
  <c r="X15" i="28" s="1"/>
  <c r="M9" i="28"/>
  <c r="M8" i="28"/>
  <c r="M15" i="28" s="1"/>
  <c r="AA9" i="28"/>
  <c r="AA8" i="28"/>
  <c r="AA15" i="28" s="1"/>
  <c r="AA16" i="28" s="1"/>
  <c r="Y9" i="28"/>
  <c r="Y8" i="28"/>
  <c r="Y15" i="28" s="1"/>
  <c r="L9" i="28"/>
  <c r="L8" i="28"/>
  <c r="L15" i="28" s="1"/>
  <c r="AB9" i="28"/>
  <c r="AB8" i="28"/>
  <c r="AB15" i="28" s="1"/>
  <c r="AB16" i="28" s="1"/>
  <c r="AC6" i="28"/>
  <c r="AC10" i="28"/>
  <c r="J11" i="28" s="1"/>
  <c r="P6" i="28"/>
  <c r="P10" i="28"/>
  <c r="F11" i="28" s="1"/>
  <c r="C16" i="28"/>
  <c r="K8" i="28"/>
  <c r="K15" i="28" s="1"/>
  <c r="K9" i="28"/>
  <c r="J9" i="28"/>
  <c r="J8" i="28"/>
  <c r="J15" i="28" s="1"/>
  <c r="Z9" i="28"/>
  <c r="Z8" i="28"/>
  <c r="Z15" i="28" s="1"/>
  <c r="Z16" i="28" s="1"/>
  <c r="C30" i="28" l="1"/>
  <c r="G30" i="28" s="1"/>
  <c r="J30" i="28" s="1"/>
  <c r="M30" i="28" s="1"/>
  <c r="O30" i="28" s="1"/>
  <c r="E30" i="28"/>
  <c r="P7" i="28"/>
  <c r="P14" i="28"/>
  <c r="N16" i="28"/>
  <c r="E22" i="28" s="1"/>
  <c r="C22" i="28"/>
  <c r="G22" i="28" s="1"/>
  <c r="J22" i="28" s="1"/>
  <c r="M22" i="28" s="1"/>
  <c r="O22" i="28" s="1"/>
  <c r="O16" i="28"/>
  <c r="E31" i="28" s="1"/>
  <c r="C31" i="28"/>
  <c r="G31" i="28" s="1"/>
  <c r="J31" i="28" s="1"/>
  <c r="M31" i="28" s="1"/>
  <c r="O31" i="28" s="1"/>
  <c r="M11" i="28"/>
  <c r="C28" i="28"/>
  <c r="G28" i="28" s="1"/>
  <c r="J28" i="28" s="1"/>
  <c r="M28" i="28" s="1"/>
  <c r="O28" i="28" s="1"/>
  <c r="M16" i="28"/>
  <c r="E27" i="28" s="1"/>
  <c r="C27" i="28"/>
  <c r="G27" i="28" s="1"/>
  <c r="J27" i="28" s="1"/>
  <c r="M27" i="28" s="1"/>
  <c r="O27" i="28" s="1"/>
  <c r="T16" i="28"/>
  <c r="E25" i="28" s="1"/>
  <c r="C25" i="28"/>
  <c r="G25" i="28" s="1"/>
  <c r="J25" i="28" s="1"/>
  <c r="AC7" i="28"/>
  <c r="AC14" i="28"/>
  <c r="U16" i="28"/>
  <c r="E23" i="28" s="1"/>
  <c r="C23" i="28"/>
  <c r="G23" i="28" s="1"/>
  <c r="J23" i="28" s="1"/>
  <c r="M23" i="28" s="1"/>
  <c r="O23" i="28" s="1"/>
  <c r="S16" i="28"/>
  <c r="E26" i="28" s="1"/>
  <c r="C26" i="28"/>
  <c r="G26" i="28" s="1"/>
  <c r="J26" i="28" s="1"/>
  <c r="M26" i="28" s="1"/>
  <c r="O26" i="28" s="1"/>
  <c r="M25" i="28" l="1"/>
  <c r="O25" i="28"/>
  <c r="P9" i="28"/>
  <c r="P8" i="28"/>
  <c r="P15" i="28" s="1"/>
  <c r="M17" i="28"/>
  <c r="J17" i="28"/>
  <c r="F17" i="28"/>
  <c r="AC9" i="28"/>
  <c r="AC8" i="28"/>
  <c r="AC15" i="28" s="1"/>
  <c r="AR39" i="26" l="1"/>
  <c r="AR41" i="26" s="1"/>
  <c r="AQ39" i="26" l="1"/>
  <c r="AQ41" i="26" s="1"/>
  <c r="AN39" i="26" l="1"/>
  <c r="AN41" i="26" s="1"/>
  <c r="AO39" i="26"/>
  <c r="AO41" i="26" s="1"/>
  <c r="AJ39" i="26"/>
  <c r="AJ41" i="26" l="1"/>
  <c r="AM39" i="26" l="1"/>
  <c r="AM41" i="26" l="1"/>
  <c r="AP39" i="26" l="1"/>
  <c r="AS39" i="26"/>
  <c r="AS41" i="26" s="1"/>
  <c r="AP41" i="26" l="1"/>
  <c r="C55" i="27" l="1"/>
  <c r="E45" i="26"/>
  <c r="B45" i="26"/>
  <c r="C53" i="27" s="1"/>
  <c r="H45" i="26"/>
  <c r="E53" i="27" s="1"/>
  <c r="D53" i="27" l="1"/>
  <c r="D54" i="27"/>
  <c r="C50" i="27"/>
  <c r="B51" i="26"/>
  <c r="B52" i="26" s="1"/>
  <c r="C44" i="27" s="1"/>
  <c r="C45" i="27" s="1"/>
  <c r="E50" i="27"/>
  <c r="H51" i="26"/>
  <c r="H52" i="26" s="1"/>
  <c r="E44" i="27" s="1"/>
  <c r="E45" i="27" s="1"/>
  <c r="D50" i="27"/>
  <c r="E51" i="26"/>
  <c r="E52" i="26" s="1"/>
  <c r="D44" i="27" s="1"/>
  <c r="D45" i="27" s="1"/>
  <c r="D56" i="27" l="1"/>
  <c r="D57" i="27" s="1"/>
  <c r="C56" i="27"/>
  <c r="C57" i="27" s="1"/>
  <c r="E56" i="27"/>
  <c r="E57" i="27" s="1"/>
  <c r="D55" i="27"/>
  <c r="E54" i="27"/>
  <c r="E55" i="27" s="1"/>
</calcChain>
</file>

<file path=xl/comments1.xml><?xml version="1.0" encoding="utf-8"?>
<comments xmlns="http://schemas.openxmlformats.org/spreadsheetml/2006/main">
  <authors>
    <author>Peter Bong</author>
  </authors>
  <commentList>
    <comment ref="B5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Account Series 6,000 with  electric and gas bills subtracted</t>
        </r>
      </text>
    </comment>
  </commentList>
</comments>
</file>

<file path=xl/comments10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1.xml><?xml version="1.0" encoding="utf-8"?>
<comments xmlns="http://schemas.openxmlformats.org/spreadsheetml/2006/main">
  <authors>
    <author>jamoore</author>
    <author>Peter Bong</author>
  </authors>
  <commentLis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2.xml><?xml version="1.0" encoding="utf-8"?>
<comments xmlns="http://schemas.openxmlformats.org/spreadsheetml/2006/main">
  <authors>
    <author>jamoore</author>
    <author>Peter Bong</author>
  </authors>
  <commentLis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3.xml><?xml version="1.0" encoding="utf-8"?>
<comments xmlns="http://schemas.openxmlformats.org/spreadsheetml/2006/main">
  <authors>
    <author>jamoore</author>
    <author>Peter Bong</author>
  </authors>
  <commentLis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4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2.xml><?xml version="1.0" encoding="utf-8"?>
<comments xmlns="http://schemas.openxmlformats.org/spreadsheetml/2006/main">
  <authors>
    <author>jamoore</author>
    <author>Conte, Chris</author>
  </authors>
  <commentList>
    <comment ref="AD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AD14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U2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Enter quarterly pricing chnages into this section.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Based on the latest quarter pricing available.</t>
        </r>
      </text>
    </comment>
    <comment ref="L22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27,000lb Load</t>
        </r>
      </text>
    </comment>
    <comment ref="V22" authorId="1" shapeId="0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Pricing changed to Liquid Lb in 2016 from Liquid Gal.</t>
        </r>
      </text>
    </comment>
    <comment ref="L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400 gallon transfer from tote.</t>
        </r>
      </text>
    </comment>
    <comment ref="AA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0.50% strength. Neat liquid cost is $12.138 per gallon or $1.40 per pound.</t>
        </r>
      </text>
    </comment>
    <comment ref="AB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C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D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L24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40,000lb Load</t>
        </r>
      </text>
    </comment>
    <comment ref="L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AA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B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C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D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L2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7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8 Ton Load</t>
        </r>
      </text>
    </comment>
    <comment ref="L28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3300lb Bin</t>
        </r>
      </text>
    </comment>
    <comment ref="AA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B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C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D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L31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</commentList>
</comments>
</file>

<file path=xl/comments3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4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5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6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7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8.xml><?xml version="1.0" encoding="utf-8"?>
<comments xmlns="http://schemas.openxmlformats.org/spreadsheetml/2006/main">
  <authors>
    <author>Peter Bong</author>
    <author>Linder, Kevin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  <comment ref="AN42" authorId="1" shapeId="0">
      <text>
        <r>
          <rPr>
            <b/>
            <sz val="9"/>
            <color indexed="81"/>
            <rFont val="Tahoma"/>
            <family val="2"/>
          </rPr>
          <t>Linder, Kevin: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9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sharedStrings.xml><?xml version="1.0" encoding="utf-8"?>
<sst xmlns="http://schemas.openxmlformats.org/spreadsheetml/2006/main" count="2341" uniqueCount="248">
  <si>
    <t>Current Application Point</t>
  </si>
  <si>
    <t>Notes: Chemical are arranged in general process flow</t>
  </si>
  <si>
    <t>Not in Use</t>
  </si>
  <si>
    <t>South Platte</t>
  </si>
  <si>
    <t>Aurora Reservoir</t>
  </si>
  <si>
    <t>Filters/Adsorbers</t>
  </si>
  <si>
    <t xml:space="preserve">Finished Water </t>
  </si>
  <si>
    <t>From Chlorinator 5</t>
  </si>
  <si>
    <t>Valve Vault 1 (To Wemlinger RWAR)</t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</si>
  <si>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</si>
  <si>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(Rapid Mix &amp; Flow Split)</t>
    </r>
  </si>
  <si>
    <t>NaOH (Rapid Mix)</t>
  </si>
  <si>
    <t>PEC/PEA (Reactors)</t>
  </si>
  <si>
    <t>PEA (Sludge)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</si>
  <si>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(Post Softening)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</si>
  <si>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(UV)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</si>
  <si>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(Rapid Mix)</t>
    </r>
  </si>
  <si>
    <t>PEC (Rapid Mix)</t>
  </si>
  <si>
    <t xml:space="preserve">PAC (Basin 1 &amp; 2) </t>
  </si>
  <si>
    <t>PEA (Basin 1 &amp; 2)</t>
  </si>
  <si>
    <t>Fluoride(CCB Effluent)</t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</si>
  <si>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RWAR, RWSP, ARFIC, or SPFIC</t>
    </r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</si>
  <si>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(RWAR to Wemlinger)</t>
    </r>
  </si>
  <si>
    <t>Gallons per Day</t>
  </si>
  <si>
    <t>lbs per day</t>
  </si>
  <si>
    <t>Lbs per day</t>
  </si>
  <si>
    <t>Cost Per Month</t>
  </si>
  <si>
    <t>Finished Water Flow</t>
  </si>
  <si>
    <t>MGD</t>
  </si>
  <si>
    <t>Total MG</t>
  </si>
  <si>
    <t>Total Produced From Binney</t>
  </si>
  <si>
    <t>AR Net to Distribution</t>
  </si>
  <si>
    <t>SP Net to Distribution</t>
  </si>
  <si>
    <t>AR to Total Flow Blend</t>
  </si>
  <si>
    <t>Ratio</t>
  </si>
  <si>
    <t>PEN AR (FIC)</t>
  </si>
  <si>
    <t>PEN SP (FIC)</t>
  </si>
  <si>
    <t>PEN AR (Individual Filters)</t>
  </si>
  <si>
    <t>PEN SP (Individual Filters)</t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</si>
  <si>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</si>
  <si>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</si>
  <si>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AR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</si>
  <si>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SP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</si>
  <si>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</si>
  <si>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</si>
  <si>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t>NaOH AR (CCB Effluent)</t>
  </si>
  <si>
    <t>NaOH SP (CCB Effluent)</t>
  </si>
  <si>
    <t>South Platte Costs</t>
  </si>
  <si>
    <t>Aurora Reservoir Costs</t>
  </si>
  <si>
    <t xml:space="preserve">Total Binney WPF Costs </t>
  </si>
  <si>
    <t>Labor Costs</t>
  </si>
  <si>
    <t>Notes: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</si>
  <si>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</si>
  <si>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</si>
  <si>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</si>
  <si>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</si>
  <si>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</si>
  <si>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</si>
  <si>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</si>
  <si>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</si>
  <si>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</si>
  <si>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</si>
  <si>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</si>
  <si>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</si>
  <si>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</si>
  <si>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Flow Total</t>
  </si>
  <si>
    <t>South Platte Chemicals</t>
  </si>
  <si>
    <t>KMnO4 (RW)</t>
  </si>
  <si>
    <t>FeCl3 (RM &amp; Flow Split)</t>
  </si>
  <si>
    <t>CO2 (Post Softening)</t>
  </si>
  <si>
    <t>H202 (UV)</t>
  </si>
  <si>
    <t>Aurora Reservoir Chemicals</t>
  </si>
  <si>
    <t>FeCl3 (Rapid Mix)</t>
  </si>
  <si>
    <t>Filter Adsorber Chemicals</t>
  </si>
  <si>
    <t>PEN AR (Ind Filters)</t>
  </si>
  <si>
    <t>PEN SP (Ind Filters)</t>
  </si>
  <si>
    <t>FeCl3 AR Filter Backwash</t>
  </si>
  <si>
    <t>FeCl3 SP Filter Backwash</t>
  </si>
  <si>
    <t>Cl2 AR</t>
  </si>
  <si>
    <t>Cl2 SP</t>
  </si>
  <si>
    <t>NH3 AR (CCB Effluent)</t>
  </si>
  <si>
    <t>NH3 SP (CCB Effluent)</t>
  </si>
  <si>
    <t>Finished Water Chemicals</t>
  </si>
  <si>
    <t>Miscellaneous Chems</t>
  </si>
  <si>
    <t>Wemlinger AR (VV1)</t>
  </si>
  <si>
    <t>Finished Flows (MG) &amp; Ratios</t>
  </si>
  <si>
    <t>Monthly Flow Totals</t>
  </si>
  <si>
    <t>Monthly Costs $</t>
  </si>
  <si>
    <t>Total Cost</t>
  </si>
  <si>
    <t>BWPF Yearly Summary Chem Flow Total Report</t>
  </si>
  <si>
    <t>BWPF YTD Chemical Usage &amp; Cost</t>
  </si>
  <si>
    <t xml:space="preserve">SP Pre-Treatment  </t>
  </si>
  <si>
    <t>SP Filter/Adsorber</t>
  </si>
  <si>
    <t xml:space="preserve">SP Finished Water </t>
  </si>
  <si>
    <t>AR Pre-Treatment</t>
  </si>
  <si>
    <t>AR Filter/Adsorber</t>
  </si>
  <si>
    <t xml:space="preserve">AR Finished Water </t>
  </si>
  <si>
    <t>Fluoride SP (CCB Effluent)</t>
  </si>
  <si>
    <t>Fluoride AR (CCB Effluent)</t>
  </si>
  <si>
    <t>Total Metered Units</t>
  </si>
  <si>
    <t>Gallons</t>
  </si>
  <si>
    <t>Pounds</t>
  </si>
  <si>
    <t>MG</t>
  </si>
  <si>
    <t>Total Dry Tons</t>
  </si>
  <si>
    <t>Dry Tons per MG Delivered</t>
  </si>
  <si>
    <t>Dry Tons per MG Treated</t>
  </si>
  <si>
    <t>Total Cost YTD</t>
  </si>
  <si>
    <t>AR Rcycl</t>
  </si>
  <si>
    <t>SP Rcycl</t>
  </si>
  <si>
    <t>BWPF Projected Chemical Usage &amp; Cost</t>
  </si>
  <si>
    <t>Gross AR to Binney</t>
  </si>
  <si>
    <t>Net AR to Binney</t>
  </si>
  <si>
    <t>Gross SP to Binney</t>
  </si>
  <si>
    <t>Net SP to Binney</t>
  </si>
  <si>
    <t>Projected Total Metered Units</t>
  </si>
  <si>
    <t>Projected Total Dry Tons</t>
  </si>
  <si>
    <t>Projected Total Cost</t>
  </si>
  <si>
    <t>South Platte Total</t>
  </si>
  <si>
    <t>Aurora Reservoir Total</t>
  </si>
  <si>
    <t>Total Delivered</t>
  </si>
  <si>
    <t>Delivered Efficiency</t>
  </si>
  <si>
    <t xml:space="preserve"> Projected Total Delivered (MG):</t>
  </si>
  <si>
    <t>Projected Total Treated (MG):</t>
  </si>
  <si>
    <t>Projected Average AR %:</t>
  </si>
  <si>
    <t>Projected Average AR Ratio:</t>
  </si>
  <si>
    <t>Projected AR Del (MG):</t>
  </si>
  <si>
    <t>Projected AR Trt (MG):</t>
  </si>
  <si>
    <t>Projected SP Del (MG):</t>
  </si>
  <si>
    <t>Projected SP Trt (MG):</t>
  </si>
  <si>
    <t>Total Projected by Chemical</t>
  </si>
  <si>
    <t>Transportation Units</t>
  </si>
  <si>
    <t>Pricing</t>
  </si>
  <si>
    <t>Quarterly Vendor Unit Pricing</t>
  </si>
  <si>
    <t>Quarterly Metered Unit Pricing</t>
  </si>
  <si>
    <t>Quarterly Dry Ton Pricing</t>
  </si>
  <si>
    <t>Chemical</t>
  </si>
  <si>
    <t>Whole Unit Cost</t>
  </si>
  <si>
    <t>Unit</t>
  </si>
  <si>
    <t>Jan</t>
  </si>
  <si>
    <t>Apr</t>
  </si>
  <si>
    <t xml:space="preserve">Oct </t>
  </si>
  <si>
    <t>Ammonia</t>
  </si>
  <si>
    <t>Liquid Gal</t>
  </si>
  <si>
    <t>Truck Ld</t>
  </si>
  <si>
    <t>Dry Ton</t>
  </si>
  <si>
    <t>Anionic Polymer</t>
  </si>
  <si>
    <t>Liquid Lb</t>
  </si>
  <si>
    <t>Tote</t>
  </si>
  <si>
    <t>Carbon Dioxide</t>
  </si>
  <si>
    <t>Liquid Ton</t>
  </si>
  <si>
    <t>Carbon PAC</t>
  </si>
  <si>
    <t>Dry Lb</t>
  </si>
  <si>
    <t>Cationic Polymer</t>
  </si>
  <si>
    <t>Chlorine</t>
  </si>
  <si>
    <t>Ferric Chloride</t>
  </si>
  <si>
    <t>Hydrogen Peroxide</t>
  </si>
  <si>
    <t>Potassium Permanganate</t>
  </si>
  <si>
    <t>Bin</t>
  </si>
  <si>
    <t>Sodium Hydroxide</t>
  </si>
  <si>
    <t>Overall Ratio</t>
  </si>
  <si>
    <t>2011 YTD Treated Raw Water Flows (MG)</t>
  </si>
  <si>
    <t>2011 YTD Finished Delivered Flows (MG) &amp; Ratios</t>
  </si>
  <si>
    <t>Metered Unit</t>
  </si>
  <si>
    <t>Total By Dry Ton</t>
  </si>
  <si>
    <t>Total Dry Ton Cost</t>
  </si>
  <si>
    <t>Total By Vendor Priced Unit</t>
  </si>
  <si>
    <t>Partial Trucked Units</t>
  </si>
  <si>
    <t>Whole Trucked Units</t>
  </si>
  <si>
    <t>Monthly Truck Loads</t>
  </si>
  <si>
    <t>Gallon/Lbs</t>
  </si>
  <si>
    <t>Loads</t>
  </si>
  <si>
    <t>pass</t>
  </si>
  <si>
    <t>kWxhrs per Day</t>
  </si>
  <si>
    <t>Monthly Chemical/Power Usage</t>
  </si>
  <si>
    <t>Cost per Gallon or lb or kW*Hr</t>
  </si>
  <si>
    <t>Blended&amp;RW</t>
  </si>
  <si>
    <t>Softening</t>
  </si>
  <si>
    <t>Pre-Chem</t>
  </si>
  <si>
    <t>Floc/Sed</t>
  </si>
  <si>
    <t>UV/AOP</t>
  </si>
  <si>
    <t>Filtration/Ad</t>
  </si>
  <si>
    <t>Post-Chem</t>
  </si>
  <si>
    <t>Recycle</t>
  </si>
  <si>
    <t>Control</t>
  </si>
  <si>
    <t>Finished</t>
  </si>
  <si>
    <t>Electrical</t>
  </si>
  <si>
    <t>Natural Gas</t>
  </si>
  <si>
    <t>Labor</t>
  </si>
  <si>
    <t>Materials</t>
  </si>
  <si>
    <t xml:space="preserve">Labor </t>
  </si>
  <si>
    <t>South Platte Cost per MG</t>
  </si>
  <si>
    <t>Aurora Reservoir Cost per MG</t>
  </si>
  <si>
    <t>Binney Cost per MG</t>
  </si>
  <si>
    <t>Binney Cost per KG</t>
  </si>
  <si>
    <t>South Platte Cost per KG</t>
  </si>
  <si>
    <t>Aurora Reservoir Cost per KG</t>
  </si>
  <si>
    <t>Binney MG Produced</t>
  </si>
  <si>
    <t>Net South Platte MG Produced</t>
  </si>
  <si>
    <t>Net Aurora Reservoir MG Produced</t>
  </si>
  <si>
    <t>NA</t>
  </si>
  <si>
    <t>Monthly</t>
  </si>
  <si>
    <t>Material Costs</t>
  </si>
  <si>
    <t>1. The difference between the "Binney MG Produced" and the Net numbers is the ammont of water needed from distribution to create the finished water (W3 to Chlorine and NaOH Motive)</t>
  </si>
  <si>
    <t>Total</t>
  </si>
  <si>
    <t>SP</t>
  </si>
  <si>
    <t>AR</t>
  </si>
  <si>
    <t>Monthly Costs per KG</t>
  </si>
  <si>
    <t>Average</t>
  </si>
  <si>
    <t>bwpfcost</t>
  </si>
  <si>
    <t>bwpfyearly</t>
  </si>
  <si>
    <t>Annual Report Summary</t>
  </si>
  <si>
    <t>Labor Cost per MG</t>
  </si>
  <si>
    <t>O&amp;M Cost per MG</t>
  </si>
  <si>
    <t>Material Cost per MG</t>
  </si>
  <si>
    <t>Natural Gas Cost per MG</t>
  </si>
  <si>
    <t>Electrical Cost per MG</t>
  </si>
  <si>
    <t>Total Cost per MG</t>
  </si>
  <si>
    <t>Total Cost per KG</t>
  </si>
  <si>
    <t>Total Flow (MG)</t>
  </si>
  <si>
    <t>Chemical Cost per MG</t>
  </si>
  <si>
    <t>Electrical Usage (kWHr)</t>
  </si>
  <si>
    <t>Electrical Usage per MG</t>
  </si>
  <si>
    <t>bwpfprofile</t>
  </si>
  <si>
    <t xml:space="preserve"> 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</si>
  <si>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</si>
  <si>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</si>
  <si>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</si>
  <si>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</si>
  <si>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</si>
  <si>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</si>
  <si>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</si>
  <si>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</si>
  <si>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</si>
  <si>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</si>
  <si>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</si>
  <si>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</si>
  <si>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RWSP Flow to Process</t>
  </si>
  <si>
    <t>RWAR Flow to Process</t>
  </si>
  <si>
    <t>Total Treated (MG)</t>
  </si>
  <si>
    <t>RWSP to Process (MG)</t>
  </si>
  <si>
    <t>RWAR to Process (MG)</t>
  </si>
  <si>
    <t>RWSP to Process</t>
  </si>
  <si>
    <t>RWAR to Process</t>
  </si>
  <si>
    <t xml:space="preserve">RWAR to Process </t>
  </si>
  <si>
    <t>Raw Flow To Process</t>
  </si>
  <si>
    <t>RWAR To Process</t>
  </si>
  <si>
    <t>RWSP To Process</t>
  </si>
  <si>
    <t>Total Raw 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</si>
</sst>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/d/yy\ h:mm;@"/>
    <numFmt numFmtId="165" formatCode="&quot;$&quot;#,##0.00"/>
    <numFmt numFmtId="166" formatCode="&quot;$&quot;#,##0"/>
    <numFmt numFmtId="167" formatCode="0.0"/>
    <numFmt numFmtId="168" formatCode="0.000"/>
    <numFmt numFmtId="169" formatCode="0.0%"/>
    <numFmt numFmtId="170" formatCode="&quot;$&quot;#,##0.000"/>
  </numFmts>
  <fonts count="2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mediumGray"/>
    </fill>
    <fill>
      <patternFill patternType="mediumGray">
        <bgColor rgb="FF66CC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7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rgb="FF00B050"/>
      </left>
      <right/>
      <top style="thick">
        <color rgb="FF00B050"/>
      </top>
      <bottom style="thin">
        <color indexed="64"/>
      </bottom>
      <diagonal/>
    </border>
    <border>
      <left style="thin">
        <color indexed="64"/>
      </left>
      <right/>
      <top style="thick">
        <color rgb="FF00B050"/>
      </top>
      <bottom style="thin">
        <color indexed="64"/>
      </bottom>
      <diagonal/>
    </border>
    <border>
      <left style="thick">
        <color rgb="FF00B050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56"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3" borderId="0" xfId="0" applyFill="1"/>
    <xf numFmtId="164" fontId="0" fillId="0" borderId="0" xfId="0" applyNumberFormat="1" applyFill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/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/>
    <xf numFmtId="0" fontId="0" fillId="0" borderId="15" xfId="0" applyBorder="1" applyAlignment="1">
      <alignment horizontal="center" vertical="center"/>
    </xf>
    <xf numFmtId="165" fontId="4" fillId="6" borderId="31" xfId="0" applyNumberFormat="1" applyFont="1" applyFill="1" applyBorder="1"/>
    <xf numFmtId="165" fontId="4" fillId="6" borderId="30" xfId="0" applyNumberFormat="1" applyFont="1" applyFill="1" applyBorder="1"/>
    <xf numFmtId="165" fontId="4" fillId="6" borderId="32" xfId="0" applyNumberFormat="1" applyFont="1" applyFill="1" applyBorder="1"/>
    <xf numFmtId="4" fontId="4" fillId="5" borderId="16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17" xfId="0" applyNumberFormat="1" applyFont="1" applyFill="1" applyBorder="1" applyAlignment="1">
      <alignment horizontal="center" vertical="center"/>
    </xf>
    <xf numFmtId="165" fontId="4" fillId="6" borderId="31" xfId="0" applyNumberFormat="1" applyFont="1" applyFill="1" applyBorder="1" applyAlignment="1">
      <alignment horizontal="center" vertical="center"/>
    </xf>
    <xf numFmtId="165" fontId="4" fillId="6" borderId="30" xfId="0" applyNumberFormat="1" applyFont="1" applyFill="1" applyBorder="1" applyAlignment="1">
      <alignment horizontal="center" vertical="center"/>
    </xf>
    <xf numFmtId="165" fontId="4" fillId="6" borderId="32" xfId="0" applyNumberFormat="1" applyFont="1" applyFill="1" applyBorder="1" applyAlignment="1">
      <alignment horizontal="center" vertical="center"/>
    </xf>
    <xf numFmtId="165" fontId="4" fillId="4" borderId="33" xfId="0" applyNumberFormat="1" applyFont="1" applyFill="1" applyBorder="1" applyAlignment="1">
      <alignment horizontal="center" vertical="center"/>
    </xf>
    <xf numFmtId="165" fontId="4" fillId="4" borderId="34" xfId="0" applyNumberFormat="1" applyFont="1" applyFill="1" applyBorder="1" applyAlignment="1">
      <alignment horizontal="center" vertical="center"/>
    </xf>
    <xf numFmtId="165" fontId="4" fillId="4" borderId="35" xfId="0" applyNumberFormat="1" applyFont="1" applyFill="1" applyBorder="1" applyAlignment="1">
      <alignment horizontal="center" vertical="center"/>
    </xf>
    <xf numFmtId="165" fontId="4" fillId="6" borderId="37" xfId="0" applyNumberFormat="1" applyFont="1" applyFill="1" applyBorder="1"/>
    <xf numFmtId="0" fontId="1" fillId="2" borderId="3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5" fontId="4" fillId="6" borderId="42" xfId="0" applyNumberFormat="1" applyFont="1" applyFill="1" applyBorder="1"/>
    <xf numFmtId="0" fontId="1" fillId="2" borderId="18" xfId="0" applyFont="1" applyFill="1" applyBorder="1" applyAlignment="1">
      <alignment horizontal="center" vertical="center"/>
    </xf>
    <xf numFmtId="2" fontId="0" fillId="7" borderId="44" xfId="0" applyNumberFormat="1" applyFill="1" applyBorder="1"/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/>
    <xf numFmtId="14" fontId="4" fillId="5" borderId="11" xfId="0" applyNumberFormat="1" applyFont="1" applyFill="1" applyBorder="1"/>
    <xf numFmtId="14" fontId="4" fillId="6" borderId="42" xfId="0" applyNumberFormat="1" applyFont="1" applyFill="1" applyBorder="1"/>
    <xf numFmtId="0" fontId="4" fillId="4" borderId="44" xfId="0" applyFont="1" applyFill="1" applyBorder="1"/>
    <xf numFmtId="2" fontId="0" fillId="0" borderId="22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center" vertical="center"/>
      <protection locked="0"/>
    </xf>
    <xf numFmtId="2" fontId="0" fillId="0" borderId="40" xfId="0" applyNumberFormat="1" applyBorder="1" applyAlignment="1" applyProtection="1">
      <alignment horizontal="center" vertical="center"/>
      <protection locked="0"/>
    </xf>
    <xf numFmtId="2" fontId="0" fillId="0" borderId="16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17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Fill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4" xfId="0" applyNumberFormat="1" applyFill="1" applyBorder="1" applyAlignment="1" applyProtection="1">
      <alignment horizontal="center" vertical="center"/>
      <protection locked="0"/>
    </xf>
    <xf numFmtId="2" fontId="0" fillId="0" borderId="23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Fill="1" applyBorder="1" applyAlignment="1" applyProtection="1">
      <alignment horizontal="center" vertical="center"/>
      <protection locked="0"/>
    </xf>
    <xf numFmtId="2" fontId="0" fillId="0" borderId="40" xfId="0" applyNumberFormat="1" applyFill="1" applyBorder="1" applyAlignment="1" applyProtection="1">
      <alignment horizontal="center" vertical="center"/>
      <protection locked="0"/>
    </xf>
    <xf numFmtId="2" fontId="0" fillId="0" borderId="31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31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Fill="1" applyBorder="1" applyAlignment="1" applyProtection="1">
      <alignment horizontal="center" vertical="center"/>
      <protection locked="0"/>
    </xf>
    <xf numFmtId="2" fontId="0" fillId="0" borderId="28" xfId="0" applyNumberFormat="1" applyFill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20" xfId="0" applyNumberFormat="1" applyBorder="1" applyAlignment="1" applyProtection="1">
      <alignment horizontal="center" vertical="center"/>
      <protection locked="0"/>
    </xf>
    <xf numFmtId="2" fontId="0" fillId="0" borderId="19" xfId="0" applyNumberFormat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 applyProtection="1">
      <alignment horizontal="center" vertical="center"/>
      <protection locked="0"/>
    </xf>
    <xf numFmtId="2" fontId="0" fillId="0" borderId="39" xfId="0" applyNumberFormat="1" applyBorder="1" applyAlignment="1" applyProtection="1">
      <alignment horizontal="center" vertical="center"/>
      <protection locked="0"/>
    </xf>
    <xf numFmtId="2" fontId="0" fillId="0" borderId="1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Fill="1" applyBorder="1" applyAlignment="1" applyProtection="1">
      <alignment horizontal="center" vertical="center"/>
      <protection locked="0"/>
    </xf>
    <xf numFmtId="2" fontId="0" fillId="0" borderId="13" xfId="0" applyNumberFormat="1" applyBorder="1" applyAlignment="1" applyProtection="1">
      <alignment horizontal="center" vertical="center"/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Fill="1" applyBorder="1" applyAlignment="1" applyProtection="1">
      <alignment horizontal="center" vertical="center"/>
      <protection locked="0"/>
    </xf>
    <xf numFmtId="2" fontId="0" fillId="0" borderId="45" xfId="0" applyNumberFormat="1" applyFill="1" applyBorder="1" applyAlignment="1" applyProtection="1">
      <alignment horizontal="center" vertical="center"/>
      <protection locked="0"/>
    </xf>
    <xf numFmtId="0" fontId="0" fillId="0" borderId="58" xfId="0" applyBorder="1"/>
    <xf numFmtId="0" fontId="0" fillId="0" borderId="29" xfId="0" applyBorder="1"/>
    <xf numFmtId="0" fontId="0" fillId="0" borderId="57" xfId="0" applyBorder="1"/>
    <xf numFmtId="0" fontId="0" fillId="0" borderId="69" xfId="0" applyBorder="1"/>
    <xf numFmtId="0" fontId="0" fillId="0" borderId="37" xfId="0" applyBorder="1"/>
    <xf numFmtId="2" fontId="0" fillId="0" borderId="75" xfId="0" applyNumberFormat="1" applyBorder="1" applyAlignment="1">
      <alignment horizontal="center"/>
    </xf>
    <xf numFmtId="0" fontId="0" fillId="0" borderId="76" xfId="0" applyBorder="1"/>
    <xf numFmtId="2" fontId="0" fillId="0" borderId="79" xfId="0" applyNumberFormat="1" applyBorder="1" applyAlignment="1">
      <alignment horizontal="center"/>
    </xf>
    <xf numFmtId="0" fontId="4" fillId="12" borderId="33" xfId="0" applyFont="1" applyFill="1" applyBorder="1" applyAlignment="1">
      <alignment horizontal="center" vertical="center"/>
    </xf>
    <xf numFmtId="0" fontId="0" fillId="12" borderId="38" xfId="0" applyFill="1" applyBorder="1"/>
    <xf numFmtId="2" fontId="0" fillId="12" borderId="80" xfId="0" applyNumberFormat="1" applyFill="1" applyBorder="1" applyAlignment="1">
      <alignment horizontal="center"/>
    </xf>
    <xf numFmtId="0" fontId="4" fillId="13" borderId="65" xfId="0" applyFont="1" applyFill="1" applyBorder="1" applyAlignment="1">
      <alignment horizontal="center" vertical="center"/>
    </xf>
    <xf numFmtId="0" fontId="0" fillId="13" borderId="81" xfId="0" applyFill="1" applyBorder="1"/>
    <xf numFmtId="2" fontId="0" fillId="0" borderId="90" xfId="0" applyNumberFormat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1" fontId="0" fillId="0" borderId="89" xfId="0" applyNumberFormat="1" applyBorder="1" applyAlignment="1">
      <alignment horizontal="center"/>
    </xf>
    <xf numFmtId="1" fontId="0" fillId="0" borderId="73" xfId="0" applyNumberFormat="1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90" xfId="0" applyNumberFormat="1" applyBorder="1" applyAlignment="1">
      <alignment horizontal="center"/>
    </xf>
    <xf numFmtId="1" fontId="0" fillId="0" borderId="77" xfId="0" applyNumberFormat="1" applyBorder="1" applyAlignment="1">
      <alignment horizontal="center"/>
    </xf>
    <xf numFmtId="1" fontId="0" fillId="0" borderId="78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12" borderId="80" xfId="0" applyNumberFormat="1" applyFill="1" applyBorder="1" applyAlignment="1">
      <alignment horizontal="center"/>
    </xf>
    <xf numFmtId="166" fontId="0" fillId="0" borderId="70" xfId="0" applyNumberFormat="1" applyBorder="1" applyAlignment="1">
      <alignment horizontal="center"/>
    </xf>
    <xf numFmtId="166" fontId="0" fillId="0" borderId="71" xfId="0" applyNumberFormat="1" applyBorder="1" applyAlignment="1">
      <alignment horizontal="center"/>
    </xf>
    <xf numFmtId="166" fontId="0" fillId="15" borderId="70" xfId="0" applyNumberFormat="1" applyFill="1" applyBorder="1" applyAlignment="1">
      <alignment horizontal="center"/>
    </xf>
    <xf numFmtId="166" fontId="0" fillId="0" borderId="89" xfId="0" applyNumberFormat="1" applyBorder="1" applyAlignment="1">
      <alignment horizontal="center"/>
    </xf>
    <xf numFmtId="166" fontId="0" fillId="0" borderId="73" xfId="0" applyNumberFormat="1" applyBorder="1" applyAlignment="1">
      <alignment horizontal="center"/>
    </xf>
    <xf numFmtId="166" fontId="0" fillId="0" borderId="74" xfId="0" applyNumberFormat="1" applyBorder="1" applyAlignment="1">
      <alignment horizontal="center"/>
    </xf>
    <xf numFmtId="166" fontId="0" fillId="15" borderId="73" xfId="0" applyNumberFormat="1" applyFill="1" applyBorder="1" applyAlignment="1">
      <alignment horizontal="center"/>
    </xf>
    <xf numFmtId="166" fontId="0" fillId="0" borderId="90" xfId="0" applyNumberFormat="1" applyBorder="1" applyAlignment="1">
      <alignment horizontal="center"/>
    </xf>
    <xf numFmtId="166" fontId="0" fillId="0" borderId="77" xfId="0" applyNumberFormat="1" applyBorder="1" applyAlignment="1">
      <alignment horizontal="center"/>
    </xf>
    <xf numFmtId="166" fontId="0" fillId="0" borderId="78" xfId="0" applyNumberFormat="1" applyBorder="1" applyAlignment="1">
      <alignment horizontal="center"/>
    </xf>
    <xf numFmtId="166" fontId="0" fillId="15" borderId="77" xfId="0" applyNumberFormat="1" applyFill="1" applyBorder="1" applyAlignment="1">
      <alignment horizontal="center"/>
    </xf>
    <xf numFmtId="166" fontId="0" fillId="0" borderId="91" xfId="0" applyNumberFormat="1" applyBorder="1" applyAlignment="1">
      <alignment horizontal="center"/>
    </xf>
    <xf numFmtId="166" fontId="0" fillId="13" borderId="80" xfId="0" applyNumberFormat="1" applyFill="1" applyBorder="1" applyAlignment="1">
      <alignment horizontal="center"/>
    </xf>
    <xf numFmtId="2" fontId="0" fillId="16" borderId="89" xfId="0" applyNumberFormat="1" applyFill="1" applyBorder="1" applyAlignment="1">
      <alignment horizontal="center"/>
    </xf>
    <xf numFmtId="2" fontId="0" fillId="16" borderId="72" xfId="0" applyNumberFormat="1" applyFill="1" applyBorder="1" applyAlignment="1">
      <alignment horizontal="center"/>
    </xf>
    <xf numFmtId="2" fontId="0" fillId="16" borderId="90" xfId="0" applyNumberFormat="1" applyFill="1" applyBorder="1" applyAlignment="1">
      <alignment horizontal="center"/>
    </xf>
    <xf numFmtId="2" fontId="0" fillId="16" borderId="75" xfId="0" applyNumberFormat="1" applyFill="1" applyBorder="1" applyAlignment="1">
      <alignment horizontal="center"/>
    </xf>
    <xf numFmtId="2" fontId="0" fillId="16" borderId="91" xfId="0" applyNumberFormat="1" applyFill="1" applyBorder="1" applyAlignment="1">
      <alignment horizontal="center"/>
    </xf>
    <xf numFmtId="2" fontId="0" fillId="16" borderId="79" xfId="0" applyNumberFormat="1" applyFill="1" applyBorder="1" applyAlignment="1">
      <alignment horizontal="center"/>
    </xf>
    <xf numFmtId="2" fontId="0" fillId="17" borderId="80" xfId="0" applyNumberFormat="1" applyFill="1" applyBorder="1" applyAlignment="1">
      <alignment horizontal="center"/>
    </xf>
    <xf numFmtId="164" fontId="4" fillId="9" borderId="41" xfId="0" applyNumberFormat="1" applyFont="1" applyFill="1" applyBorder="1" applyAlignment="1">
      <alignment horizontal="center" vertical="center" textRotation="180"/>
    </xf>
    <xf numFmtId="164" fontId="4" fillId="9" borderId="82" xfId="0" applyNumberFormat="1" applyFont="1" applyFill="1" applyBorder="1" applyAlignment="1">
      <alignment horizontal="center" vertical="center" textRotation="180"/>
    </xf>
    <xf numFmtId="164" fontId="4" fillId="2" borderId="82" xfId="0" applyNumberFormat="1" applyFont="1" applyFill="1" applyBorder="1" applyAlignment="1">
      <alignment horizontal="center" vertical="center" textRotation="180"/>
    </xf>
    <xf numFmtId="164" fontId="4" fillId="8" borderId="82" xfId="0" applyNumberFormat="1" applyFont="1" applyFill="1" applyBorder="1" applyAlignment="1">
      <alignment horizontal="center" vertical="center" textRotation="180"/>
    </xf>
    <xf numFmtId="164" fontId="4" fillId="8" borderId="48" xfId="0" applyNumberFormat="1" applyFont="1" applyFill="1" applyBorder="1" applyAlignment="1">
      <alignment horizontal="center" vertical="center" textRotation="180"/>
    </xf>
    <xf numFmtId="164" fontId="4" fillId="11" borderId="41" xfId="0" applyNumberFormat="1" applyFont="1" applyFill="1" applyBorder="1" applyAlignment="1">
      <alignment horizontal="center" vertical="center" textRotation="180"/>
    </xf>
    <xf numFmtId="164" fontId="4" fillId="11" borderId="82" xfId="0" applyNumberFormat="1" applyFont="1" applyFill="1" applyBorder="1" applyAlignment="1">
      <alignment horizontal="center" vertical="center" textRotation="180"/>
    </xf>
    <xf numFmtId="164" fontId="4" fillId="10" borderId="88" xfId="0" applyNumberFormat="1" applyFont="1" applyFill="1" applyBorder="1" applyAlignment="1">
      <alignment horizontal="center" vertical="center" textRotation="180"/>
    </xf>
    <xf numFmtId="164" fontId="4" fillId="10" borderId="87" xfId="0" applyNumberFormat="1" applyFont="1" applyFill="1" applyBorder="1" applyAlignment="1">
      <alignment horizontal="center" vertical="center" textRotation="180"/>
    </xf>
    <xf numFmtId="164" fontId="4" fillId="14" borderId="82" xfId="0" applyNumberFormat="1" applyFont="1" applyFill="1" applyBorder="1" applyAlignment="1">
      <alignment horizontal="center" vertical="center" textRotation="180"/>
    </xf>
    <xf numFmtId="0" fontId="4" fillId="14" borderId="82" xfId="0" applyFont="1" applyFill="1" applyBorder="1" applyAlignment="1">
      <alignment horizontal="center" vertical="center" textRotation="180"/>
    </xf>
    <xf numFmtId="1" fontId="0" fillId="12" borderId="106" xfId="0" applyNumberFormat="1" applyFill="1" applyBorder="1" applyAlignment="1">
      <alignment horizontal="center"/>
    </xf>
    <xf numFmtId="1" fontId="0" fillId="12" borderId="77" xfId="0" applyNumberFormat="1" applyFill="1" applyBorder="1" applyAlignment="1">
      <alignment horizontal="center"/>
    </xf>
    <xf numFmtId="1" fontId="0" fillId="12" borderId="79" xfId="0" applyNumberFormat="1" applyFill="1" applyBorder="1" applyAlignment="1">
      <alignment horizontal="center"/>
    </xf>
    <xf numFmtId="1" fontId="0" fillId="12" borderId="78" xfId="0" applyNumberFormat="1" applyFill="1" applyBorder="1" applyAlignment="1">
      <alignment horizontal="center"/>
    </xf>
    <xf numFmtId="2" fontId="0" fillId="14" borderId="77" xfId="0" applyNumberFormat="1" applyFill="1" applyBorder="1" applyAlignment="1">
      <alignment horizontal="center"/>
    </xf>
    <xf numFmtId="2" fontId="0" fillId="14" borderId="73" xfId="0" applyNumberFormat="1" applyFill="1" applyBorder="1" applyAlignment="1">
      <alignment horizontal="center"/>
    </xf>
    <xf numFmtId="167" fontId="0" fillId="14" borderId="108" xfId="0" applyNumberFormat="1" applyFill="1" applyBorder="1" applyAlignment="1">
      <alignment horizontal="center"/>
    </xf>
    <xf numFmtId="168" fontId="0" fillId="14" borderId="108" xfId="0" applyNumberFormat="1" applyFill="1" applyBorder="1" applyAlignment="1">
      <alignment horizontal="center"/>
    </xf>
    <xf numFmtId="168" fontId="0" fillId="18" borderId="109" xfId="0" applyNumberFormat="1" applyFill="1" applyBorder="1" applyAlignment="1">
      <alignment horizontal="center"/>
    </xf>
    <xf numFmtId="168" fontId="0" fillId="18" borderId="73" xfId="0" applyNumberFormat="1" applyFill="1" applyBorder="1" applyAlignment="1">
      <alignment horizontal="center"/>
    </xf>
    <xf numFmtId="168" fontId="0" fillId="18" borderId="75" xfId="0" applyNumberFormat="1" applyFill="1" applyBorder="1" applyAlignment="1">
      <alignment horizontal="center"/>
    </xf>
    <xf numFmtId="168" fontId="0" fillId="18" borderId="74" xfId="0" applyNumberFormat="1" applyFill="1" applyBorder="1" applyAlignment="1">
      <alignment horizontal="center"/>
    </xf>
    <xf numFmtId="168" fontId="0" fillId="19" borderId="109" xfId="0" applyNumberFormat="1" applyFill="1" applyBorder="1" applyAlignment="1">
      <alignment horizontal="center"/>
    </xf>
    <xf numFmtId="168" fontId="0" fillId="19" borderId="73" xfId="0" applyNumberFormat="1" applyFill="1" applyBorder="1" applyAlignment="1">
      <alignment horizontal="center"/>
    </xf>
    <xf numFmtId="168" fontId="0" fillId="19" borderId="75" xfId="0" applyNumberFormat="1" applyFill="1" applyBorder="1" applyAlignment="1">
      <alignment horizontal="center"/>
    </xf>
    <xf numFmtId="168" fontId="0" fillId="19" borderId="74" xfId="0" applyNumberFormat="1" applyFill="1" applyBorder="1" applyAlignment="1">
      <alignment horizontal="center"/>
    </xf>
    <xf numFmtId="168" fontId="0" fillId="20" borderId="73" xfId="0" applyNumberFormat="1" applyFill="1" applyBorder="1" applyAlignment="1">
      <alignment horizontal="center"/>
    </xf>
    <xf numFmtId="168" fontId="0" fillId="20" borderId="75" xfId="0" applyNumberFormat="1" applyFill="1" applyBorder="1" applyAlignment="1">
      <alignment horizontal="center"/>
    </xf>
    <xf numFmtId="168" fontId="0" fillId="20" borderId="110" xfId="0" applyNumberFormat="1" applyFill="1" applyBorder="1" applyAlignment="1">
      <alignment horizontal="center"/>
    </xf>
    <xf numFmtId="168" fontId="0" fillId="20" borderId="84" xfId="0" applyNumberFormat="1" applyFill="1" applyBorder="1" applyAlignment="1">
      <alignment horizontal="center"/>
    </xf>
    <xf numFmtId="168" fontId="0" fillId="20" borderId="93" xfId="0" applyNumberFormat="1" applyFill="1" applyBorder="1" applyAlignment="1">
      <alignment horizontal="center"/>
    </xf>
    <xf numFmtId="168" fontId="0" fillId="20" borderId="85" xfId="0" applyNumberFormat="1" applyFill="1" applyBorder="1" applyAlignment="1">
      <alignment horizontal="center"/>
    </xf>
    <xf numFmtId="166" fontId="0" fillId="13" borderId="111" xfId="0" applyNumberFormat="1" applyFill="1" applyBorder="1" applyAlignment="1">
      <alignment horizontal="center"/>
    </xf>
    <xf numFmtId="166" fontId="0" fillId="13" borderId="112" xfId="0" applyNumberFormat="1" applyFill="1" applyBorder="1" applyAlignment="1">
      <alignment horizontal="center"/>
    </xf>
    <xf numFmtId="166" fontId="0" fillId="13" borderId="113" xfId="0" applyNumberFormat="1" applyFill="1" applyBorder="1" applyAlignment="1">
      <alignment horizontal="center"/>
    </xf>
    <xf numFmtId="166" fontId="0" fillId="13" borderId="103" xfId="0" applyNumberFormat="1" applyFill="1" applyBorder="1" applyAlignment="1">
      <alignment horizontal="center"/>
    </xf>
    <xf numFmtId="164" fontId="4" fillId="7" borderId="86" xfId="0" applyNumberFormat="1" applyFont="1" applyFill="1" applyBorder="1" applyAlignment="1"/>
    <xf numFmtId="167" fontId="0" fillId="7" borderId="87" xfId="0" applyNumberFormat="1" applyFont="1" applyFill="1" applyBorder="1" applyAlignment="1">
      <alignment horizontal="center"/>
    </xf>
    <xf numFmtId="167" fontId="0" fillId="7" borderId="88" xfId="0" applyNumberFormat="1" applyFont="1" applyFill="1" applyBorder="1" applyAlignment="1">
      <alignment horizontal="center"/>
    </xf>
    <xf numFmtId="1" fontId="0" fillId="12" borderId="51" xfId="0" applyNumberFormat="1" applyFill="1" applyBorder="1" applyAlignment="1">
      <alignment horizontal="center"/>
    </xf>
    <xf numFmtId="1" fontId="0" fillId="12" borderId="114" xfId="0" applyNumberFormat="1" applyFill="1" applyBorder="1" applyAlignment="1">
      <alignment horizontal="center"/>
    </xf>
    <xf numFmtId="1" fontId="0" fillId="12" borderId="52" xfId="0" applyNumberFormat="1" applyFill="1" applyBorder="1" applyAlignment="1">
      <alignment horizontal="center"/>
    </xf>
    <xf numFmtId="1" fontId="0" fillId="12" borderId="91" xfId="0" applyNumberFormat="1" applyFill="1" applyBorder="1" applyAlignment="1">
      <alignment horizontal="center"/>
    </xf>
    <xf numFmtId="168" fontId="0" fillId="18" borderId="90" xfId="0" applyNumberFormat="1" applyFill="1" applyBorder="1" applyAlignment="1">
      <alignment horizontal="center"/>
    </xf>
    <xf numFmtId="166" fontId="0" fillId="13" borderId="106" xfId="0" applyNumberFormat="1" applyFill="1" applyBorder="1" applyAlignment="1">
      <alignment horizontal="center"/>
    </xf>
    <xf numFmtId="166" fontId="0" fillId="13" borderId="77" xfId="0" applyNumberFormat="1" applyFill="1" applyBorder="1" applyAlignment="1">
      <alignment horizontal="center"/>
    </xf>
    <xf numFmtId="166" fontId="0" fillId="13" borderId="108" xfId="0" applyNumberFormat="1" applyFill="1" applyBorder="1" applyAlignment="1">
      <alignment horizontal="center"/>
    </xf>
    <xf numFmtId="166" fontId="0" fillId="13" borderId="118" xfId="0" applyNumberFormat="1" applyFill="1" applyBorder="1" applyAlignment="1">
      <alignment horizontal="center"/>
    </xf>
    <xf numFmtId="166" fontId="0" fillId="13" borderId="119" xfId="0" applyNumberFormat="1" applyFill="1" applyBorder="1" applyAlignment="1">
      <alignment horizontal="center"/>
    </xf>
    <xf numFmtId="166" fontId="0" fillId="13" borderId="120" xfId="0" applyNumberFormat="1" applyFill="1" applyBorder="1" applyAlignment="1">
      <alignment horizontal="center"/>
    </xf>
    <xf numFmtId="166" fontId="0" fillId="13" borderId="116" xfId="0" applyNumberFormat="1" applyFill="1" applyBorder="1" applyAlignment="1">
      <alignment horizontal="center"/>
    </xf>
    <xf numFmtId="166" fontId="13" fillId="10" borderId="95" xfId="0" applyNumberFormat="1" applyFon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2" fillId="22" borderId="55" xfId="0" applyFont="1" applyFill="1" applyBorder="1" applyAlignment="1"/>
    <xf numFmtId="0" fontId="12" fillId="22" borderId="66" xfId="0" applyFont="1" applyFill="1" applyBorder="1" applyAlignment="1"/>
    <xf numFmtId="167" fontId="13" fillId="23" borderId="123" xfId="0" applyNumberFormat="1" applyFont="1" applyFill="1" applyBorder="1" applyAlignment="1">
      <alignment horizontal="center"/>
    </xf>
    <xf numFmtId="0" fontId="12" fillId="22" borderId="66" xfId="0" applyFont="1" applyFill="1" applyBorder="1"/>
    <xf numFmtId="0" fontId="13" fillId="22" borderId="66" xfId="0" applyFont="1" applyFill="1" applyBorder="1"/>
    <xf numFmtId="167" fontId="13" fillId="22" borderId="66" xfId="0" applyNumberFormat="1" applyFont="1" applyFill="1" applyBorder="1" applyAlignment="1">
      <alignment horizontal="left"/>
    </xf>
    <xf numFmtId="0" fontId="12" fillId="22" borderId="124" xfId="0" applyFont="1" applyFill="1" applyBorder="1"/>
    <xf numFmtId="168" fontId="13" fillId="23" borderId="66" xfId="0" applyNumberFormat="1" applyFont="1" applyFill="1" applyBorder="1" applyAlignment="1">
      <alignment horizontal="center"/>
    </xf>
    <xf numFmtId="2" fontId="13" fillId="22" borderId="66" xfId="0" applyNumberFormat="1" applyFont="1" applyFill="1" applyBorder="1" applyAlignment="1">
      <alignment horizontal="left"/>
    </xf>
    <xf numFmtId="167" fontId="13" fillId="22" borderId="56" xfId="0" applyNumberFormat="1" applyFont="1" applyFill="1" applyBorder="1" applyAlignment="1">
      <alignment horizontal="left"/>
    </xf>
    <xf numFmtId="167" fontId="0" fillId="7" borderId="108" xfId="0" applyNumberFormat="1" applyFill="1" applyBorder="1" applyAlignment="1">
      <alignment horizontal="center"/>
    </xf>
    <xf numFmtId="0" fontId="0" fillId="0" borderId="0" xfId="0" applyAlignment="1"/>
    <xf numFmtId="1" fontId="16" fillId="24" borderId="126" xfId="0" applyNumberFormat="1" applyFont="1" applyFill="1" applyBorder="1" applyAlignment="1">
      <alignment horizontal="right" vertical="center"/>
    </xf>
    <xf numFmtId="0" fontId="0" fillId="24" borderId="3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9" borderId="131" xfId="0" applyFill="1" applyBorder="1" applyAlignment="1">
      <alignment horizontal="center"/>
    </xf>
    <xf numFmtId="0" fontId="13" fillId="22" borderId="37" xfId="0" applyFont="1" applyFill="1" applyBorder="1" applyAlignment="1">
      <alignment horizontal="left"/>
    </xf>
    <xf numFmtId="0" fontId="13" fillId="22" borderId="37" xfId="0" applyFont="1" applyFill="1" applyBorder="1" applyAlignment="1"/>
    <xf numFmtId="165" fontId="0" fillId="24" borderId="30" xfId="0" applyNumberFormat="1" applyFill="1" applyBorder="1" applyAlignment="1">
      <alignment horizontal="center"/>
    </xf>
    <xf numFmtId="165" fontId="0" fillId="12" borderId="30" xfId="0" applyNumberFormat="1" applyFill="1" applyBorder="1" applyAlignment="1">
      <alignment horizontal="center"/>
    </xf>
    <xf numFmtId="0" fontId="13" fillId="19" borderId="30" xfId="0" applyFont="1" applyFill="1" applyBorder="1" applyAlignment="1">
      <alignment horizontal="left"/>
    </xf>
    <xf numFmtId="165" fontId="0" fillId="19" borderId="30" xfId="0" applyNumberFormat="1" applyFill="1" applyBorder="1" applyAlignment="1">
      <alignment horizontal="center"/>
    </xf>
    <xf numFmtId="165" fontId="0" fillId="19" borderId="131" xfId="0" applyNumberFormat="1" applyFill="1" applyBorder="1" applyAlignment="1">
      <alignment horizontal="center"/>
    </xf>
    <xf numFmtId="0" fontId="13" fillId="22" borderId="39" xfId="0" applyFont="1" applyFill="1" applyBorder="1" applyAlignment="1">
      <alignment horizontal="left"/>
    </xf>
    <xf numFmtId="0" fontId="13" fillId="22" borderId="39" xfId="0" applyFont="1" applyFill="1" applyBorder="1" applyAlignment="1"/>
    <xf numFmtId="165" fontId="0" fillId="12" borderId="3" xfId="0" applyNumberFormat="1" applyFill="1" applyBorder="1" applyAlignment="1">
      <alignment horizontal="center"/>
    </xf>
    <xf numFmtId="0" fontId="13" fillId="19" borderId="3" xfId="0" applyFont="1" applyFill="1" applyBorder="1" applyAlignment="1">
      <alignment horizontal="left"/>
    </xf>
    <xf numFmtId="165" fontId="0" fillId="19" borderId="3" xfId="0" applyNumberFormat="1" applyFill="1" applyBorder="1" applyAlignment="1">
      <alignment horizontal="center"/>
    </xf>
    <xf numFmtId="165" fontId="0" fillId="25" borderId="133" xfId="0" applyNumberFormat="1" applyFill="1" applyBorder="1" applyAlignment="1">
      <alignment horizontal="center"/>
    </xf>
    <xf numFmtId="166" fontId="0" fillId="0" borderId="0" xfId="0" applyNumberFormat="1"/>
    <xf numFmtId="0" fontId="4" fillId="0" borderId="9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/>
    </xf>
    <xf numFmtId="168" fontId="0" fillId="20" borderId="74" xfId="0" applyNumberFormat="1" applyFill="1" applyBorder="1" applyAlignment="1">
      <alignment horizontal="center"/>
    </xf>
    <xf numFmtId="166" fontId="13" fillId="10" borderId="87" xfId="0" applyNumberFormat="1" applyFont="1" applyFill="1" applyBorder="1" applyAlignment="1">
      <alignment horizontal="center"/>
    </xf>
    <xf numFmtId="166" fontId="0" fillId="10" borderId="88" xfId="0" applyNumberFormat="1" applyFill="1" applyBorder="1" applyAlignment="1">
      <alignment horizontal="center"/>
    </xf>
    <xf numFmtId="169" fontId="0" fillId="21" borderId="88" xfId="0" applyNumberFormat="1" applyFill="1" applyBorder="1" applyAlignment="1">
      <alignment horizontal="center"/>
    </xf>
    <xf numFmtId="169" fontId="0" fillId="0" borderId="122" xfId="0" applyNumberFormat="1" applyFill="1" applyBorder="1" applyAlignment="1">
      <alignment horizontal="center"/>
    </xf>
    <xf numFmtId="2" fontId="0" fillId="7" borderId="85" xfId="0" applyNumberFormat="1" applyFill="1" applyBorder="1" applyAlignment="1">
      <alignment horizontal="center"/>
    </xf>
    <xf numFmtId="2" fontId="0" fillId="7" borderId="84" xfId="0" applyNumberFormat="1" applyFill="1" applyBorder="1" applyAlignment="1">
      <alignment horizontal="center"/>
    </xf>
    <xf numFmtId="2" fontId="0" fillId="12" borderId="135" xfId="0" applyNumberFormat="1" applyFill="1" applyBorder="1" applyAlignment="1">
      <alignment horizontal="center"/>
    </xf>
    <xf numFmtId="2" fontId="0" fillId="17" borderId="135" xfId="0" applyNumberFormat="1" applyFill="1" applyBorder="1" applyAlignment="1">
      <alignment horizontal="center"/>
    </xf>
    <xf numFmtId="164" fontId="4" fillId="9" borderId="114" xfId="0" applyNumberFormat="1" applyFont="1" applyFill="1" applyBorder="1" applyAlignment="1">
      <alignment horizontal="center" textRotation="90"/>
    </xf>
    <xf numFmtId="164" fontId="4" fillId="9" borderId="94" xfId="0" applyNumberFormat="1" applyFont="1" applyFill="1" applyBorder="1" applyAlignment="1">
      <alignment horizontal="center" textRotation="90"/>
    </xf>
    <xf numFmtId="164" fontId="4" fillId="11" borderId="114" xfId="0" applyNumberFormat="1" applyFont="1" applyFill="1" applyBorder="1" applyAlignment="1">
      <alignment horizontal="center" textRotation="90"/>
    </xf>
    <xf numFmtId="164" fontId="4" fillId="11" borderId="101" xfId="0" applyNumberFormat="1" applyFont="1" applyFill="1" applyBorder="1" applyAlignment="1">
      <alignment horizontal="center" textRotation="90"/>
    </xf>
    <xf numFmtId="164" fontId="4" fillId="2" borderId="114" xfId="0" applyNumberFormat="1" applyFont="1" applyFill="1" applyBorder="1" applyAlignment="1">
      <alignment horizontal="center" textRotation="90"/>
    </xf>
    <xf numFmtId="164" fontId="4" fillId="2" borderId="101" xfId="0" applyNumberFormat="1" applyFont="1" applyFill="1" applyBorder="1" applyAlignment="1">
      <alignment horizontal="center" textRotation="90"/>
    </xf>
    <xf numFmtId="164" fontId="4" fillId="8" borderId="114" xfId="0" applyNumberFormat="1" applyFont="1" applyFill="1" applyBorder="1" applyAlignment="1">
      <alignment horizontal="center" textRotation="90"/>
    </xf>
    <xf numFmtId="164" fontId="4" fillId="10" borderId="94" xfId="0" applyNumberFormat="1" applyFont="1" applyFill="1" applyBorder="1" applyAlignment="1">
      <alignment horizontal="center" textRotation="90"/>
    </xf>
    <xf numFmtId="164" fontId="4" fillId="10" borderId="114" xfId="0" applyNumberFormat="1" applyFont="1" applyFill="1" applyBorder="1" applyAlignment="1">
      <alignment horizontal="center" textRotation="90"/>
    </xf>
    <xf numFmtId="164" fontId="4" fillId="14" borderId="94" xfId="0" applyNumberFormat="1" applyFont="1" applyFill="1" applyBorder="1" applyAlignment="1">
      <alignment horizontal="center" textRotation="90"/>
    </xf>
    <xf numFmtId="0" fontId="4" fillId="14" borderId="52" xfId="0" applyFont="1" applyFill="1" applyBorder="1" applyAlignment="1">
      <alignment horizontal="center" textRotation="90"/>
    </xf>
    <xf numFmtId="1" fontId="0" fillId="0" borderId="71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12" borderId="91" xfId="0" applyNumberFormat="1" applyFill="1" applyBorder="1" applyAlignment="1">
      <alignment horizontal="center"/>
    </xf>
    <xf numFmtId="2" fontId="0" fillId="12" borderId="79" xfId="0" applyNumberFormat="1" applyFill="1" applyBorder="1" applyAlignment="1">
      <alignment horizontal="center"/>
    </xf>
    <xf numFmtId="0" fontId="13" fillId="24" borderId="37" xfId="0" applyFont="1" applyFill="1" applyBorder="1" applyAlignment="1">
      <alignment horizontal="left"/>
    </xf>
    <xf numFmtId="0" fontId="13" fillId="24" borderId="39" xfId="0" applyFont="1" applyFill="1" applyBorder="1" applyAlignment="1">
      <alignment horizontal="left"/>
    </xf>
    <xf numFmtId="0" fontId="13" fillId="12" borderId="130" xfId="0" applyFont="1" applyFill="1" applyBorder="1" applyAlignment="1">
      <alignment horizontal="left"/>
    </xf>
    <xf numFmtId="0" fontId="13" fillId="12" borderId="26" xfId="0" applyFont="1" applyFill="1" applyBorder="1" applyAlignment="1">
      <alignment horizontal="left"/>
    </xf>
    <xf numFmtId="0" fontId="0" fillId="24" borderId="2" xfId="0" applyFill="1" applyBorder="1" applyAlignment="1">
      <alignment horizontal="center"/>
    </xf>
    <xf numFmtId="165" fontId="0" fillId="24" borderId="136" xfId="0" applyNumberFormat="1" applyFill="1" applyBorder="1" applyAlignment="1">
      <alignment horizontal="center"/>
    </xf>
    <xf numFmtId="165" fontId="0" fillId="24" borderId="137" xfId="0" applyNumberFormat="1" applyFill="1" applyBorder="1" applyAlignment="1">
      <alignment horizontal="center"/>
    </xf>
    <xf numFmtId="165" fontId="0" fillId="24" borderId="138" xfId="0" applyNumberFormat="1" applyFill="1" applyBorder="1" applyAlignment="1">
      <alignment horizontal="center"/>
    </xf>
    <xf numFmtId="165" fontId="0" fillId="24" borderId="139" xfId="0" applyNumberFormat="1" applyFill="1" applyBorder="1" applyAlignment="1">
      <alignment horizontal="center"/>
    </xf>
    <xf numFmtId="165" fontId="0" fillId="24" borderId="140" xfId="0" applyNumberFormat="1" applyFill="1" applyBorder="1" applyAlignment="1">
      <alignment horizontal="center"/>
    </xf>
    <xf numFmtId="167" fontId="0" fillId="22" borderId="30" xfId="0" applyNumberFormat="1" applyFill="1" applyBorder="1"/>
    <xf numFmtId="0" fontId="0" fillId="22" borderId="142" xfId="0" applyFill="1" applyBorder="1" applyAlignment="1">
      <alignment horizontal="center"/>
    </xf>
    <xf numFmtId="167" fontId="0" fillId="22" borderId="131" xfId="0" applyNumberFormat="1" applyFill="1" applyBorder="1" applyAlignment="1">
      <alignment horizontal="right"/>
    </xf>
    <xf numFmtId="168" fontId="0" fillId="22" borderId="131" xfId="0" applyNumberFormat="1" applyFill="1" applyBorder="1" applyAlignment="1">
      <alignment horizontal="right"/>
    </xf>
    <xf numFmtId="167" fontId="0" fillId="22" borderId="3" xfId="0" applyNumberFormat="1" applyFill="1" applyBorder="1"/>
    <xf numFmtId="167" fontId="0" fillId="22" borderId="133" xfId="0" applyNumberFormat="1" applyFill="1" applyBorder="1" applyAlignment="1">
      <alignment horizontal="right"/>
    </xf>
    <xf numFmtId="0" fontId="17" fillId="0" borderId="0" xfId="0" applyFont="1"/>
    <xf numFmtId="4" fontId="4" fillId="5" borderId="16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4" fillId="5" borderId="36" xfId="0" applyNumberFormat="1" applyFont="1" applyFill="1" applyBorder="1" applyAlignment="1">
      <alignment horizontal="center"/>
    </xf>
    <xf numFmtId="165" fontId="4" fillId="6" borderId="31" xfId="0" applyNumberFormat="1" applyFont="1" applyFill="1" applyBorder="1" applyAlignment="1">
      <alignment horizontal="center"/>
    </xf>
    <xf numFmtId="165" fontId="4" fillId="6" borderId="30" xfId="0" applyNumberFormat="1" applyFont="1" applyFill="1" applyBorder="1" applyAlignment="1">
      <alignment horizontal="center"/>
    </xf>
    <xf numFmtId="165" fontId="4" fillId="6" borderId="37" xfId="0" applyNumberFormat="1" applyFont="1" applyFill="1" applyBorder="1" applyAlignment="1">
      <alignment horizontal="center"/>
    </xf>
    <xf numFmtId="165" fontId="4" fillId="4" borderId="33" xfId="0" applyNumberFormat="1" applyFont="1" applyFill="1" applyBorder="1" applyAlignment="1">
      <alignment horizontal="center"/>
    </xf>
    <xf numFmtId="165" fontId="4" fillId="4" borderId="34" xfId="0" applyNumberFormat="1" applyFont="1" applyFill="1" applyBorder="1" applyAlignment="1">
      <alignment horizontal="center"/>
    </xf>
    <xf numFmtId="165" fontId="4" fillId="4" borderId="38" xfId="0" applyNumberFormat="1" applyFont="1" applyFill="1" applyBorder="1" applyAlignment="1">
      <alignment horizontal="center"/>
    </xf>
    <xf numFmtId="4" fontId="4" fillId="5" borderId="17" xfId="0" applyNumberFormat="1" applyFont="1" applyFill="1" applyBorder="1" applyAlignment="1">
      <alignment horizontal="center"/>
    </xf>
    <xf numFmtId="165" fontId="4" fillId="6" borderId="32" xfId="0" applyNumberFormat="1" applyFont="1" applyFill="1" applyBorder="1" applyAlignment="1">
      <alignment horizontal="center"/>
    </xf>
    <xf numFmtId="165" fontId="4" fillId="4" borderId="35" xfId="0" applyNumberFormat="1" applyFont="1" applyFill="1" applyBorder="1" applyAlignment="1">
      <alignment horizontal="center"/>
    </xf>
    <xf numFmtId="4" fontId="4" fillId="5" borderId="18" xfId="0" applyNumberFormat="1" applyFont="1" applyFill="1" applyBorder="1" applyAlignment="1">
      <alignment horizontal="center"/>
    </xf>
    <xf numFmtId="165" fontId="4" fillId="6" borderId="42" xfId="0" applyNumberFormat="1" applyFont="1" applyFill="1" applyBorder="1" applyAlignment="1">
      <alignment horizontal="center"/>
    </xf>
    <xf numFmtId="165" fontId="4" fillId="4" borderId="44" xfId="0" applyNumberFormat="1" applyFont="1" applyFill="1" applyBorder="1" applyAlignment="1">
      <alignment horizontal="center"/>
    </xf>
    <xf numFmtId="4" fontId="4" fillId="7" borderId="18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/>
    </xf>
    <xf numFmtId="165" fontId="4" fillId="4" borderId="143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26" borderId="46" xfId="0" applyFont="1" applyFill="1" applyBorder="1" applyAlignment="1">
      <alignment horizontal="center" vertical="center" wrapText="1"/>
    </xf>
    <xf numFmtId="165" fontId="9" fillId="26" borderId="47" xfId="0" applyNumberFormat="1" applyFont="1" applyFill="1" applyBorder="1" applyAlignment="1">
      <alignment horizontal="center" vertical="center"/>
    </xf>
    <xf numFmtId="0" fontId="9" fillId="26" borderId="41" xfId="0" applyFont="1" applyFill="1" applyBorder="1" applyAlignment="1">
      <alignment horizontal="center" vertical="center" wrapText="1"/>
    </xf>
    <xf numFmtId="165" fontId="9" fillId="26" borderId="48" xfId="0" applyNumberFormat="1" applyFont="1" applyFill="1" applyBorder="1" applyAlignment="1">
      <alignment horizontal="center" vertical="center"/>
    </xf>
    <xf numFmtId="0" fontId="9" fillId="26" borderId="51" xfId="0" applyFont="1" applyFill="1" applyBorder="1" applyAlignment="1">
      <alignment horizontal="center" vertical="center" wrapText="1"/>
    </xf>
    <xf numFmtId="165" fontId="9" fillId="26" borderId="52" xfId="0" applyNumberFormat="1" applyFont="1" applyFill="1" applyBorder="1" applyAlignment="1">
      <alignment horizontal="center" vertical="center"/>
    </xf>
    <xf numFmtId="0" fontId="0" fillId="0" borderId="98" xfId="0" applyBorder="1"/>
    <xf numFmtId="165" fontId="10" fillId="0" borderId="10" xfId="0" applyNumberFormat="1" applyFont="1" applyFill="1" applyBorder="1" applyAlignment="1">
      <alignment horizontal="center" vertical="center"/>
    </xf>
    <xf numFmtId="165" fontId="4" fillId="0" borderId="10" xfId="0" applyNumberFormat="1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 wrapText="1"/>
    </xf>
    <xf numFmtId="4" fontId="9" fillId="2" borderId="54" xfId="0" applyNumberFormat="1" applyFont="1" applyFill="1" applyBorder="1" applyAlignment="1">
      <alignment horizontal="center" vertical="center"/>
    </xf>
    <xf numFmtId="165" fontId="9" fillId="2" borderId="54" xfId="0" applyNumberFormat="1" applyFont="1" applyFill="1" applyBorder="1" applyAlignment="1">
      <alignment horizontal="center" vertical="center"/>
    </xf>
    <xf numFmtId="165" fontId="9" fillId="2" borderId="50" xfId="0" applyNumberFormat="1" applyFont="1" applyFill="1" applyBorder="1" applyAlignment="1">
      <alignment horizontal="center" vertical="center"/>
    </xf>
    <xf numFmtId="165" fontId="4" fillId="4" borderId="57" xfId="0" applyNumberFormat="1" applyFont="1" applyFill="1" applyBorder="1" applyAlignment="1">
      <alignment horizontal="center" vertical="center"/>
    </xf>
    <xf numFmtId="0" fontId="2" fillId="0" borderId="144" xfId="0" applyFont="1" applyBorder="1" applyAlignment="1">
      <alignment horizontal="center" vertic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0" fillId="0" borderId="62" xfId="0" applyBorder="1"/>
    <xf numFmtId="0" fontId="0" fillId="0" borderId="0" xfId="0" applyBorder="1" applyAlignment="1">
      <alignment vertic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167" fontId="0" fillId="0" borderId="95" xfId="0" applyNumberFormat="1" applyFill="1" applyBorder="1"/>
    <xf numFmtId="167" fontId="0" fillId="0" borderId="95" xfId="0" applyNumberFormat="1" applyFill="1" applyBorder="1" applyAlignment="1">
      <alignment horizontal="right"/>
    </xf>
    <xf numFmtId="170" fontId="4" fillId="6" borderId="42" xfId="0" applyNumberFormat="1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0" fillId="0" borderId="0" xfId="0" applyFill="1" applyBorder="1"/>
    <xf numFmtId="167" fontId="0" fillId="0" borderId="0" xfId="0" applyNumberFormat="1" applyFill="1" applyBorder="1"/>
    <xf numFmtId="167" fontId="0" fillId="0" borderId="0" xfId="0" applyNumberFormat="1" applyFill="1" applyBorder="1" applyAlignment="1">
      <alignment horizontal="right"/>
    </xf>
    <xf numFmtId="0" fontId="0" fillId="0" borderId="96" xfId="0" applyBorder="1"/>
    <xf numFmtId="167" fontId="0" fillId="22" borderId="2" xfId="0" applyNumberFormat="1" applyFill="1" applyBorder="1"/>
    <xf numFmtId="167" fontId="0" fillId="22" borderId="148" xfId="0" applyNumberFormat="1" applyFill="1" applyBorder="1" applyAlignment="1">
      <alignment horizontal="right"/>
    </xf>
    <xf numFmtId="0" fontId="0" fillId="0" borderId="0" xfId="0" applyFill="1"/>
    <xf numFmtId="0" fontId="0" fillId="0" borderId="95" xfId="0" applyFill="1" applyBorder="1"/>
    <xf numFmtId="165" fontId="0" fillId="0" borderId="70" xfId="0" applyNumberFormat="1" applyBorder="1" applyAlignment="1">
      <alignment horizontal="center"/>
    </xf>
    <xf numFmtId="165" fontId="0" fillId="0" borderId="73" xfId="0" applyNumberFormat="1" applyBorder="1" applyAlignment="1">
      <alignment horizontal="center"/>
    </xf>
    <xf numFmtId="165" fontId="0" fillId="0" borderId="77" xfId="0" applyNumberFormat="1" applyBorder="1" applyAlignment="1">
      <alignment horizontal="center"/>
    </xf>
    <xf numFmtId="165" fontId="4" fillId="2" borderId="82" xfId="0" applyNumberFormat="1" applyFont="1" applyFill="1" applyBorder="1" applyAlignment="1">
      <alignment horizontal="center"/>
    </xf>
    <xf numFmtId="0" fontId="4" fillId="2" borderId="14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/>
    <xf numFmtId="0" fontId="18" fillId="0" borderId="0" xfId="0" applyFont="1"/>
    <xf numFmtId="165" fontId="0" fillId="24" borderId="141" xfId="0" applyNumberFormat="1" applyFill="1" applyBorder="1" applyAlignment="1">
      <alignment horizontal="center"/>
    </xf>
    <xf numFmtId="0" fontId="0" fillId="0" borderId="154" xfId="0" applyBorder="1" applyAlignment="1">
      <alignment horizontal="center" vertical="center" wrapText="1"/>
    </xf>
    <xf numFmtId="165" fontId="0" fillId="0" borderId="155" xfId="0" applyNumberFormat="1" applyBorder="1" applyAlignment="1">
      <alignment horizontal="center"/>
    </xf>
    <xf numFmtId="165" fontId="0" fillId="0" borderId="156" xfId="0" applyNumberFormat="1" applyBorder="1" applyAlignment="1">
      <alignment horizontal="center"/>
    </xf>
    <xf numFmtId="165" fontId="0" fillId="0" borderId="157" xfId="0" applyNumberFormat="1" applyBorder="1" applyAlignment="1">
      <alignment horizontal="center"/>
    </xf>
    <xf numFmtId="0" fontId="0" fillId="0" borderId="131" xfId="0" applyBorder="1" applyAlignment="1">
      <alignment horizontal="center" vertical="center" wrapText="1"/>
    </xf>
    <xf numFmtId="165" fontId="0" fillId="0" borderId="75" xfId="0" applyNumberFormat="1" applyBorder="1" applyAlignment="1">
      <alignment horizontal="center"/>
    </xf>
    <xf numFmtId="165" fontId="0" fillId="0" borderId="74" xfId="0" applyNumberFormat="1" applyBorder="1" applyAlignment="1">
      <alignment horizontal="center"/>
    </xf>
    <xf numFmtId="165" fontId="0" fillId="0" borderId="159" xfId="0" applyNumberFormat="1" applyBorder="1" applyAlignment="1">
      <alignment horizontal="center"/>
    </xf>
    <xf numFmtId="0" fontId="0" fillId="0" borderId="148" xfId="0" applyBorder="1" applyAlignment="1">
      <alignment horizontal="center" vertical="center" wrapText="1"/>
    </xf>
    <xf numFmtId="165" fontId="0" fillId="0" borderId="79" xfId="0" applyNumberFormat="1" applyBorder="1" applyAlignment="1">
      <alignment horizontal="center"/>
    </xf>
    <xf numFmtId="0" fontId="0" fillId="27" borderId="154" xfId="0" applyFill="1" applyBorder="1" applyAlignment="1">
      <alignment horizontal="center" vertical="center" wrapText="1"/>
    </xf>
    <xf numFmtId="165" fontId="0" fillId="27" borderId="71" xfId="0" applyNumberFormat="1" applyFill="1" applyBorder="1" applyAlignment="1">
      <alignment horizontal="center"/>
    </xf>
    <xf numFmtId="165" fontId="0" fillId="27" borderId="160" xfId="0" applyNumberFormat="1" applyFill="1" applyBorder="1" applyAlignment="1">
      <alignment horizontal="center"/>
    </xf>
    <xf numFmtId="0" fontId="0" fillId="27" borderId="148" xfId="0" applyFill="1" applyBorder="1" applyAlignment="1">
      <alignment horizontal="center" vertical="center" wrapText="1"/>
    </xf>
    <xf numFmtId="165" fontId="0" fillId="27" borderId="78" xfId="0" applyNumberFormat="1" applyFill="1" applyBorder="1" applyAlignment="1">
      <alignment horizontal="center"/>
    </xf>
    <xf numFmtId="165" fontId="0" fillId="27" borderId="161" xfId="0" applyNumberFormat="1" applyFill="1" applyBorder="1" applyAlignment="1">
      <alignment horizontal="center"/>
    </xf>
    <xf numFmtId="0" fontId="0" fillId="27" borderId="81" xfId="0" applyFill="1" applyBorder="1" applyAlignment="1">
      <alignment horizontal="center" vertical="center" wrapText="1"/>
    </xf>
    <xf numFmtId="3" fontId="0" fillId="0" borderId="77" xfId="0" applyNumberFormat="1" applyBorder="1" applyAlignment="1">
      <alignment horizontal="center"/>
    </xf>
    <xf numFmtId="3" fontId="0" fillId="0" borderId="79" xfId="0" applyNumberFormat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0" fillId="0" borderId="135" xfId="0" applyNumberFormat="1" applyBorder="1" applyAlignment="1">
      <alignment horizontal="center"/>
    </xf>
    <xf numFmtId="165" fontId="0" fillId="24" borderId="165" xfId="0" applyNumberFormat="1" applyFill="1" applyBorder="1" applyAlignment="1">
      <alignment horizontal="center"/>
    </xf>
    <xf numFmtId="165" fontId="0" fillId="24" borderId="166" xfId="0" applyNumberFormat="1" applyFill="1" applyBorder="1" applyAlignment="1">
      <alignment horizontal="center"/>
    </xf>
    <xf numFmtId="165" fontId="0" fillId="24" borderId="167" xfId="0" applyNumberFormat="1" applyFill="1" applyBorder="1" applyAlignment="1">
      <alignment horizontal="center"/>
    </xf>
    <xf numFmtId="165" fontId="0" fillId="24" borderId="37" xfId="0" applyNumberFormat="1" applyFill="1" applyBorder="1" applyAlignment="1">
      <alignment horizontal="center"/>
    </xf>
    <xf numFmtId="165" fontId="4" fillId="0" borderId="0" xfId="0" applyNumberFormat="1" applyFont="1" applyBorder="1"/>
    <xf numFmtId="2" fontId="0" fillId="0" borderId="22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/>
    </xf>
    <xf numFmtId="2" fontId="0" fillId="0" borderId="23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 vertical="center"/>
    </xf>
    <xf numFmtId="2" fontId="0" fillId="0" borderId="43" xfId="0" applyNumberFormat="1" applyBorder="1" applyAlignment="1" applyProtection="1">
      <alignment horizontal="center"/>
    </xf>
    <xf numFmtId="2" fontId="0" fillId="0" borderId="43" xfId="0" applyNumberForma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2" fontId="0" fillId="0" borderId="40" xfId="0" applyNumberFormat="1" applyBorder="1" applyAlignment="1" applyProtection="1">
      <alignment horizontal="center"/>
    </xf>
    <xf numFmtId="165" fontId="0" fillId="0" borderId="0" xfId="0" applyNumberFormat="1" applyBorder="1"/>
    <xf numFmtId="165" fontId="0" fillId="0" borderId="0" xfId="0" applyNumberFormat="1" applyFill="1" applyBorder="1" applyAlignment="1">
      <alignment horizontal="center"/>
    </xf>
    <xf numFmtId="2" fontId="21" fillId="0" borderId="22" xfId="0" applyNumberFormat="1" applyFont="1" applyFill="1" applyBorder="1" applyAlignment="1" applyProtection="1">
      <alignment horizontal="center"/>
    </xf>
    <xf numFmtId="2" fontId="21" fillId="0" borderId="4" xfId="0" applyNumberFormat="1" applyFont="1" applyFill="1" applyBorder="1" applyAlignment="1" applyProtection="1">
      <alignment horizontal="center"/>
    </xf>
    <xf numFmtId="2" fontId="21" fillId="0" borderId="23" xfId="0" applyNumberFormat="1" applyFont="1" applyFill="1" applyBorder="1" applyAlignment="1" applyProtection="1">
      <alignment horizontal="center"/>
    </xf>
    <xf numFmtId="2" fontId="21" fillId="0" borderId="4" xfId="0" applyNumberFormat="1" applyFont="1" applyFill="1" applyBorder="1" applyAlignment="1" applyProtection="1">
      <alignment horizontal="center" vertical="center"/>
    </xf>
    <xf numFmtId="2" fontId="21" fillId="0" borderId="43" xfId="0" applyNumberFormat="1" applyFont="1" applyFill="1" applyBorder="1" applyAlignment="1" applyProtection="1">
      <alignment horizontal="center"/>
    </xf>
    <xf numFmtId="2" fontId="21" fillId="0" borderId="43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/>
    </xf>
    <xf numFmtId="2" fontId="0" fillId="0" borderId="158" xfId="0" applyNumberFormat="1" applyFill="1" applyBorder="1" applyAlignment="1" applyProtection="1">
      <alignment horizontal="center" vertical="center"/>
      <protection locked="0"/>
    </xf>
    <xf numFmtId="2" fontId="0" fillId="0" borderId="168" xfId="0" applyNumberFormat="1" applyFill="1" applyBorder="1" applyAlignment="1" applyProtection="1">
      <alignment horizontal="center" vertical="center"/>
      <protection locked="0"/>
    </xf>
    <xf numFmtId="2" fontId="0" fillId="0" borderId="168" xfId="0" applyNumberFormat="1" applyBorder="1" applyAlignment="1" applyProtection="1">
      <alignment horizontal="center" vertical="center"/>
      <protection locked="0"/>
    </xf>
    <xf numFmtId="2" fontId="0" fillId="0" borderId="169" xfId="0" applyNumberFormat="1" applyBorder="1" applyAlignment="1" applyProtection="1">
      <alignment horizontal="center" vertical="center"/>
      <protection locked="0"/>
    </xf>
    <xf numFmtId="2" fontId="0" fillId="0" borderId="158" xfId="0" applyNumberFormat="1" applyBorder="1" applyAlignment="1" applyProtection="1">
      <alignment horizontal="center" vertical="center"/>
      <protection locked="0"/>
    </xf>
    <xf numFmtId="2" fontId="0" fillId="0" borderId="151" xfId="0" applyNumberFormat="1" applyBorder="1" applyAlignment="1" applyProtection="1">
      <alignment horizontal="center" vertical="center"/>
      <protection locked="0"/>
    </xf>
    <xf numFmtId="2" fontId="0" fillId="0" borderId="170" xfId="0" applyNumberFormat="1" applyBorder="1" applyAlignment="1" applyProtection="1">
      <alignment horizontal="center" vertical="center"/>
      <protection locked="0"/>
    </xf>
    <xf numFmtId="2" fontId="0" fillId="0" borderId="45" xfId="0" applyNumberFormat="1" applyBorder="1" applyAlignment="1" applyProtection="1">
      <alignment horizontal="center" vertical="center"/>
      <protection locked="0"/>
    </xf>
    <xf numFmtId="2" fontId="0" fillId="0" borderId="130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Fill="1" applyBorder="1" applyAlignment="1" applyProtection="1">
      <alignment horizontal="center" vertical="center"/>
      <protection locked="0"/>
    </xf>
    <xf numFmtId="2" fontId="0" fillId="0" borderId="37" xfId="0" applyNumberFormat="1" applyBorder="1" applyAlignment="1" applyProtection="1">
      <alignment horizontal="center" vertical="center"/>
      <protection locked="0"/>
    </xf>
    <xf numFmtId="2" fontId="0" fillId="0" borderId="169" xfId="0" applyNumberFormat="1" applyFill="1" applyBorder="1" applyAlignment="1" applyProtection="1">
      <alignment horizontal="center" vertical="center"/>
      <protection locked="0"/>
    </xf>
    <xf numFmtId="2" fontId="0" fillId="0" borderId="151" xfId="0" applyNumberFormat="1" applyFill="1" applyBorder="1" applyAlignment="1" applyProtection="1">
      <alignment horizontal="center" vertical="center"/>
      <protection locked="0"/>
    </xf>
    <xf numFmtId="2" fontId="0" fillId="0" borderId="170" xfId="0" applyNumberFormat="1" applyFill="1" applyBorder="1" applyAlignment="1" applyProtection="1">
      <alignment horizontal="center" vertical="center"/>
      <protection locked="0"/>
    </xf>
    <xf numFmtId="2" fontId="0" fillId="0" borderId="12" xfId="0" applyNumberFormat="1" applyFill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0" borderId="45" xfId="0" applyFill="1" applyBorder="1" applyAlignment="1">
      <alignment horizontal="center" vertical="center"/>
    </xf>
    <xf numFmtId="0" fontId="0" fillId="0" borderId="18" xfId="0" applyBorder="1"/>
    <xf numFmtId="0" fontId="0" fillId="0" borderId="42" xfId="0" applyBorder="1"/>
    <xf numFmtId="0" fontId="9" fillId="2" borderId="54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 vertical="center"/>
    </xf>
    <xf numFmtId="14" fontId="0" fillId="0" borderId="0" xfId="0" applyNumberFormat="1"/>
    <xf numFmtId="164" fontId="4" fillId="14" borderId="94" xfId="0" applyNumberFormat="1" applyFont="1" applyFill="1" applyBorder="1" applyAlignment="1">
      <alignment horizontal="center" vertical="center" textRotation="90"/>
    </xf>
    <xf numFmtId="4" fontId="0" fillId="27" borderId="163" xfId="0" applyNumberFormat="1" applyFill="1" applyBorder="1" applyAlignment="1">
      <alignment horizontal="center"/>
    </xf>
    <xf numFmtId="4" fontId="0" fillId="27" borderId="164" xfId="0" applyNumberForma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2" fontId="21" fillId="0" borderId="22" xfId="0" applyNumberFormat="1" applyFont="1" applyFill="1" applyBorder="1" applyAlignment="1" applyProtection="1">
      <alignment horizontal="center"/>
      <protection locked="0"/>
    </xf>
    <xf numFmtId="2" fontId="21" fillId="0" borderId="4" xfId="0" applyNumberFormat="1" applyFont="1" applyFill="1" applyBorder="1" applyAlignment="1" applyProtection="1">
      <alignment horizontal="center"/>
      <protection locked="0"/>
    </xf>
    <xf numFmtId="2" fontId="21" fillId="0" borderId="23" xfId="0" applyNumberFormat="1" applyFont="1" applyFill="1" applyBorder="1" applyAlignment="1" applyProtection="1">
      <alignment horizontal="center"/>
      <protection locked="0"/>
    </xf>
    <xf numFmtId="2" fontId="21" fillId="0" borderId="4" xfId="0" applyNumberFormat="1" applyFont="1" applyFill="1" applyBorder="1" applyAlignment="1" applyProtection="1">
      <alignment horizontal="center" vertical="center"/>
      <protection locked="0"/>
    </xf>
    <xf numFmtId="2" fontId="21" fillId="0" borderId="43" xfId="0" applyNumberFormat="1" applyFont="1" applyFill="1" applyBorder="1" applyAlignment="1" applyProtection="1">
      <alignment horizontal="center"/>
      <protection locked="0"/>
    </xf>
    <xf numFmtId="2" fontId="21" fillId="0" borderId="4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Protection="1">
      <protection locked="0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Alignment="1">
      <alignment horizontal="right"/>
    </xf>
    <xf numFmtId="14" fontId="4" fillId="5" borderId="11" xfId="0" applyNumberFormat="1" applyFont="1" applyFill="1" applyBorder="1" applyAlignment="1">
      <alignment horizontal="right"/>
    </xf>
    <xf numFmtId="14" fontId="4" fillId="6" borderId="42" xfId="0" applyNumberFormat="1" applyFont="1" applyFill="1" applyBorder="1" applyAlignment="1">
      <alignment horizontal="right"/>
    </xf>
    <xf numFmtId="0" fontId="4" fillId="4" borderId="44" xfId="0" applyFont="1" applyFill="1" applyBorder="1" applyAlignment="1">
      <alignment horizontal="right"/>
    </xf>
    <xf numFmtId="0" fontId="9" fillId="26" borderId="46" xfId="0" applyFont="1" applyFill="1" applyBorder="1" applyAlignment="1">
      <alignment horizontal="right" vertical="center" wrapText="1"/>
    </xf>
    <xf numFmtId="0" fontId="9" fillId="26" borderId="41" xfId="0" applyFont="1" applyFill="1" applyBorder="1" applyAlignment="1">
      <alignment horizontal="right" vertical="center" wrapText="1"/>
    </xf>
    <xf numFmtId="0" fontId="9" fillId="26" borderId="51" xfId="0" applyFont="1" applyFill="1" applyBorder="1" applyAlignment="1">
      <alignment horizontal="right" vertical="center" wrapText="1"/>
    </xf>
    <xf numFmtId="0" fontId="9" fillId="2" borderId="53" xfId="0" applyFont="1" applyFill="1" applyBorder="1" applyAlignment="1">
      <alignment horizontal="right" vertical="center" wrapText="1"/>
    </xf>
    <xf numFmtId="0" fontId="9" fillId="2" borderId="49" xfId="0" applyFont="1" applyFill="1" applyBorder="1" applyAlignment="1">
      <alignment horizontal="right" vertical="center" wrapText="1"/>
    </xf>
    <xf numFmtId="0" fontId="0" fillId="0" borderId="62" xfId="0" applyBorder="1" applyAlignment="1">
      <alignment horizontal="right"/>
    </xf>
    <xf numFmtId="0" fontId="0" fillId="0" borderId="0" xfId="0" applyAlignment="1">
      <alignment horizontal="right"/>
    </xf>
    <xf numFmtId="2" fontId="0" fillId="0" borderId="18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2" xfId="0" applyBorder="1" applyAlignment="1">
      <alignment horizontal="center"/>
    </xf>
    <xf numFmtId="0" fontId="16" fillId="0" borderId="153" xfId="0" applyFont="1" applyBorder="1" applyAlignment="1">
      <alignment horizontal="center" vertical="center" textRotation="75"/>
    </xf>
    <xf numFmtId="0" fontId="16" fillId="0" borderId="158" xfId="0" applyFont="1" applyBorder="1" applyAlignment="1">
      <alignment horizontal="center" vertical="center" textRotation="75"/>
    </xf>
    <xf numFmtId="0" fontId="16" fillId="0" borderId="62" xfId="0" applyFont="1" applyBorder="1" applyAlignment="1">
      <alignment horizontal="center" vertical="center" textRotation="75"/>
    </xf>
    <xf numFmtId="0" fontId="0" fillId="0" borderId="162" xfId="0" applyBorder="1" applyAlignment="1"/>
    <xf numFmtId="0" fontId="16" fillId="0" borderId="150" xfId="0" applyFont="1" applyBorder="1" applyAlignment="1">
      <alignment horizontal="center" vertical="center" textRotation="75"/>
    </xf>
    <xf numFmtId="0" fontId="16" fillId="0" borderId="151" xfId="0" applyFont="1" applyBorder="1" applyAlignment="1">
      <alignment horizontal="center" vertical="center" textRotation="75"/>
    </xf>
    <xf numFmtId="0" fontId="0" fillId="0" borderId="152" xfId="0" applyBorder="1" applyAlignment="1"/>
    <xf numFmtId="0" fontId="16" fillId="0" borderId="6" xfId="0" applyFont="1" applyBorder="1" applyAlignment="1">
      <alignment horizontal="center" vertical="center" textRotation="75"/>
    </xf>
    <xf numFmtId="0" fontId="16" fillId="0" borderId="31" xfId="0" applyFont="1" applyBorder="1" applyAlignment="1">
      <alignment horizontal="center" vertical="center" textRotation="75"/>
    </xf>
    <xf numFmtId="0" fontId="16" fillId="0" borderId="12" xfId="0" applyFont="1" applyBorder="1" applyAlignment="1">
      <alignment horizontal="center" vertical="center" textRotation="75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0" fontId="4" fillId="12" borderId="63" xfId="0" applyFont="1" applyFill="1" applyBorder="1" applyAlignment="1">
      <alignment horizontal="center" vertical="center"/>
    </xf>
    <xf numFmtId="0" fontId="4" fillId="12" borderId="74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66" xfId="0" applyFont="1" applyBorder="1" applyAlignment="1">
      <alignment horizontal="left" vertical="center"/>
    </xf>
    <xf numFmtId="0" fontId="14" fillId="0" borderId="92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14" borderId="86" xfId="0" applyFont="1" applyFill="1" applyBorder="1" applyAlignment="1">
      <alignment horizontal="center" vertical="center"/>
    </xf>
    <xf numFmtId="0" fontId="15" fillId="14" borderId="87" xfId="0" applyFont="1" applyFill="1" applyBorder="1" applyAlignment="1">
      <alignment horizontal="center" vertical="center"/>
    </xf>
    <xf numFmtId="0" fontId="15" fillId="14" borderId="102" xfId="0" applyFont="1" applyFill="1" applyBorder="1" applyAlignment="1">
      <alignment horizontal="center" vertical="center"/>
    </xf>
    <xf numFmtId="0" fontId="15" fillId="9" borderId="86" xfId="0" applyFont="1" applyFill="1" applyBorder="1" applyAlignment="1">
      <alignment horizontal="center" vertical="center"/>
    </xf>
    <xf numFmtId="0" fontId="15" fillId="9" borderId="87" xfId="0" applyFont="1" applyFill="1" applyBorder="1" applyAlignment="1">
      <alignment horizontal="center" vertical="center"/>
    </xf>
    <xf numFmtId="0" fontId="15" fillId="9" borderId="88" xfId="0" applyFont="1" applyFill="1" applyBorder="1" applyAlignment="1">
      <alignment horizontal="center" vertical="center"/>
    </xf>
    <xf numFmtId="0" fontId="15" fillId="11" borderId="86" xfId="0" applyFont="1" applyFill="1" applyBorder="1" applyAlignment="1">
      <alignment horizontal="center" vertical="center"/>
    </xf>
    <xf numFmtId="0" fontId="15" fillId="11" borderId="87" xfId="0" applyFont="1" applyFill="1" applyBorder="1" applyAlignment="1">
      <alignment horizontal="center" vertical="center"/>
    </xf>
    <xf numFmtId="0" fontId="15" fillId="11" borderId="88" xfId="0" applyFont="1" applyFill="1" applyBorder="1" applyAlignment="1">
      <alignment horizontal="center" vertical="center"/>
    </xf>
    <xf numFmtId="0" fontId="15" fillId="2" borderId="86" xfId="0" applyFont="1" applyFill="1" applyBorder="1" applyAlignment="1">
      <alignment horizontal="center" vertical="center"/>
    </xf>
    <xf numFmtId="0" fontId="15" fillId="2" borderId="87" xfId="0" applyFont="1" applyFill="1" applyBorder="1" applyAlignment="1">
      <alignment horizontal="center" vertical="center"/>
    </xf>
    <xf numFmtId="0" fontId="15" fillId="2" borderId="88" xfId="0" applyFont="1" applyFill="1" applyBorder="1" applyAlignment="1">
      <alignment horizontal="center" vertical="center"/>
    </xf>
    <xf numFmtId="0" fontId="15" fillId="8" borderId="67" xfId="0" applyFont="1" applyFill="1" applyBorder="1" applyAlignment="1">
      <alignment horizontal="center" vertical="center"/>
    </xf>
    <xf numFmtId="0" fontId="15" fillId="8" borderId="60" xfId="0" applyFont="1" applyFill="1" applyBorder="1" applyAlignment="1">
      <alignment horizontal="center" vertical="center"/>
    </xf>
    <xf numFmtId="0" fontId="15" fillId="8" borderId="68" xfId="0" applyFont="1" applyFill="1" applyBorder="1" applyAlignment="1">
      <alignment horizontal="center" vertical="center"/>
    </xf>
    <xf numFmtId="0" fontId="15" fillId="10" borderId="86" xfId="0" applyFont="1" applyFill="1" applyBorder="1" applyAlignment="1">
      <alignment horizontal="center" vertical="center" wrapText="1"/>
    </xf>
    <xf numFmtId="0" fontId="15" fillId="10" borderId="88" xfId="0" applyFont="1" applyFill="1" applyBorder="1" applyAlignment="1">
      <alignment horizontal="center" vertical="center" wrapText="1"/>
    </xf>
    <xf numFmtId="0" fontId="15" fillId="14" borderId="86" xfId="0" applyFont="1" applyFill="1" applyBorder="1" applyAlignment="1">
      <alignment horizontal="center" vertical="center" wrapText="1"/>
    </xf>
    <xf numFmtId="0" fontId="15" fillId="14" borderId="87" xfId="0" applyFont="1" applyFill="1" applyBorder="1" applyAlignment="1">
      <alignment horizontal="center" vertical="center" wrapText="1"/>
    </xf>
    <xf numFmtId="0" fontId="15" fillId="14" borderId="88" xfId="0" applyFont="1" applyFill="1" applyBorder="1" applyAlignment="1">
      <alignment horizontal="center" vertical="center" wrapText="1"/>
    </xf>
    <xf numFmtId="0" fontId="15" fillId="7" borderId="94" xfId="0" applyFont="1" applyFill="1" applyBorder="1" applyAlignment="1">
      <alignment horizontal="center" vertical="center" wrapText="1"/>
    </xf>
    <xf numFmtId="0" fontId="15" fillId="7" borderId="95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15" fillId="7" borderId="96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100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103" xfId="0" applyFont="1" applyFill="1" applyBorder="1" applyAlignment="1">
      <alignment horizontal="center" vertical="center" wrapText="1"/>
    </xf>
    <xf numFmtId="0" fontId="4" fillId="19" borderId="107" xfId="0" applyFont="1" applyFill="1" applyBorder="1" applyAlignment="1">
      <alignment horizontal="center" vertical="center" wrapText="1"/>
    </xf>
    <xf numFmtId="0" fontId="4" fillId="19" borderId="32" xfId="0" applyFont="1" applyFill="1" applyBorder="1" applyAlignment="1">
      <alignment horizontal="center" vertical="center" wrapText="1"/>
    </xf>
    <xf numFmtId="0" fontId="4" fillId="20" borderId="107" xfId="0" applyFont="1" applyFill="1" applyBorder="1" applyAlignment="1">
      <alignment horizontal="center" vertical="center" wrapText="1"/>
    </xf>
    <xf numFmtId="0" fontId="4" fillId="20" borderId="32" xfId="0" applyFont="1" applyFill="1" applyBorder="1" applyAlignment="1">
      <alignment horizontal="center" vertical="center" wrapText="1"/>
    </xf>
    <xf numFmtId="1" fontId="14" fillId="0" borderId="86" xfId="0" applyNumberFormat="1" applyFont="1" applyBorder="1" applyAlignment="1">
      <alignment horizontal="center" vertical="center"/>
    </xf>
    <xf numFmtId="1" fontId="14" fillId="0" borderId="88" xfId="0" applyNumberFormat="1" applyFont="1" applyBorder="1" applyAlignment="1">
      <alignment horizontal="center" vertical="center"/>
    </xf>
    <xf numFmtId="0" fontId="14" fillId="0" borderId="94" xfId="0" applyFont="1" applyBorder="1" applyAlignment="1">
      <alignment horizontal="left" vertical="center"/>
    </xf>
    <xf numFmtId="0" fontId="14" fillId="0" borderId="95" xfId="0" applyFont="1" applyBorder="1" applyAlignment="1">
      <alignment horizontal="left" vertical="center"/>
    </xf>
    <xf numFmtId="0" fontId="14" fillId="0" borderId="87" xfId="0" applyFont="1" applyBorder="1" applyAlignment="1">
      <alignment horizontal="left" vertical="center"/>
    </xf>
    <xf numFmtId="0" fontId="14" fillId="0" borderId="88" xfId="0" applyFont="1" applyBorder="1" applyAlignment="1">
      <alignment horizontal="left" vertical="center"/>
    </xf>
    <xf numFmtId="0" fontId="0" fillId="0" borderId="96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9" borderId="97" xfId="0" applyFont="1" applyFill="1" applyBorder="1" applyAlignment="1">
      <alignment horizontal="center" vertical="center"/>
    </xf>
    <xf numFmtId="0" fontId="15" fillId="9" borderId="95" xfId="0" applyFont="1" applyFill="1" applyBorder="1" applyAlignment="1">
      <alignment horizontal="center" vertical="center"/>
    </xf>
    <xf numFmtId="0" fontId="15" fillId="9" borderId="98" xfId="0" applyFont="1" applyFill="1" applyBorder="1" applyAlignment="1">
      <alignment horizontal="center" vertical="center"/>
    </xf>
    <xf numFmtId="0" fontId="15" fillId="11" borderId="99" xfId="0" applyFont="1" applyFill="1" applyBorder="1" applyAlignment="1">
      <alignment horizontal="center" vertical="center"/>
    </xf>
    <xf numFmtId="0" fontId="15" fillId="11" borderId="95" xfId="0" applyFont="1" applyFill="1" applyBorder="1" applyAlignment="1">
      <alignment horizontal="center" vertical="center"/>
    </xf>
    <xf numFmtId="0" fontId="15" fillId="11" borderId="98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 wrapText="1"/>
    </xf>
    <xf numFmtId="0" fontId="15" fillId="10" borderId="10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103" xfId="0" applyFont="1" applyFill="1" applyBorder="1" applyAlignment="1">
      <alignment horizontal="center" vertical="center" wrapText="1"/>
    </xf>
    <xf numFmtId="0" fontId="15" fillId="14" borderId="94" xfId="0" applyFont="1" applyFill="1" applyBorder="1" applyAlignment="1">
      <alignment horizontal="center" vertical="center" wrapText="1"/>
    </xf>
    <xf numFmtId="0" fontId="15" fillId="14" borderId="95" xfId="0" applyFont="1" applyFill="1" applyBorder="1" applyAlignment="1">
      <alignment horizontal="center" vertical="center" wrapText="1"/>
    </xf>
    <xf numFmtId="0" fontId="15" fillId="14" borderId="101" xfId="0" applyFont="1" applyFill="1" applyBorder="1" applyAlignment="1">
      <alignment horizontal="center" vertical="center" wrapText="1"/>
    </xf>
    <xf numFmtId="0" fontId="15" fillId="14" borderId="104" xfId="0" applyFont="1" applyFill="1" applyBorder="1" applyAlignment="1">
      <alignment horizontal="center" vertical="center" wrapText="1"/>
    </xf>
    <xf numFmtId="0" fontId="15" fillId="14" borderId="5" xfId="0" applyFont="1" applyFill="1" applyBorder="1" applyAlignment="1">
      <alignment horizontal="center" vertical="center" wrapText="1"/>
    </xf>
    <xf numFmtId="0" fontId="15" fillId="14" borderId="103" xfId="0" applyFont="1" applyFill="1" applyBorder="1" applyAlignment="1">
      <alignment horizontal="center" vertical="center" wrapText="1"/>
    </xf>
    <xf numFmtId="0" fontId="15" fillId="8" borderId="86" xfId="0" applyFont="1" applyFill="1" applyBorder="1" applyAlignment="1">
      <alignment horizontal="center" vertical="center"/>
    </xf>
    <xf numFmtId="0" fontId="15" fillId="8" borderId="87" xfId="0" applyFont="1" applyFill="1" applyBorder="1" applyAlignment="1">
      <alignment horizontal="center" vertical="center"/>
    </xf>
    <xf numFmtId="0" fontId="15" fillId="8" borderId="102" xfId="0" applyFont="1" applyFill="1" applyBorder="1" applyAlignment="1">
      <alignment horizontal="center" vertical="center"/>
    </xf>
    <xf numFmtId="0" fontId="4" fillId="13" borderId="116" xfId="0" applyFont="1" applyFill="1" applyBorder="1" applyAlignment="1">
      <alignment horizontal="center" vertical="center"/>
    </xf>
    <xf numFmtId="0" fontId="4" fillId="13" borderId="134" xfId="0" applyFont="1" applyFill="1" applyBorder="1" applyAlignment="1">
      <alignment horizontal="center" vertical="center"/>
    </xf>
    <xf numFmtId="1" fontId="14" fillId="0" borderId="87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166" fontId="0" fillId="10" borderId="97" xfId="0" applyNumberFormat="1" applyFill="1" applyBorder="1" applyAlignment="1">
      <alignment horizontal="center"/>
    </xf>
    <xf numFmtId="0" fontId="0" fillId="0" borderId="87" xfId="0" applyBorder="1"/>
    <xf numFmtId="166" fontId="0" fillId="10" borderId="86" xfId="0" applyNumberFormat="1" applyFill="1" applyBorder="1" applyAlignment="1">
      <alignment horizontal="center"/>
    </xf>
    <xf numFmtId="166" fontId="0" fillId="10" borderId="87" xfId="0" applyNumberFormat="1" applyFill="1" applyBorder="1" applyAlignment="1">
      <alignment horizontal="center"/>
    </xf>
    <xf numFmtId="0" fontId="15" fillId="11" borderId="97" xfId="0" applyFont="1" applyFill="1" applyBorder="1" applyAlignment="1">
      <alignment horizontal="center" vertical="center"/>
    </xf>
    <xf numFmtId="0" fontId="4" fillId="12" borderId="105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2" borderId="107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4" fillId="18" borderId="107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166" fontId="0" fillId="10" borderId="88" xfId="0" applyNumberFormat="1" applyFill="1" applyBorder="1" applyAlignment="1">
      <alignment horizontal="center"/>
    </xf>
    <xf numFmtId="166" fontId="0" fillId="21" borderId="86" xfId="0" applyNumberFormat="1" applyFill="1" applyBorder="1" applyAlignment="1">
      <alignment horizontal="center"/>
    </xf>
    <xf numFmtId="166" fontId="0" fillId="21" borderId="87" xfId="0" applyNumberFormat="1" applyFill="1" applyBorder="1" applyAlignment="1">
      <alignment horizontal="center"/>
    </xf>
    <xf numFmtId="0" fontId="0" fillId="0" borderId="60" xfId="0" applyBorder="1" applyAlignment="1">
      <alignment horizontal="center"/>
    </xf>
    <xf numFmtId="1" fontId="16" fillId="22" borderId="105" xfId="0" applyNumberFormat="1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22" borderId="125" xfId="0" applyFont="1" applyFill="1" applyBorder="1" applyAlignment="1">
      <alignment horizontal="center"/>
    </xf>
    <xf numFmtId="0" fontId="16" fillId="24" borderId="127" xfId="0" applyFont="1" applyFill="1" applyBorder="1" applyAlignment="1">
      <alignment horizontal="left" vertical="center"/>
    </xf>
    <xf numFmtId="0" fontId="16" fillId="24" borderId="128" xfId="0" applyFont="1" applyFill="1" applyBorder="1" applyAlignment="1">
      <alignment horizontal="left" vertical="center"/>
    </xf>
    <xf numFmtId="0" fontId="0" fillId="24" borderId="36" xfId="0" applyFill="1" applyBorder="1" applyAlignment="1">
      <alignment horizontal="center"/>
    </xf>
    <xf numFmtId="0" fontId="0" fillId="24" borderId="127" xfId="0" applyFill="1" applyBorder="1" applyAlignment="1">
      <alignment horizontal="center"/>
    </xf>
    <xf numFmtId="0" fontId="0" fillId="24" borderId="128" xfId="0" applyFill="1" applyBorder="1" applyAlignment="1">
      <alignment horizontal="center"/>
    </xf>
    <xf numFmtId="0" fontId="4" fillId="12" borderId="37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3" borderId="117" xfId="0" applyFont="1" applyFill="1" applyBorder="1" applyAlignment="1">
      <alignment horizontal="center" vertical="center"/>
    </xf>
    <xf numFmtId="0" fontId="4" fillId="0" borderId="95" xfId="0" applyFont="1" applyFill="1" applyBorder="1" applyAlignment="1">
      <alignment horizontal="center" vertical="center"/>
    </xf>
    <xf numFmtId="0" fontId="4" fillId="0" borderId="98" xfId="0" applyFont="1" applyFill="1" applyBorder="1" applyAlignment="1">
      <alignment horizontal="center" vertical="center"/>
    </xf>
    <xf numFmtId="166" fontId="0" fillId="10" borderId="121" xfId="0" applyNumberFormat="1" applyFill="1" applyBorder="1" applyAlignment="1">
      <alignment horizontal="center"/>
    </xf>
    <xf numFmtId="0" fontId="0" fillId="0" borderId="122" xfId="0" applyBorder="1"/>
    <xf numFmtId="166" fontId="0" fillId="10" borderId="83" xfId="0" applyNumberFormat="1" applyFill="1" applyBorder="1" applyAlignment="1">
      <alignment horizontal="center"/>
    </xf>
    <xf numFmtId="166" fontId="0" fillId="10" borderId="122" xfId="0" applyNumberFormat="1" applyFill="1" applyBorder="1" applyAlignment="1">
      <alignment horizontal="center"/>
    </xf>
    <xf numFmtId="166" fontId="0" fillId="10" borderId="95" xfId="0" applyNumberForma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94" xfId="0" applyNumberFormat="1" applyFill="1" applyBorder="1" applyAlignment="1">
      <alignment horizontal="center"/>
    </xf>
    <xf numFmtId="166" fontId="0" fillId="0" borderId="95" xfId="0" applyNumberFormat="1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127" xfId="0" applyFill="1" applyBorder="1" applyAlignment="1">
      <alignment horizontal="center"/>
    </xf>
    <xf numFmtId="0" fontId="0" fillId="12" borderId="128" xfId="0" applyFill="1" applyBorder="1" applyAlignment="1">
      <alignment horizontal="center"/>
    </xf>
    <xf numFmtId="0" fontId="0" fillId="19" borderId="36" xfId="0" applyFill="1" applyBorder="1" applyAlignment="1">
      <alignment horizontal="center"/>
    </xf>
    <xf numFmtId="0" fontId="0" fillId="19" borderId="127" xfId="0" applyFill="1" applyBorder="1" applyAlignment="1">
      <alignment horizontal="center"/>
    </xf>
    <xf numFmtId="0" fontId="0" fillId="19" borderId="129" xfId="0" applyFill="1" applyBorder="1" applyAlignment="1">
      <alignment horizontal="center"/>
    </xf>
    <xf numFmtId="0" fontId="4" fillId="22" borderId="90" xfId="0" applyFont="1" applyFill="1" applyBorder="1" applyAlignment="1">
      <alignment horizontal="center"/>
    </xf>
    <xf numFmtId="0" fontId="4" fillId="22" borderId="130" xfId="0" applyFont="1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6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131" xfId="0" applyFill="1" applyBorder="1" applyAlignment="1">
      <alignment horizontal="center"/>
    </xf>
    <xf numFmtId="0" fontId="4" fillId="24" borderId="107" xfId="0" applyFont="1" applyFill="1" applyBorder="1" applyAlignment="1">
      <alignment horizontal="left"/>
    </xf>
    <xf numFmtId="0" fontId="4" fillId="24" borderId="30" xfId="0" applyFont="1" applyFill="1" applyBorder="1" applyAlignment="1">
      <alignment horizontal="left"/>
    </xf>
    <xf numFmtId="165" fontId="0" fillId="22" borderId="30" xfId="0" applyNumberFormat="1" applyFill="1" applyBorder="1" applyAlignment="1">
      <alignment horizontal="center"/>
    </xf>
    <xf numFmtId="0" fontId="4" fillId="22" borderId="107" xfId="0" applyFont="1" applyFill="1" applyBorder="1" applyAlignment="1">
      <alignment horizontal="left"/>
    </xf>
    <xf numFmtId="0" fontId="4" fillId="22" borderId="30" xfId="0" applyFont="1" applyFill="1" applyBorder="1" applyAlignment="1">
      <alignment horizontal="left"/>
    </xf>
    <xf numFmtId="168" fontId="0" fillId="22" borderId="30" xfId="0" applyNumberFormat="1" applyFill="1" applyBorder="1" applyAlignment="1">
      <alignment horizontal="center"/>
    </xf>
    <xf numFmtId="166" fontId="0" fillId="22" borderId="30" xfId="0" applyNumberFormat="1" applyFill="1" applyBorder="1" applyAlignment="1">
      <alignment horizontal="center"/>
    </xf>
    <xf numFmtId="166" fontId="0" fillId="22" borderId="37" xfId="0" applyNumberFormat="1" applyFill="1" applyBorder="1" applyAlignment="1">
      <alignment horizontal="center"/>
    </xf>
    <xf numFmtId="1" fontId="0" fillId="22" borderId="30" xfId="0" applyNumberFormat="1" applyFill="1" applyBorder="1" applyAlignment="1">
      <alignment horizontal="center"/>
    </xf>
    <xf numFmtId="2" fontId="0" fillId="22" borderId="37" xfId="0" applyNumberFormat="1" applyFill="1" applyBorder="1" applyAlignment="1">
      <alignment horizontal="center"/>
    </xf>
    <xf numFmtId="2" fontId="0" fillId="22" borderId="130" xfId="0" applyNumberFormat="1" applyFill="1" applyBorder="1" applyAlignment="1">
      <alignment horizontal="center"/>
    </xf>
    <xf numFmtId="167" fontId="0" fillId="22" borderId="30" xfId="0" applyNumberFormat="1" applyFill="1" applyBorder="1" applyAlignment="1">
      <alignment horizontal="center"/>
    </xf>
    <xf numFmtId="164" fontId="4" fillId="7" borderId="114" xfId="0" applyNumberFormat="1" applyFont="1" applyFill="1" applyBorder="1" applyAlignment="1">
      <alignment horizontal="center" vertical="center" textRotation="180"/>
    </xf>
    <xf numFmtId="164" fontId="4" fillId="7" borderId="115" xfId="0" applyNumberFormat="1" applyFont="1" applyFill="1" applyBorder="1" applyAlignment="1">
      <alignment horizontal="center" vertical="center" textRotation="180"/>
    </xf>
    <xf numFmtId="164" fontId="4" fillId="7" borderId="112" xfId="0" applyNumberFormat="1" applyFont="1" applyFill="1" applyBorder="1" applyAlignment="1">
      <alignment horizontal="center" vertical="center" textRotation="180"/>
    </xf>
    <xf numFmtId="0" fontId="4" fillId="22" borderId="132" xfId="0" applyFont="1" applyFill="1" applyBorder="1" applyAlignment="1">
      <alignment horizontal="left"/>
    </xf>
    <xf numFmtId="0" fontId="4" fillId="22" borderId="3" xfId="0" applyFont="1" applyFill="1" applyBorder="1" applyAlignment="1">
      <alignment horizontal="left"/>
    </xf>
    <xf numFmtId="168" fontId="0" fillId="22" borderId="3" xfId="0" applyNumberForma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166" fontId="0" fillId="22" borderId="3" xfId="0" applyNumberFormat="1" applyFill="1" applyBorder="1" applyAlignment="1">
      <alignment horizontal="center"/>
    </xf>
    <xf numFmtId="166" fontId="0" fillId="22" borderId="39" xfId="0" applyNumberFormat="1" applyFill="1" applyBorder="1" applyAlignment="1">
      <alignment horizontal="center"/>
    </xf>
    <xf numFmtId="1" fontId="0" fillId="22" borderId="3" xfId="0" applyNumberFormat="1" applyFill="1" applyBorder="1" applyAlignment="1">
      <alignment horizontal="center"/>
    </xf>
    <xf numFmtId="2" fontId="0" fillId="22" borderId="39" xfId="0" applyNumberFormat="1" applyFill="1" applyBorder="1" applyAlignment="1">
      <alignment horizontal="center"/>
    </xf>
    <xf numFmtId="2" fontId="0" fillId="22" borderId="26" xfId="0" applyNumberFormat="1" applyFill="1" applyBorder="1" applyAlignment="1">
      <alignment horizontal="center"/>
    </xf>
    <xf numFmtId="167" fontId="0" fillId="22" borderId="3" xfId="0" applyNumberForma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165" fontId="0" fillId="22" borderId="3" xfId="0" applyNumberFormat="1" applyFill="1" applyBorder="1" applyAlignment="1">
      <alignment horizontal="center"/>
    </xf>
    <xf numFmtId="0" fontId="0" fillId="22" borderId="133" xfId="0" applyFill="1" applyBorder="1" applyAlignment="1">
      <alignment horizontal="center"/>
    </xf>
    <xf numFmtId="0" fontId="4" fillId="24" borderId="132" xfId="0" applyFont="1" applyFill="1" applyBorder="1" applyAlignment="1">
      <alignment horizontal="left"/>
    </xf>
    <xf numFmtId="0" fontId="4" fillId="24" borderId="3" xfId="0" applyFont="1" applyFill="1" applyBorder="1" applyAlignment="1">
      <alignment horizontal="left"/>
    </xf>
    <xf numFmtId="0" fontId="4" fillId="0" borderId="95" xfId="0" applyFont="1" applyFill="1" applyBorder="1" applyAlignment="1">
      <alignment horizontal="left"/>
    </xf>
    <xf numFmtId="1" fontId="14" fillId="22" borderId="86" xfId="0" applyNumberFormat="1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165" fontId="10" fillId="0" borderId="59" xfId="0" applyNumberFormat="1" applyFont="1" applyFill="1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7" fillId="0" borderId="121" xfId="0" applyFont="1" applyFill="1" applyBorder="1" applyAlignment="1">
      <alignment vertical="center" wrapText="1"/>
    </xf>
    <xf numFmtId="0" fontId="0" fillId="0" borderId="122" xfId="0" applyBorder="1" applyAlignment="1">
      <alignment vertical="center"/>
    </xf>
    <xf numFmtId="0" fontId="0" fillId="0" borderId="145" xfId="0" applyBorder="1" applyAlignment="1">
      <alignment vertical="center"/>
    </xf>
    <xf numFmtId="165" fontId="10" fillId="0" borderId="66" xfId="0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65" fontId="10" fillId="0" borderId="29" xfId="0" applyNumberFormat="1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5" fontId="10" fillId="0" borderId="55" xfId="0" applyNumberFormat="1" applyFont="1" applyFill="1" applyBorder="1" applyAlignment="1">
      <alignment horizontal="center" vertical="center"/>
    </xf>
    <xf numFmtId="0" fontId="4" fillId="22" borderId="116" xfId="0" applyFont="1" applyFill="1" applyBorder="1" applyAlignment="1">
      <alignment horizontal="left"/>
    </xf>
    <xf numFmtId="0" fontId="4" fillId="22" borderId="26" xfId="0" applyFont="1" applyFill="1" applyBorder="1" applyAlignment="1">
      <alignment horizontal="left"/>
    </xf>
    <xf numFmtId="49" fontId="11" fillId="0" borderId="55" xfId="0" applyNumberFormat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0" fontId="0" fillId="0" borderId="10" xfId="0" applyBorder="1" applyAlignment="1"/>
    <xf numFmtId="0" fontId="2" fillId="0" borderId="14" xfId="0" applyFont="1" applyBorder="1" applyAlignment="1"/>
    <xf numFmtId="0" fontId="2" fillId="0" borderId="5" xfId="0" applyFont="1" applyBorder="1" applyAlignment="1"/>
    <xf numFmtId="0" fontId="0" fillId="0" borderId="5" xfId="0" applyBorder="1" applyAlignme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0" borderId="146" xfId="0" applyFont="1" applyFill="1" applyBorder="1" applyAlignment="1">
      <alignment horizontal="left"/>
    </xf>
    <xf numFmtId="0" fontId="4" fillId="22" borderId="14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DB6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19050</xdr:rowOff>
        </xdr:from>
        <xdr:to>
          <xdr:col>10</xdr:col>
          <xdr:colOff>476250</xdr:colOff>
          <xdr:row>45</xdr:row>
          <xdr:rowOff>57150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</xdr:row>
          <xdr:rowOff>9525</xdr:rowOff>
        </xdr:from>
        <xdr:to>
          <xdr:col>22</xdr:col>
          <xdr:colOff>95250</xdr:colOff>
          <xdr:row>45</xdr:row>
          <xdr:rowOff>28575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9</xdr:col>
          <xdr:colOff>361950</xdr:colOff>
          <xdr:row>42</xdr:row>
          <xdr:rowOff>114300</xdr:rowOff>
        </xdr:to>
        <xdr:sp macro="" textlink="">
          <xdr:nvSpPr>
            <xdr:cNvPr id="62465" name="Object 1" hidden="1">
              <a:extLst>
                <a:ext uri="{63B3BB69-23CF-44E3-9099-C40C66FF867C}">
                  <a14:compatExt spid="_x0000_s62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0</xdr:row>
          <xdr:rowOff>0</xdr:rowOff>
        </xdr:from>
        <xdr:to>
          <xdr:col>20</xdr:col>
          <xdr:colOff>466725</xdr:colOff>
          <xdr:row>31</xdr:row>
          <xdr:rowOff>85725</xdr:rowOff>
        </xdr:to>
        <xdr:sp macro="" textlink="">
          <xdr:nvSpPr>
            <xdr:cNvPr id="62466" name="Object 2" hidden="1">
              <a:extLst>
                <a:ext uri="{63B3BB69-23CF-44E3-9099-C40C66FF867C}">
                  <a14:compatExt spid="_x0000_s62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rora\files\Dept\Utilities%20Department\Divisions\Water%20Treatment\Binney\BWPF%20Operating%20Reports\BWPF%20Flow%20Reports%20and%20Query%20Tool\BWPF%20Monthly%20Plant%20Flows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roragov-my.sharepoint.com/personal/klinder_auroragov_org/Documents/7272011/BWPF/Budget/2017/Binney%20Budget%205207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WPF%20Monthly%20Cost%20Template%202017.11.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 Summary 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heet4"/>
    </sheetNames>
    <sheetDataSet>
      <sheetData sheetId="0">
        <row r="29">
          <cell r="C29">
            <v>3046.1644149070598</v>
          </cell>
          <cell r="D29">
            <v>520.85895995015176</v>
          </cell>
          <cell r="Q29">
            <v>42.185885911956788</v>
          </cell>
          <cell r="R29">
            <v>89.382557874206555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"/>
      <sheetName val="2016"/>
    </sheetNames>
    <sheetDataSet>
      <sheetData sheetId="0">
        <row r="145">
          <cell r="D145">
            <v>122268.13999999998</v>
          </cell>
        </row>
        <row r="147">
          <cell r="D147">
            <v>46485.97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Yearly Summary "/>
      <sheetName val="Projection Instructions"/>
      <sheetName val="Projection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</sheetNames>
    <sheetDataSet>
      <sheetData sheetId="0"/>
      <sheetData sheetId="1"/>
      <sheetData sheetId="2"/>
      <sheetData sheetId="3">
        <row r="22">
          <cell r="AD22">
            <v>0.74349432000000004</v>
          </cell>
        </row>
        <row r="23">
          <cell r="AD23">
            <v>0</v>
          </cell>
        </row>
        <row r="24">
          <cell r="AD24">
            <v>5.5265000000000002E-2</v>
          </cell>
        </row>
        <row r="25">
          <cell r="AD25">
            <v>0</v>
          </cell>
        </row>
        <row r="26">
          <cell r="AD26">
            <v>3.9898560000000005</v>
          </cell>
        </row>
        <row r="27">
          <cell r="AD27">
            <v>0.2321</v>
          </cell>
        </row>
        <row r="28">
          <cell r="AD28">
            <v>1.16246256</v>
          </cell>
        </row>
        <row r="29">
          <cell r="AD29">
            <v>3.1332129000000002</v>
          </cell>
        </row>
        <row r="30">
          <cell r="AD30">
            <v>0.82128400199999985</v>
          </cell>
        </row>
        <row r="31">
          <cell r="AD31">
            <v>2.504502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4.docx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3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3793" r:id="rId4">
          <objectPr defaultSize="0" r:id="rId5">
            <anchor moveWithCells="1">
              <from>
                <xdr:col>1</xdr:col>
                <xdr:colOff>19050</xdr:colOff>
                <xdr:row>1</xdr:row>
                <xdr:rowOff>19050</xdr:rowOff>
              </from>
              <to>
                <xdr:col>10</xdr:col>
                <xdr:colOff>476250</xdr:colOff>
                <xdr:row>45</xdr:row>
                <xdr:rowOff>57150</xdr:rowOff>
              </to>
            </anchor>
          </objectPr>
        </oleObject>
      </mc:Choice>
      <mc:Fallback>
        <oleObject progId="Word.Document.12" shapeId="33793" r:id="rId4"/>
      </mc:Fallback>
    </mc:AlternateContent>
    <mc:AlternateContent xmlns:mc="http://schemas.openxmlformats.org/markup-compatibility/2006">
      <mc:Choice Requires="x14">
        <oleObject progId="Word.Document.12" shapeId="33794" r:id="rId6">
          <objectPr defaultSize="0" r:id="rId7">
            <anchor moveWithCells="1">
              <from>
                <xdr:col>12</xdr:col>
                <xdr:colOff>19050</xdr:colOff>
                <xdr:row>1</xdr:row>
                <xdr:rowOff>9525</xdr:rowOff>
              </from>
              <to>
                <xdr:col>22</xdr:col>
                <xdr:colOff>95250</xdr:colOff>
                <xdr:row>45</xdr:row>
                <xdr:rowOff>28575</xdr:rowOff>
              </to>
            </anchor>
          </objectPr>
        </oleObject>
      </mc:Choice>
      <mc:Fallback>
        <oleObject progId="Word.Document.12" shapeId="33794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63"/>
  <sheetViews>
    <sheetView topLeftCell="A25" zoomScale="75" zoomScaleNormal="75" workbookViewId="0">
      <selection activeCell="H51" sqref="H51"/>
    </sheetView>
  </sheetViews>
  <sheetFormatPr defaultRowHeight="15" x14ac:dyDescent="0.25"/>
  <cols>
    <col min="1" max="1" width="35.140625" bestFit="1" customWidth="1"/>
    <col min="2" max="2" width="28.7109375" bestFit="1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1.85546875" bestFit="1" customWidth="1"/>
    <col min="9" max="9" width="23" bestFit="1" customWidth="1"/>
    <col min="10" max="10" width="25.85546875" bestFit="1" customWidth="1"/>
    <col min="11" max="11" width="19" bestFit="1" customWidth="1"/>
    <col min="12" max="12" width="17" bestFit="1" customWidth="1"/>
    <col min="13" max="13" width="16" bestFit="1" customWidth="1"/>
    <col min="14" max="14" width="19.570312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3" width="15.140625" customWidth="1"/>
    <col min="44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23" t="s">
        <v>3</v>
      </c>
      <c r="C4" s="624"/>
      <c r="D4" s="624"/>
      <c r="E4" s="624"/>
      <c r="F4" s="624"/>
      <c r="G4" s="624"/>
      <c r="H4" s="625"/>
      <c r="I4" s="623" t="s">
        <v>4</v>
      </c>
      <c r="J4" s="624"/>
      <c r="K4" s="624"/>
      <c r="L4" s="624"/>
      <c r="M4" s="624"/>
      <c r="N4" s="625"/>
      <c r="O4" s="629" t="s">
        <v>5</v>
      </c>
      <c r="P4" s="630"/>
      <c r="Q4" s="631"/>
      <c r="R4" s="631"/>
      <c r="S4" s="631"/>
      <c r="T4" s="632"/>
      <c r="U4" s="623" t="s">
        <v>6</v>
      </c>
      <c r="V4" s="636"/>
      <c r="W4" s="636"/>
      <c r="X4" s="636"/>
      <c r="Y4" s="636"/>
      <c r="Z4" s="636"/>
      <c r="AA4" s="637"/>
      <c r="AB4" s="641" t="s">
        <v>7</v>
      </c>
      <c r="AC4" s="643" t="s">
        <v>8</v>
      </c>
      <c r="AD4" s="608" t="s">
        <v>237</v>
      </c>
      <c r="AE4" s="608" t="s">
        <v>236</v>
      </c>
      <c r="AF4" s="608" t="s">
        <v>27</v>
      </c>
      <c r="AG4" s="608" t="s">
        <v>31</v>
      </c>
      <c r="AH4" s="608" t="s">
        <v>32</v>
      </c>
      <c r="AI4" s="608" t="s">
        <v>33</v>
      </c>
      <c r="AJ4" s="641" t="s">
        <v>175</v>
      </c>
      <c r="AK4" s="641" t="s">
        <v>176</v>
      </c>
      <c r="AL4" s="641" t="s">
        <v>177</v>
      </c>
      <c r="AM4" s="641" t="s">
        <v>178</v>
      </c>
      <c r="AN4" s="641" t="s">
        <v>179</v>
      </c>
      <c r="AO4" s="641" t="s">
        <v>180</v>
      </c>
      <c r="AP4" s="641" t="s">
        <v>181</v>
      </c>
      <c r="AQ4" s="641" t="s">
        <v>184</v>
      </c>
      <c r="AR4" s="641" t="s">
        <v>182</v>
      </c>
      <c r="AS4" s="641" t="s">
        <v>183</v>
      </c>
      <c r="AV4" t="s">
        <v>171</v>
      </c>
      <c r="AW4" s="338" t="s">
        <v>209</v>
      </c>
    </row>
    <row r="5" spans="1:49" ht="30" customHeight="1" thickBot="1" x14ac:dyDescent="0.3">
      <c r="A5" s="13"/>
      <c r="B5" s="626"/>
      <c r="C5" s="627"/>
      <c r="D5" s="627"/>
      <c r="E5" s="627"/>
      <c r="F5" s="627"/>
      <c r="G5" s="627"/>
      <c r="H5" s="628"/>
      <c r="I5" s="626"/>
      <c r="J5" s="627"/>
      <c r="K5" s="627"/>
      <c r="L5" s="627"/>
      <c r="M5" s="627"/>
      <c r="N5" s="628"/>
      <c r="O5" s="633"/>
      <c r="P5" s="634"/>
      <c r="Q5" s="634"/>
      <c r="R5" s="634"/>
      <c r="S5" s="634"/>
      <c r="T5" s="635"/>
      <c r="U5" s="638"/>
      <c r="V5" s="639"/>
      <c r="W5" s="639"/>
      <c r="X5" s="639"/>
      <c r="Y5" s="639"/>
      <c r="Z5" s="639"/>
      <c r="AA5" s="640"/>
      <c r="AB5" s="642"/>
      <c r="AC5" s="644"/>
      <c r="AD5" s="609"/>
      <c r="AE5" s="609"/>
      <c r="AF5" s="622"/>
      <c r="AG5" s="622"/>
      <c r="AH5" s="622"/>
      <c r="AI5" s="622"/>
      <c r="AJ5" s="609"/>
      <c r="AK5" s="609"/>
      <c r="AL5" s="609"/>
      <c r="AM5" s="609"/>
      <c r="AN5" s="609"/>
      <c r="AO5" s="609"/>
      <c r="AP5" s="609"/>
      <c r="AQ5" s="609"/>
      <c r="AR5" s="609"/>
      <c r="AS5" s="609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399" t="s">
        <v>28</v>
      </c>
      <c r="AE7" s="399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  <c r="AR7" s="22" t="s">
        <v>172</v>
      </c>
      <c r="AS7" s="22" t="s">
        <v>172</v>
      </c>
    </row>
    <row r="8" spans="1:49" x14ac:dyDescent="0.25">
      <c r="A8" s="11">
        <v>42887</v>
      </c>
      <c r="B8" s="49"/>
      <c r="C8" s="50">
        <v>56.554037566979652</v>
      </c>
      <c r="D8" s="50">
        <v>653.55167236328225</v>
      </c>
      <c r="E8" s="50">
        <v>16.44528803279001</v>
      </c>
      <c r="F8" s="50">
        <v>0</v>
      </c>
      <c r="G8" s="50">
        <v>1299.3495970408089</v>
      </c>
      <c r="H8" s="51">
        <v>17.195264423886918</v>
      </c>
      <c r="I8" s="49">
        <v>150.91048273245508</v>
      </c>
      <c r="J8" s="50">
        <v>683.56279649734574</v>
      </c>
      <c r="K8" s="50">
        <v>37.548697392145755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453.2931237931204</v>
      </c>
      <c r="V8" s="54">
        <v>141.12352458419062</v>
      </c>
      <c r="W8" s="54">
        <v>47.765076869285167</v>
      </c>
      <c r="X8" s="54">
        <v>14.870677815321899</v>
      </c>
      <c r="Y8" s="54">
        <v>289.70715550831255</v>
      </c>
      <c r="Z8" s="54">
        <v>90.19438578832856</v>
      </c>
      <c r="AA8" s="55">
        <v>0</v>
      </c>
      <c r="AB8" s="56">
        <v>109.26888067457371</v>
      </c>
      <c r="AC8" s="57">
        <v>0</v>
      </c>
      <c r="AD8" s="400">
        <v>14.880237699069969</v>
      </c>
      <c r="AE8" s="400">
        <v>4.5826911860517825</v>
      </c>
      <c r="AF8" s="57">
        <v>19.126971014340711</v>
      </c>
      <c r="AG8" s="58">
        <v>14.357749588240493</v>
      </c>
      <c r="AH8" s="58">
        <v>4.4699910954626807</v>
      </c>
      <c r="AI8" s="58">
        <v>0.76258483848081715</v>
      </c>
      <c r="AJ8" s="57">
        <v>309.63197417259215</v>
      </c>
      <c r="AK8" s="57">
        <v>1121.0571358998616</v>
      </c>
      <c r="AL8" s="57">
        <v>2950.0805727640791</v>
      </c>
      <c r="AM8" s="57">
        <v>584.02388998667413</v>
      </c>
      <c r="AN8" s="57">
        <v>2754.8062029520679</v>
      </c>
      <c r="AO8" s="57">
        <v>2480.6153860727945</v>
      </c>
      <c r="AP8" s="57">
        <v>659.07275390625</v>
      </c>
      <c r="AQ8" s="57">
        <v>2129.9441528320312</v>
      </c>
      <c r="AR8" s="57">
        <v>365.20640660921731</v>
      </c>
      <c r="AS8" s="57">
        <v>774.64469782511401</v>
      </c>
    </row>
    <row r="9" spans="1:49" x14ac:dyDescent="0.25">
      <c r="A9" s="11">
        <v>42888</v>
      </c>
      <c r="B9" s="59"/>
      <c r="C9" s="60">
        <v>55.553997166951639</v>
      </c>
      <c r="D9" s="60">
        <v>640.98295278549131</v>
      </c>
      <c r="E9" s="60">
        <v>16.428674147029703</v>
      </c>
      <c r="F9" s="60">
        <v>0</v>
      </c>
      <c r="G9" s="60">
        <v>1315.8248432159385</v>
      </c>
      <c r="H9" s="61">
        <v>16.740386957923569</v>
      </c>
      <c r="I9" s="59">
        <v>149.82241449356081</v>
      </c>
      <c r="J9" s="60">
        <v>685.52302529017288</v>
      </c>
      <c r="K9" s="60">
        <v>37.73283141255375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457.56526076675203</v>
      </c>
      <c r="V9" s="62">
        <v>141.99601034971781</v>
      </c>
      <c r="W9" s="62">
        <v>48.623307786440378</v>
      </c>
      <c r="X9" s="62">
        <v>15.089248043243472</v>
      </c>
      <c r="Y9" s="66">
        <v>290.22947061423781</v>
      </c>
      <c r="Z9" s="66">
        <v>90.066773959355103</v>
      </c>
      <c r="AA9" s="67">
        <v>0</v>
      </c>
      <c r="AB9" s="68">
        <v>109.10659186045315</v>
      </c>
      <c r="AC9" s="69">
        <v>0</v>
      </c>
      <c r="AD9" s="401">
        <v>14.920868558772113</v>
      </c>
      <c r="AE9" s="401">
        <v>4.4862684331841418</v>
      </c>
      <c r="AF9" s="69">
        <v>19.305467176437361</v>
      </c>
      <c r="AG9" s="68">
        <v>14.500378841581714</v>
      </c>
      <c r="AH9" s="68">
        <v>4.4998956883522183</v>
      </c>
      <c r="AI9" s="68">
        <v>0.76316680681308735</v>
      </c>
      <c r="AJ9" s="69">
        <v>323.68851256370544</v>
      </c>
      <c r="AK9" s="69">
        <v>1132.3587613423667</v>
      </c>
      <c r="AL9" s="69">
        <v>2996.7254530588789</v>
      </c>
      <c r="AM9" s="69">
        <v>581.70936768849685</v>
      </c>
      <c r="AN9" s="69">
        <v>2851.542287953695</v>
      </c>
      <c r="AO9" s="69">
        <v>2517.2853009541827</v>
      </c>
      <c r="AP9" s="69">
        <v>659.07275390625</v>
      </c>
      <c r="AQ9" s="69">
        <v>2129.9441528320312</v>
      </c>
      <c r="AR9" s="69">
        <v>357.6326903661091</v>
      </c>
      <c r="AS9" s="69">
        <v>725.65495681762695</v>
      </c>
    </row>
    <row r="10" spans="1:49" x14ac:dyDescent="0.25">
      <c r="A10" s="11">
        <v>42889</v>
      </c>
      <c r="B10" s="59"/>
      <c r="C10" s="60">
        <v>55.516969227791009</v>
      </c>
      <c r="D10" s="60">
        <v>642.64398339589457</v>
      </c>
      <c r="E10" s="60">
        <v>16.433821880817387</v>
      </c>
      <c r="F10" s="60">
        <v>0</v>
      </c>
      <c r="G10" s="60">
        <v>1323.6230150858557</v>
      </c>
      <c r="H10" s="61">
        <v>16.658575683832144</v>
      </c>
      <c r="I10" s="59">
        <v>149.75944753487892</v>
      </c>
      <c r="J10" s="60">
        <v>685.35989472071378</v>
      </c>
      <c r="K10" s="60">
        <v>37.73634141087522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445.15606682880264</v>
      </c>
      <c r="V10" s="62">
        <v>140.51661137689874</v>
      </c>
      <c r="W10" s="62">
        <v>47.50632792952171</v>
      </c>
      <c r="X10" s="62">
        <v>14.995703118617357</v>
      </c>
      <c r="Y10" s="66">
        <v>280.37721073740357</v>
      </c>
      <c r="Z10" s="66">
        <v>88.503018370135038</v>
      </c>
      <c r="AA10" s="67">
        <v>0</v>
      </c>
      <c r="AB10" s="68">
        <v>109.1873350037461</v>
      </c>
      <c r="AC10" s="69">
        <v>0</v>
      </c>
      <c r="AD10" s="401">
        <v>14.917580304151375</v>
      </c>
      <c r="AE10" s="401">
        <v>4.4862130604923944</v>
      </c>
      <c r="AF10" s="69">
        <v>18.681056941217857</v>
      </c>
      <c r="AG10" s="68">
        <v>13.951586422546278</v>
      </c>
      <c r="AH10" s="68">
        <v>4.4039153760024821</v>
      </c>
      <c r="AI10" s="68">
        <v>0.76007654683945125</v>
      </c>
      <c r="AJ10" s="69">
        <v>331.76110273996994</v>
      </c>
      <c r="AK10" s="69">
        <v>1138.9159165064493</v>
      </c>
      <c r="AL10" s="69">
        <v>2952.0911602020269</v>
      </c>
      <c r="AM10" s="69">
        <v>565.05563669204707</v>
      </c>
      <c r="AN10" s="69">
        <v>3015.8249535878499</v>
      </c>
      <c r="AO10" s="69">
        <v>2391.4426167805987</v>
      </c>
      <c r="AP10" s="69">
        <v>659.07275390625</v>
      </c>
      <c r="AQ10" s="69">
        <v>2129.9441528320312</v>
      </c>
      <c r="AR10" s="69">
        <v>357.13984885215763</v>
      </c>
      <c r="AS10" s="69">
        <v>691.45439446767182</v>
      </c>
    </row>
    <row r="11" spans="1:49" x14ac:dyDescent="0.25">
      <c r="A11" s="11">
        <v>42890</v>
      </c>
      <c r="B11" s="59"/>
      <c r="C11" s="60">
        <v>54.948510626952512</v>
      </c>
      <c r="D11" s="60">
        <v>642.56981980005821</v>
      </c>
      <c r="E11" s="60">
        <v>16.433677073816416</v>
      </c>
      <c r="F11" s="60">
        <v>0</v>
      </c>
      <c r="G11" s="60">
        <v>1339.3528413772585</v>
      </c>
      <c r="H11" s="61">
        <v>16.954681004087114</v>
      </c>
      <c r="I11" s="59">
        <v>151.15768329302472</v>
      </c>
      <c r="J11" s="60">
        <v>692.56342086792108</v>
      </c>
      <c r="K11" s="60">
        <v>37.998907593886123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450.14907650144329</v>
      </c>
      <c r="V11" s="62">
        <v>141.53364239012578</v>
      </c>
      <c r="W11" s="62">
        <v>49.018274680187339</v>
      </c>
      <c r="X11" s="62">
        <v>15.412083066095878</v>
      </c>
      <c r="Y11" s="66">
        <v>281.58714647395016</v>
      </c>
      <c r="Z11" s="66">
        <v>88.535235483421559</v>
      </c>
      <c r="AA11" s="67">
        <v>0</v>
      </c>
      <c r="AB11" s="68">
        <v>109.99289706018287</v>
      </c>
      <c r="AC11" s="69">
        <v>0</v>
      </c>
      <c r="AD11" s="401">
        <v>15.074383711219717</v>
      </c>
      <c r="AE11" s="401">
        <v>4.4855267763424198</v>
      </c>
      <c r="AF11" s="69">
        <v>18.567870326174621</v>
      </c>
      <c r="AG11" s="68">
        <v>13.942728914460524</v>
      </c>
      <c r="AH11" s="68">
        <v>4.3838037466581277</v>
      </c>
      <c r="AI11" s="68">
        <v>0.76079469980926884</v>
      </c>
      <c r="AJ11" s="69">
        <v>301.66107101440434</v>
      </c>
      <c r="AK11" s="69">
        <v>1113.3777257919314</v>
      </c>
      <c r="AL11" s="69">
        <v>2996.7260636647547</v>
      </c>
      <c r="AM11" s="69">
        <v>572.43962268829353</v>
      </c>
      <c r="AN11" s="69">
        <v>2849.8748134613038</v>
      </c>
      <c r="AO11" s="69">
        <v>2393.4701684315996</v>
      </c>
      <c r="AP11" s="69">
        <v>659.07275390625</v>
      </c>
      <c r="AQ11" s="69">
        <v>2129.9441528320312</v>
      </c>
      <c r="AR11" s="69">
        <v>363.88683139483135</v>
      </c>
      <c r="AS11" s="69">
        <v>762.17799412409477</v>
      </c>
    </row>
    <row r="12" spans="1:49" x14ac:dyDescent="0.25">
      <c r="A12" s="11">
        <v>42891</v>
      </c>
      <c r="B12" s="59"/>
      <c r="C12" s="60">
        <v>55.797955079873248</v>
      </c>
      <c r="D12" s="60">
        <v>649.28454151153494</v>
      </c>
      <c r="E12" s="60">
        <v>16.239209055403844</v>
      </c>
      <c r="F12" s="60">
        <v>0</v>
      </c>
      <c r="G12" s="60">
        <v>1402.9535387674905</v>
      </c>
      <c r="H12" s="61">
        <v>17.167405237754181</v>
      </c>
      <c r="I12" s="59">
        <v>152.69234054883319</v>
      </c>
      <c r="J12" s="60">
        <v>705.92838999430273</v>
      </c>
      <c r="K12" s="60">
        <v>38.323057740926785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467.73113043537938</v>
      </c>
      <c r="V12" s="62">
        <v>139.95947752564021</v>
      </c>
      <c r="W12" s="62">
        <v>52.512860622746743</v>
      </c>
      <c r="X12" s="62">
        <v>15.713455996172597</v>
      </c>
      <c r="Y12" s="66">
        <v>297.89141167887681</v>
      </c>
      <c r="Z12" s="66">
        <v>89.138232683255538</v>
      </c>
      <c r="AA12" s="67">
        <v>0</v>
      </c>
      <c r="AB12" s="68">
        <v>114.4784753587525</v>
      </c>
      <c r="AC12" s="69">
        <v>0</v>
      </c>
      <c r="AD12" s="401">
        <v>15.367043396774086</v>
      </c>
      <c r="AE12" s="401">
        <v>4.5326000118519341</v>
      </c>
      <c r="AF12" s="69">
        <v>19.760161732302791</v>
      </c>
      <c r="AG12" s="68">
        <v>15.040627169818141</v>
      </c>
      <c r="AH12" s="68">
        <v>4.5006162373375052</v>
      </c>
      <c r="AI12" s="68">
        <v>0.76968629152383095</v>
      </c>
      <c r="AJ12" s="69">
        <v>284.76330949465427</v>
      </c>
      <c r="AK12" s="69">
        <v>1101.3006230672199</v>
      </c>
      <c r="AL12" s="69">
        <v>3131.386638641357</v>
      </c>
      <c r="AM12" s="69">
        <v>573.67667668660488</v>
      </c>
      <c r="AN12" s="69">
        <v>2969.286592610677</v>
      </c>
      <c r="AO12" s="69">
        <v>2388.0803751627604</v>
      </c>
      <c r="AP12" s="69">
        <v>659.07275390625</v>
      </c>
      <c r="AQ12" s="69">
        <v>2129.9441528320312</v>
      </c>
      <c r="AR12" s="69">
        <v>371.02180492083238</v>
      </c>
      <c r="AS12" s="69">
        <v>869.22126064300528</v>
      </c>
    </row>
    <row r="13" spans="1:49" x14ac:dyDescent="0.25">
      <c r="A13" s="11">
        <v>42892</v>
      </c>
      <c r="B13" s="59"/>
      <c r="C13" s="60">
        <v>55.69703696171451</v>
      </c>
      <c r="D13" s="60">
        <v>648.29424211184244</v>
      </c>
      <c r="E13" s="60">
        <v>16.142299556732141</v>
      </c>
      <c r="F13" s="60">
        <v>0</v>
      </c>
      <c r="G13" s="60">
        <v>1366.2498388290369</v>
      </c>
      <c r="H13" s="61">
        <v>17.045927445093781</v>
      </c>
      <c r="I13" s="59">
        <v>156.65721398194626</v>
      </c>
      <c r="J13" s="60">
        <v>797.57505853573412</v>
      </c>
      <c r="K13" s="60">
        <v>43.58022581140191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497.08180405579151</v>
      </c>
      <c r="V13" s="62">
        <v>123.79043985721987</v>
      </c>
      <c r="W13" s="62">
        <v>57.153415169490145</v>
      </c>
      <c r="X13" s="62">
        <v>14.233163124151288</v>
      </c>
      <c r="Y13" s="66">
        <v>335.57438155318346</v>
      </c>
      <c r="Z13" s="66">
        <v>83.569545210350611</v>
      </c>
      <c r="AA13" s="67">
        <v>0</v>
      </c>
      <c r="AB13" s="68">
        <v>117.70549611383069</v>
      </c>
      <c r="AC13" s="69">
        <v>0</v>
      </c>
      <c r="AD13" s="401">
        <v>17.287355982771512</v>
      </c>
      <c r="AE13" s="401">
        <v>4.5388349962807748</v>
      </c>
      <c r="AF13" s="69">
        <v>21.000973871350308</v>
      </c>
      <c r="AG13" s="68">
        <v>16.607745092178909</v>
      </c>
      <c r="AH13" s="68">
        <v>4.1358988665911101</v>
      </c>
      <c r="AI13" s="68">
        <v>0.80061849910210547</v>
      </c>
      <c r="AJ13" s="69">
        <v>309.41350584030147</v>
      </c>
      <c r="AK13" s="69">
        <v>1117.6890405654906</v>
      </c>
      <c r="AL13" s="69">
        <v>3066.8277739206947</v>
      </c>
      <c r="AM13" s="69">
        <v>573.50344530741381</v>
      </c>
      <c r="AN13" s="69">
        <v>2858.6410756429036</v>
      </c>
      <c r="AO13" s="69">
        <v>2380.1597450256349</v>
      </c>
      <c r="AP13" s="69">
        <v>659.07275390625</v>
      </c>
      <c r="AQ13" s="69">
        <v>2129.9441528320312</v>
      </c>
      <c r="AR13" s="69">
        <v>369.65835584004736</v>
      </c>
      <c r="AS13" s="69">
        <v>845.06549107233684</v>
      </c>
    </row>
    <row r="14" spans="1:49" x14ac:dyDescent="0.25">
      <c r="A14" s="11">
        <v>42893</v>
      </c>
      <c r="B14" s="59"/>
      <c r="C14" s="60">
        <v>56.017617007096518</v>
      </c>
      <c r="D14" s="60">
        <v>641.86867437362548</v>
      </c>
      <c r="E14" s="60">
        <v>15.836978383859007</v>
      </c>
      <c r="F14" s="60">
        <v>0</v>
      </c>
      <c r="G14" s="60">
        <v>1406.7235331217439</v>
      </c>
      <c r="H14" s="61">
        <v>16.745612944165849</v>
      </c>
      <c r="I14" s="59">
        <v>176.20969684918705</v>
      </c>
      <c r="J14" s="60">
        <v>893.31538060506114</v>
      </c>
      <c r="K14" s="60">
        <v>48.953722590207953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545.13201427374406</v>
      </c>
      <c r="V14" s="62">
        <v>116.75857353295871</v>
      </c>
      <c r="W14" s="62">
        <v>59.823065815147991</v>
      </c>
      <c r="X14" s="62">
        <v>12.813145524484758</v>
      </c>
      <c r="Y14" s="66">
        <v>400.12455441694908</v>
      </c>
      <c r="Z14" s="66">
        <v>85.700290912970914</v>
      </c>
      <c r="AA14" s="67">
        <v>0</v>
      </c>
      <c r="AB14" s="68">
        <v>114.90097233984085</v>
      </c>
      <c r="AC14" s="69">
        <v>0</v>
      </c>
      <c r="AD14" s="401">
        <v>19.4438258634382</v>
      </c>
      <c r="AE14" s="401">
        <v>4.4808490599178468</v>
      </c>
      <c r="AF14" s="69">
        <v>23.310753552118936</v>
      </c>
      <c r="AG14" s="68">
        <v>18.997469347829941</v>
      </c>
      <c r="AH14" s="68">
        <v>4.0689546086260124</v>
      </c>
      <c r="AI14" s="68">
        <v>0.82359837761123045</v>
      </c>
      <c r="AJ14" s="69">
        <v>302.014109023412</v>
      </c>
      <c r="AK14" s="69">
        <v>1112.0011902491249</v>
      </c>
      <c r="AL14" s="69">
        <v>3109.0020046234135</v>
      </c>
      <c r="AM14" s="69">
        <v>575.64009014765406</v>
      </c>
      <c r="AN14" s="69">
        <v>3218.7167987823491</v>
      </c>
      <c r="AO14" s="69">
        <v>2300.0938318888343</v>
      </c>
      <c r="AP14" s="69">
        <v>659.07275390625</v>
      </c>
      <c r="AQ14" s="69">
        <v>2129.9441528320312</v>
      </c>
      <c r="AR14" s="69">
        <v>369.58875354131067</v>
      </c>
      <c r="AS14" s="69">
        <v>842.08824742635102</v>
      </c>
    </row>
    <row r="15" spans="1:49" x14ac:dyDescent="0.25">
      <c r="A15" s="11">
        <v>42894</v>
      </c>
      <c r="B15" s="59"/>
      <c r="C15" s="60">
        <v>55.070440399646969</v>
      </c>
      <c r="D15" s="60">
        <v>637.85203819274864</v>
      </c>
      <c r="E15" s="60">
        <v>15.658409121135858</v>
      </c>
      <c r="F15" s="60">
        <v>0</v>
      </c>
      <c r="G15" s="60">
        <v>1375.3092421213778</v>
      </c>
      <c r="H15" s="61">
        <v>16.874885261058804</v>
      </c>
      <c r="I15" s="59">
        <v>162.04919170538574</v>
      </c>
      <c r="J15" s="60">
        <v>820.04562613169344</v>
      </c>
      <c r="K15" s="60">
        <v>45.144411967198053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480.59287472201419</v>
      </c>
      <c r="V15" s="62">
        <v>125.50270404385563</v>
      </c>
      <c r="W15" s="62">
        <v>52.882417140525277</v>
      </c>
      <c r="X15" s="62">
        <v>13.809789317725501</v>
      </c>
      <c r="Y15" s="66">
        <v>353.4510296387117</v>
      </c>
      <c r="Z15" s="66">
        <v>92.300702527896533</v>
      </c>
      <c r="AA15" s="67">
        <v>0</v>
      </c>
      <c r="AB15" s="68">
        <v>107.71458555327479</v>
      </c>
      <c r="AC15" s="69">
        <v>0</v>
      </c>
      <c r="AD15" s="401">
        <v>17.850714790400176</v>
      </c>
      <c r="AE15" s="401">
        <v>4.4913418652930126</v>
      </c>
      <c r="AF15" s="69">
        <v>21.376734689871491</v>
      </c>
      <c r="AG15" s="68">
        <v>16.739554993030517</v>
      </c>
      <c r="AH15" s="68">
        <v>4.3713911017331215</v>
      </c>
      <c r="AI15" s="68">
        <v>0.79293248715094755</v>
      </c>
      <c r="AJ15" s="69">
        <v>288.97405074437461</v>
      </c>
      <c r="AK15" s="69">
        <v>1102.5587874094647</v>
      </c>
      <c r="AL15" s="69">
        <v>3103.1485426584873</v>
      </c>
      <c r="AM15" s="69">
        <v>573.06345653533936</v>
      </c>
      <c r="AN15" s="69">
        <v>3133.8802085876464</v>
      </c>
      <c r="AO15" s="69">
        <v>2397.1580441792803</v>
      </c>
      <c r="AP15" s="69">
        <v>659.07275390625</v>
      </c>
      <c r="AQ15" s="69">
        <v>2129.9441528320312</v>
      </c>
      <c r="AR15" s="69">
        <v>364.20534071922299</v>
      </c>
      <c r="AS15" s="69">
        <v>826.44917500813801</v>
      </c>
    </row>
    <row r="16" spans="1:49" x14ac:dyDescent="0.25">
      <c r="A16" s="11">
        <v>42895</v>
      </c>
      <c r="B16" s="59"/>
      <c r="C16" s="60">
        <v>54.830443195501971</v>
      </c>
      <c r="D16" s="60">
        <v>638.29459772110044</v>
      </c>
      <c r="E16" s="60">
        <v>15.662495218714096</v>
      </c>
      <c r="F16" s="60">
        <v>0</v>
      </c>
      <c r="G16" s="60">
        <v>1365.6310416539509</v>
      </c>
      <c r="H16" s="61">
        <v>16.816776841878884</v>
      </c>
      <c r="I16" s="59">
        <v>165.98359746932957</v>
      </c>
      <c r="J16" s="60">
        <v>879.63935769399041</v>
      </c>
      <c r="K16" s="60">
        <v>48.296609375874226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574.31011278008782</v>
      </c>
      <c r="V16" s="62">
        <v>140.92065809393293</v>
      </c>
      <c r="W16" s="62">
        <v>60.412634966989032</v>
      </c>
      <c r="X16" s="62">
        <v>14.823678161482322</v>
      </c>
      <c r="Y16" s="66">
        <v>388.21659891831365</v>
      </c>
      <c r="Z16" s="66">
        <v>95.2581843591976</v>
      </c>
      <c r="AA16" s="67">
        <v>0</v>
      </c>
      <c r="AB16" s="68">
        <v>113.65186581081771</v>
      </c>
      <c r="AC16" s="69">
        <v>0</v>
      </c>
      <c r="AD16" s="401">
        <v>19.147674347219677</v>
      </c>
      <c r="AE16" s="401">
        <v>4.4960073194649581</v>
      </c>
      <c r="AF16" s="69">
        <v>23.059008711576496</v>
      </c>
      <c r="AG16" s="68">
        <v>18.11218512366391</v>
      </c>
      <c r="AH16" s="68">
        <v>4.4442557955151401</v>
      </c>
      <c r="AI16" s="68">
        <v>0.80297176263581871</v>
      </c>
      <c r="AJ16" s="69">
        <v>257.27719500859581</v>
      </c>
      <c r="AK16" s="69">
        <v>1071.7557771682739</v>
      </c>
      <c r="AL16" s="69">
        <v>3154.5898110707594</v>
      </c>
      <c r="AM16" s="69">
        <v>585.79961490631092</v>
      </c>
      <c r="AN16" s="69">
        <v>3214.8518000284835</v>
      </c>
      <c r="AO16" s="69">
        <v>2253.4429850260412</v>
      </c>
      <c r="AP16" s="69">
        <v>659.07275390625</v>
      </c>
      <c r="AQ16" s="69">
        <v>2129.9441528320312</v>
      </c>
      <c r="AR16" s="69">
        <v>367.40166514714571</v>
      </c>
      <c r="AS16" s="69">
        <v>905.15233704249067</v>
      </c>
    </row>
    <row r="17" spans="1:45" x14ac:dyDescent="0.25">
      <c r="A17" s="11">
        <v>42896</v>
      </c>
      <c r="B17" s="49"/>
      <c r="C17" s="50">
        <v>55.182231585184638</v>
      </c>
      <c r="D17" s="50">
        <v>640.50067850748781</v>
      </c>
      <c r="E17" s="50">
        <v>15.716586859524272</v>
      </c>
      <c r="F17" s="50">
        <v>0</v>
      </c>
      <c r="G17" s="50">
        <v>1390.865262349449</v>
      </c>
      <c r="H17" s="51">
        <v>11.091613334417348</v>
      </c>
      <c r="I17" s="49">
        <v>174.63685698509207</v>
      </c>
      <c r="J17" s="50">
        <v>991.26449705759751</v>
      </c>
      <c r="K17" s="50">
        <v>54.365179665883382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678.45346686833886</v>
      </c>
      <c r="V17" s="66">
        <v>143.74937601360466</v>
      </c>
      <c r="W17" s="62">
        <v>71.206757052896521</v>
      </c>
      <c r="X17" s="62">
        <v>15.087146568141286</v>
      </c>
      <c r="Y17" s="66">
        <v>466.09167476928303</v>
      </c>
      <c r="Z17" s="66">
        <v>98.754580358305589</v>
      </c>
      <c r="AA17" s="67">
        <v>0</v>
      </c>
      <c r="AB17" s="68">
        <v>124.90986362033468</v>
      </c>
      <c r="AC17" s="69">
        <v>0</v>
      </c>
      <c r="AD17" s="401">
        <v>21.577173117032661</v>
      </c>
      <c r="AE17" s="401">
        <v>4.5115211439400831</v>
      </c>
      <c r="AF17" s="69">
        <v>28.055579108662148</v>
      </c>
      <c r="AG17" s="68">
        <v>21.08809963520406</v>
      </c>
      <c r="AH17" s="68">
        <v>4.4681047587034932</v>
      </c>
      <c r="AI17" s="68">
        <v>0.82516555706649997</v>
      </c>
      <c r="AJ17" s="69">
        <v>242.79167464574178</v>
      </c>
      <c r="AK17" s="69">
        <v>1072.0902295430501</v>
      </c>
      <c r="AL17" s="69">
        <v>3212.097255833944</v>
      </c>
      <c r="AM17" s="69">
        <v>594.1698694229126</v>
      </c>
      <c r="AN17" s="69">
        <v>3320.4614472707112</v>
      </c>
      <c r="AO17" s="69">
        <v>2254.8065667470296</v>
      </c>
      <c r="AP17" s="69">
        <v>659.07275390625</v>
      </c>
      <c r="AQ17" s="69">
        <v>2129.9441528320312</v>
      </c>
      <c r="AR17" s="69">
        <v>386.52875687281301</v>
      </c>
      <c r="AS17" s="69">
        <v>880.72815300623574</v>
      </c>
    </row>
    <row r="18" spans="1:45" x14ac:dyDescent="0.25">
      <c r="A18" s="11">
        <v>42897</v>
      </c>
      <c r="B18" s="59"/>
      <c r="C18" s="60">
        <v>55.606613091627615</v>
      </c>
      <c r="D18" s="60">
        <v>640.80001621246163</v>
      </c>
      <c r="E18" s="60">
        <v>15.661530406773071</v>
      </c>
      <c r="F18" s="60">
        <v>0</v>
      </c>
      <c r="G18" s="60">
        <v>1462.5837875366128</v>
      </c>
      <c r="H18" s="61">
        <v>13.865532361467666</v>
      </c>
      <c r="I18" s="59">
        <v>165.83780334790549</v>
      </c>
      <c r="J18" s="60">
        <v>941.50716266632139</v>
      </c>
      <c r="K18" s="60">
        <v>51.854590225219717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636.53865831483711</v>
      </c>
      <c r="V18" s="62">
        <v>141.90995491556194</v>
      </c>
      <c r="W18" s="62">
        <v>68.385654037090845</v>
      </c>
      <c r="X18" s="62">
        <v>15.245900550591232</v>
      </c>
      <c r="Y18" s="66">
        <v>434.72871624795528</v>
      </c>
      <c r="Z18" s="66">
        <v>96.918438051462289</v>
      </c>
      <c r="AA18" s="67">
        <v>0</v>
      </c>
      <c r="AB18" s="68">
        <v>119.92584096590571</v>
      </c>
      <c r="AC18" s="69">
        <v>0</v>
      </c>
      <c r="AD18" s="401">
        <v>20.491337406025096</v>
      </c>
      <c r="AE18" s="401">
        <v>4.5147515724913667</v>
      </c>
      <c r="AF18" s="69">
        <v>26.55356241067248</v>
      </c>
      <c r="AG18" s="68">
        <v>20.187099477750959</v>
      </c>
      <c r="AH18" s="68">
        <v>4.5005127957942106</v>
      </c>
      <c r="AI18" s="68">
        <v>0.81770157656692932</v>
      </c>
      <c r="AJ18" s="69">
        <v>260.67732666333518</v>
      </c>
      <c r="AK18" s="69">
        <v>1072.6292624791463</v>
      </c>
      <c r="AL18" s="69">
        <v>3128.4343418121339</v>
      </c>
      <c r="AM18" s="69">
        <v>581.56447327931721</v>
      </c>
      <c r="AN18" s="69">
        <v>3578.8669489542649</v>
      </c>
      <c r="AO18" s="69">
        <v>2317.79030863444</v>
      </c>
      <c r="AP18" s="69">
        <v>659.07275390625</v>
      </c>
      <c r="AQ18" s="69">
        <v>2129.9441528320312</v>
      </c>
      <c r="AR18" s="69">
        <v>365.93984893163054</v>
      </c>
      <c r="AS18" s="69">
        <v>880.38108717600505</v>
      </c>
    </row>
    <row r="19" spans="1:45" x14ac:dyDescent="0.25">
      <c r="A19" s="11">
        <v>42898</v>
      </c>
      <c r="B19" s="59"/>
      <c r="C19" s="60">
        <v>57.424010594685818</v>
      </c>
      <c r="D19" s="60">
        <v>650.01131391525132</v>
      </c>
      <c r="E19" s="60">
        <v>16.14418846021092</v>
      </c>
      <c r="F19" s="60">
        <v>0</v>
      </c>
      <c r="G19" s="60">
        <v>1457.9355503082229</v>
      </c>
      <c r="H19" s="61">
        <v>22.59060286780198</v>
      </c>
      <c r="I19" s="59">
        <v>152.23402420679741</v>
      </c>
      <c r="J19" s="60">
        <v>864.15873521169033</v>
      </c>
      <c r="K19" s="60">
        <v>47.227889931201943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568.17996784591514</v>
      </c>
      <c r="V19" s="62">
        <v>138.2102644098097</v>
      </c>
      <c r="W19" s="62">
        <v>61.667842482103801</v>
      </c>
      <c r="X19" s="62">
        <v>15.000755565788358</v>
      </c>
      <c r="Y19" s="66">
        <v>398.62519876322204</v>
      </c>
      <c r="Z19" s="66">
        <v>96.965921432166454</v>
      </c>
      <c r="AA19" s="67">
        <v>0</v>
      </c>
      <c r="AB19" s="68">
        <v>115.63040121396271</v>
      </c>
      <c r="AC19" s="69">
        <v>0</v>
      </c>
      <c r="AD19" s="401">
        <v>18.810341687852343</v>
      </c>
      <c r="AE19" s="401">
        <v>4.6164714684936863</v>
      </c>
      <c r="AF19" s="69">
        <v>23.067649280362648</v>
      </c>
      <c r="AG19" s="68">
        <v>18.390927270144946</v>
      </c>
      <c r="AH19" s="68">
        <v>4.473608829232127</v>
      </c>
      <c r="AI19" s="68">
        <v>0.80434289986080199</v>
      </c>
      <c r="AJ19" s="69">
        <v>260.53726986249285</v>
      </c>
      <c r="AK19" s="69">
        <v>1075.7912906646727</v>
      </c>
      <c r="AL19" s="69">
        <v>3204.3772918701175</v>
      </c>
      <c r="AM19" s="69">
        <v>581.838133684794</v>
      </c>
      <c r="AN19" s="69">
        <v>3746.3886439005537</v>
      </c>
      <c r="AO19" s="69">
        <v>2372.6970155080162</v>
      </c>
      <c r="AP19" s="69">
        <v>659.07275390625</v>
      </c>
      <c r="AQ19" s="69">
        <v>2129.9441528320312</v>
      </c>
      <c r="AR19" s="69">
        <v>369.09248580932615</v>
      </c>
      <c r="AS19" s="69">
        <v>917.0647327423095</v>
      </c>
    </row>
    <row r="20" spans="1:45" x14ac:dyDescent="0.25">
      <c r="A20" s="11">
        <v>42899</v>
      </c>
      <c r="B20" s="59"/>
      <c r="C20" s="60">
        <v>57.235671091080526</v>
      </c>
      <c r="D20" s="60">
        <v>643.12610899607625</v>
      </c>
      <c r="E20" s="60">
        <v>16.549065836767308</v>
      </c>
      <c r="F20" s="60">
        <v>0</v>
      </c>
      <c r="G20" s="60">
        <v>1458.9193258285491</v>
      </c>
      <c r="H20" s="61">
        <v>23.249966113766025</v>
      </c>
      <c r="I20" s="59">
        <v>153.8207730611166</v>
      </c>
      <c r="J20" s="60">
        <v>944.81874980926568</v>
      </c>
      <c r="K20" s="60">
        <v>51.658950871229102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631.20797979691883</v>
      </c>
      <c r="V20" s="62">
        <v>134.4303980920748</v>
      </c>
      <c r="W20" s="62">
        <v>69.085823727778831</v>
      </c>
      <c r="X20" s="62">
        <v>14.713430570431372</v>
      </c>
      <c r="Y20" s="66">
        <v>439.76646657959873</v>
      </c>
      <c r="Z20" s="66">
        <v>93.658481929935078</v>
      </c>
      <c r="AA20" s="67">
        <v>0</v>
      </c>
      <c r="AB20" s="68">
        <v>126.60306539005697</v>
      </c>
      <c r="AC20" s="69">
        <v>0</v>
      </c>
      <c r="AD20" s="401">
        <v>20.567668584607766</v>
      </c>
      <c r="AE20" s="401">
        <v>4.6076800767486157</v>
      </c>
      <c r="AF20" s="69">
        <v>25.126318893167742</v>
      </c>
      <c r="AG20" s="68">
        <v>19.883859701990453</v>
      </c>
      <c r="AH20" s="68">
        <v>4.2347296943323363</v>
      </c>
      <c r="AI20" s="68">
        <v>0.82442050715544823</v>
      </c>
      <c r="AJ20" s="69">
        <v>288.39447361628214</v>
      </c>
      <c r="AK20" s="69">
        <v>1085.3234652837118</v>
      </c>
      <c r="AL20" s="69">
        <v>3094.2497924804693</v>
      </c>
      <c r="AM20" s="69">
        <v>572.96492897669475</v>
      </c>
      <c r="AN20" s="69">
        <v>3860.3155235290524</v>
      </c>
      <c r="AO20" s="69">
        <v>2356.67302309672</v>
      </c>
      <c r="AP20" s="69">
        <v>659.07275390625</v>
      </c>
      <c r="AQ20" s="69">
        <v>2129.9441528320312</v>
      </c>
      <c r="AR20" s="69">
        <v>369.37438449859616</v>
      </c>
      <c r="AS20" s="69">
        <v>796.34465157190959</v>
      </c>
    </row>
    <row r="21" spans="1:45" x14ac:dyDescent="0.25">
      <c r="A21" s="11">
        <v>42900</v>
      </c>
      <c r="B21" s="59"/>
      <c r="C21" s="60">
        <v>71.907045960426274</v>
      </c>
      <c r="D21" s="60">
        <v>596.03186041514039</v>
      </c>
      <c r="E21" s="60">
        <v>16.126199523111197</v>
      </c>
      <c r="F21" s="60">
        <v>0</v>
      </c>
      <c r="G21" s="60">
        <v>1510.7855857849099</v>
      </c>
      <c r="H21" s="61">
        <v>9.5661602944135762</v>
      </c>
      <c r="I21" s="59">
        <v>136.77108544508636</v>
      </c>
      <c r="J21" s="60">
        <v>1122.4688282012949</v>
      </c>
      <c r="K21" s="60">
        <v>61.169859468936856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785.16465870162529</v>
      </c>
      <c r="V21" s="62">
        <v>50.841988980567386</v>
      </c>
      <c r="W21" s="62">
        <v>78.04727158717165</v>
      </c>
      <c r="X21" s="62">
        <v>5.0538170280869235</v>
      </c>
      <c r="Y21" s="66">
        <v>508.62301250172413</v>
      </c>
      <c r="Z21" s="66">
        <v>32.935009631785555</v>
      </c>
      <c r="AA21" s="67">
        <v>0</v>
      </c>
      <c r="AB21" s="68">
        <v>144.00257214440245</v>
      </c>
      <c r="AC21" s="69">
        <v>0</v>
      </c>
      <c r="AD21" s="401">
        <v>24.436945166030167</v>
      </c>
      <c r="AE21" s="401">
        <v>4.5621217216715175</v>
      </c>
      <c r="AF21" s="69">
        <v>24.724951548708795</v>
      </c>
      <c r="AG21" s="68">
        <v>22.921053166546894</v>
      </c>
      <c r="AH21" s="68">
        <v>1.4842134316687692</v>
      </c>
      <c r="AI21" s="68">
        <v>0.93918470729685521</v>
      </c>
      <c r="AJ21" s="69">
        <v>282.64670438766478</v>
      </c>
      <c r="AK21" s="69">
        <v>1087.3851676305135</v>
      </c>
      <c r="AL21" s="69">
        <v>3145.9904708862309</v>
      </c>
      <c r="AM21" s="69">
        <v>579.92143150965376</v>
      </c>
      <c r="AN21" s="69">
        <v>4155.8624768575028</v>
      </c>
      <c r="AO21" s="69">
        <v>2318.1744617462159</v>
      </c>
      <c r="AP21" s="69">
        <v>659.07275390625</v>
      </c>
      <c r="AQ21" s="69">
        <v>2129.9441528320312</v>
      </c>
      <c r="AR21" s="69">
        <v>377.61664395332349</v>
      </c>
      <c r="AS21" s="69">
        <v>807.05621302922566</v>
      </c>
    </row>
    <row r="22" spans="1:45" x14ac:dyDescent="0.25">
      <c r="A22" s="11">
        <v>42901</v>
      </c>
      <c r="B22" s="59"/>
      <c r="C22" s="60">
        <v>82.965829269091316</v>
      </c>
      <c r="D22" s="60">
        <v>587.20860010782883</v>
      </c>
      <c r="E22" s="60">
        <v>16.661149697999146</v>
      </c>
      <c r="F22" s="60">
        <v>0</v>
      </c>
      <c r="G22" s="60">
        <v>1618.1955034891746</v>
      </c>
      <c r="H22" s="61">
        <v>10.423219800988822</v>
      </c>
      <c r="I22" s="59">
        <v>127.79443014462791</v>
      </c>
      <c r="J22" s="60">
        <v>1134.4891529719018</v>
      </c>
      <c r="K22" s="60">
        <v>62.247687725226015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734.47175662959887</v>
      </c>
      <c r="V22" s="62">
        <v>130.28640593245083</v>
      </c>
      <c r="W22" s="62">
        <v>83.026774400198633</v>
      </c>
      <c r="X22" s="62">
        <v>14.7279455406228</v>
      </c>
      <c r="Y22" s="66">
        <v>570.54327339550161</v>
      </c>
      <c r="Z22" s="66">
        <v>101.20747577925309</v>
      </c>
      <c r="AA22" s="67">
        <v>0</v>
      </c>
      <c r="AB22" s="68">
        <v>146.04074997372084</v>
      </c>
      <c r="AC22" s="69">
        <v>0</v>
      </c>
      <c r="AD22" s="401">
        <v>24.696601563365263</v>
      </c>
      <c r="AE22" s="401">
        <v>4.6981807410789829</v>
      </c>
      <c r="AF22" s="69">
        <v>27.922899825043153</v>
      </c>
      <c r="AG22" s="68">
        <v>23.779133698102278</v>
      </c>
      <c r="AH22" s="68">
        <v>4.2181307010766051</v>
      </c>
      <c r="AI22" s="68">
        <v>0.84933775525582011</v>
      </c>
      <c r="AJ22" s="69">
        <v>279.51177865664158</v>
      </c>
      <c r="AK22" s="69">
        <v>1089.9900856653846</v>
      </c>
      <c r="AL22" s="69">
        <v>3147.8277543385821</v>
      </c>
      <c r="AM22" s="69">
        <v>585.3594084103903</v>
      </c>
      <c r="AN22" s="69">
        <v>4586.8614128112795</v>
      </c>
      <c r="AO22" s="69">
        <v>2372.3485093434651</v>
      </c>
      <c r="AP22" s="69">
        <v>659.07275390625</v>
      </c>
      <c r="AQ22" s="69">
        <v>2129.9441528320312</v>
      </c>
      <c r="AR22" s="69">
        <v>370.11460501352957</v>
      </c>
      <c r="AS22" s="69">
        <v>849.36080153783166</v>
      </c>
    </row>
    <row r="23" spans="1:45" x14ac:dyDescent="0.25">
      <c r="A23" s="11">
        <v>42902</v>
      </c>
      <c r="B23" s="59"/>
      <c r="C23" s="60">
        <v>64.366001192729215</v>
      </c>
      <c r="D23" s="60">
        <v>624.21646471023575</v>
      </c>
      <c r="E23" s="60">
        <v>16.326053820550417</v>
      </c>
      <c r="F23" s="60">
        <v>0</v>
      </c>
      <c r="G23" s="60">
        <v>1431.7076442082694</v>
      </c>
      <c r="H23" s="61">
        <v>18.326589878400174</v>
      </c>
      <c r="I23" s="59">
        <v>145.01726888815585</v>
      </c>
      <c r="J23" s="60">
        <v>1286.1648927052825</v>
      </c>
      <c r="K23" s="60">
        <v>70.328980199496073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825.75013431972559</v>
      </c>
      <c r="V23" s="62">
        <v>0</v>
      </c>
      <c r="W23" s="62">
        <v>83.483471139271956</v>
      </c>
      <c r="X23" s="62">
        <v>0</v>
      </c>
      <c r="Y23" s="66">
        <v>639.44147981007893</v>
      </c>
      <c r="Z23" s="66">
        <v>0</v>
      </c>
      <c r="AA23" s="67">
        <v>0</v>
      </c>
      <c r="AB23" s="68">
        <v>162.85326579411864</v>
      </c>
      <c r="AC23" s="69">
        <v>0</v>
      </c>
      <c r="AD23" s="401">
        <v>27.997711868710333</v>
      </c>
      <c r="AE23" s="401">
        <v>4.6006741058757603</v>
      </c>
      <c r="AF23" s="69">
        <v>27.570570687452928</v>
      </c>
      <c r="AG23" s="68">
        <v>27.152654403717083</v>
      </c>
      <c r="AH23" s="68">
        <v>0</v>
      </c>
      <c r="AI23" s="68">
        <v>1</v>
      </c>
      <c r="AJ23" s="69">
        <v>258.48515551884969</v>
      </c>
      <c r="AK23" s="69">
        <v>1223.4107592900596</v>
      </c>
      <c r="AL23" s="69">
        <v>3201.5255148569745</v>
      </c>
      <c r="AM23" s="69">
        <v>590.36527652740472</v>
      </c>
      <c r="AN23" s="69">
        <v>4175.1416339874268</v>
      </c>
      <c r="AO23" s="69">
        <v>2510.2598796844482</v>
      </c>
      <c r="AP23" s="69">
        <v>659.07275390625</v>
      </c>
      <c r="AQ23" s="69">
        <v>2129.9441528320312</v>
      </c>
      <c r="AR23" s="69">
        <v>368.96382578214002</v>
      </c>
      <c r="AS23" s="69">
        <v>869.90004962285377</v>
      </c>
    </row>
    <row r="24" spans="1:45" x14ac:dyDescent="0.25">
      <c r="A24" s="11">
        <v>42903</v>
      </c>
      <c r="B24" s="59"/>
      <c r="C24" s="60">
        <v>57.529817839463512</v>
      </c>
      <c r="D24" s="60">
        <v>670.41510181427077</v>
      </c>
      <c r="E24" s="60">
        <v>16.745905993878797</v>
      </c>
      <c r="F24" s="60">
        <v>0</v>
      </c>
      <c r="G24" s="60">
        <v>1631.0609359741134</v>
      </c>
      <c r="H24" s="61">
        <v>25.527349530657165</v>
      </c>
      <c r="I24" s="59">
        <v>153.36370043754573</v>
      </c>
      <c r="J24" s="60">
        <v>1210.371151987712</v>
      </c>
      <c r="K24" s="60">
        <v>66.126165950298258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786.32816912933538</v>
      </c>
      <c r="V24" s="62">
        <v>60.077926714510937</v>
      </c>
      <c r="W24" s="62">
        <v>76.033621033413752</v>
      </c>
      <c r="X24" s="62">
        <v>5.8092059926356177</v>
      </c>
      <c r="Y24" s="66">
        <v>633.48869343900674</v>
      </c>
      <c r="Z24" s="66">
        <v>48.400513669808561</v>
      </c>
      <c r="AA24" s="67">
        <v>0</v>
      </c>
      <c r="AB24" s="68">
        <v>161.84839538998054</v>
      </c>
      <c r="AC24" s="69">
        <v>0</v>
      </c>
      <c r="AD24" s="401">
        <v>26.345388129065192</v>
      </c>
      <c r="AE24" s="401">
        <v>4.6587209875979143</v>
      </c>
      <c r="AF24" s="69">
        <v>28.259151717027002</v>
      </c>
      <c r="AG24" s="68">
        <v>25.850371990780733</v>
      </c>
      <c r="AH24" s="68">
        <v>1.9750491143215381</v>
      </c>
      <c r="AI24" s="68">
        <v>0.92901997397051506</v>
      </c>
      <c r="AJ24" s="69">
        <v>266.65956403414413</v>
      </c>
      <c r="AK24" s="69">
        <v>1318.1283528645833</v>
      </c>
      <c r="AL24" s="69">
        <v>3156.948230107625</v>
      </c>
      <c r="AM24" s="69">
        <v>587.89471028645835</v>
      </c>
      <c r="AN24" s="69">
        <v>4013.0309563954675</v>
      </c>
      <c r="AO24" s="69">
        <v>2299.0660054524742</v>
      </c>
      <c r="AP24" s="69">
        <v>659.07275390625</v>
      </c>
      <c r="AQ24" s="69">
        <v>2129.9441528320312</v>
      </c>
      <c r="AR24" s="69">
        <v>370.35731760660815</v>
      </c>
      <c r="AS24" s="69">
        <v>824.26419080098492</v>
      </c>
    </row>
    <row r="25" spans="1:45" x14ac:dyDescent="0.25">
      <c r="A25" s="11">
        <v>42904</v>
      </c>
      <c r="B25" s="59"/>
      <c r="C25" s="60">
        <v>57.774734940131978</v>
      </c>
      <c r="D25" s="60">
        <v>666.62873938878249</v>
      </c>
      <c r="E25" s="60">
        <v>16.523698758085519</v>
      </c>
      <c r="F25" s="60">
        <v>0</v>
      </c>
      <c r="G25" s="60">
        <v>1688.1383330027211</v>
      </c>
      <c r="H25" s="61">
        <v>26.120666760206252</v>
      </c>
      <c r="I25" s="59">
        <v>167.37031406561519</v>
      </c>
      <c r="J25" s="60">
        <v>1079.0243680318197</v>
      </c>
      <c r="K25" s="60">
        <v>59.005379446347511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688.86295424245873</v>
      </c>
      <c r="V25" s="62">
        <v>134.7592581039433</v>
      </c>
      <c r="W25" s="62">
        <v>68.893839665680161</v>
      </c>
      <c r="X25" s="62">
        <v>13.477401657473026</v>
      </c>
      <c r="Y25" s="66">
        <v>566.03246049147845</v>
      </c>
      <c r="Z25" s="66">
        <v>110.73046383001409</v>
      </c>
      <c r="AA25" s="67">
        <v>0</v>
      </c>
      <c r="AB25" s="68">
        <v>149.77173350652012</v>
      </c>
      <c r="AC25" s="69">
        <v>0</v>
      </c>
      <c r="AD25" s="401">
        <v>23.488604054370342</v>
      </c>
      <c r="AE25" s="401">
        <v>4.6327596602990848</v>
      </c>
      <c r="AF25" s="69">
        <v>27.614763542016359</v>
      </c>
      <c r="AG25" s="68">
        <v>22.74165238734594</v>
      </c>
      <c r="AH25" s="68">
        <v>4.4488503626192193</v>
      </c>
      <c r="AI25" s="68">
        <v>0.83638219552137849</v>
      </c>
      <c r="AJ25" s="69">
        <v>273.55523695945737</v>
      </c>
      <c r="AK25" s="69">
        <v>1318.1102044423421</v>
      </c>
      <c r="AL25" s="69">
        <v>3146.4033749898272</v>
      </c>
      <c r="AM25" s="69">
        <v>580.08537362416575</v>
      </c>
      <c r="AN25" s="69">
        <v>3991.5721308390293</v>
      </c>
      <c r="AO25" s="69">
        <v>2221.4494754791258</v>
      </c>
      <c r="AP25" s="69">
        <v>659.07275390625</v>
      </c>
      <c r="AQ25" s="69">
        <v>2129.9441528320312</v>
      </c>
      <c r="AR25" s="69">
        <v>365.539626677831</v>
      </c>
      <c r="AS25" s="69">
        <v>762.33378473917639</v>
      </c>
    </row>
    <row r="26" spans="1:45" x14ac:dyDescent="0.25">
      <c r="A26" s="11">
        <v>42905</v>
      </c>
      <c r="B26" s="59"/>
      <c r="C26" s="60">
        <v>57.224083725611685</v>
      </c>
      <c r="D26" s="60">
        <v>678.51608632405589</v>
      </c>
      <c r="E26" s="60">
        <v>16.161642244954869</v>
      </c>
      <c r="F26" s="60">
        <v>0</v>
      </c>
      <c r="G26" s="60">
        <v>1757.3351003011026</v>
      </c>
      <c r="H26" s="61">
        <v>26.875001846750596</v>
      </c>
      <c r="I26" s="59">
        <v>167.96321121056863</v>
      </c>
      <c r="J26" s="60">
        <v>1099.4754943211876</v>
      </c>
      <c r="K26" s="60">
        <v>60.411239020029583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653.81041217101506</v>
      </c>
      <c r="V26" s="62">
        <v>126.87472585321245</v>
      </c>
      <c r="W26" s="62">
        <v>71.954169208182932</v>
      </c>
      <c r="X26" s="62">
        <v>13.963016376521065</v>
      </c>
      <c r="Y26" s="62">
        <v>562.25450575897412</v>
      </c>
      <c r="Z26" s="62">
        <v>109.1079079652898</v>
      </c>
      <c r="AA26" s="72">
        <v>0</v>
      </c>
      <c r="AB26" s="69">
        <v>153.33624197642047</v>
      </c>
      <c r="AC26" s="69">
        <v>0</v>
      </c>
      <c r="AD26" s="401">
        <v>23.933134386574849</v>
      </c>
      <c r="AE26" s="401">
        <v>4.6242822608328966</v>
      </c>
      <c r="AF26" s="69">
        <v>27.68919590976504</v>
      </c>
      <c r="AG26" s="69">
        <v>22.834540718755509</v>
      </c>
      <c r="AH26" s="69">
        <v>4.4311409542348015</v>
      </c>
      <c r="AI26" s="69">
        <v>0.83748284721506372</v>
      </c>
      <c r="AJ26" s="69">
        <v>276.80131573677062</v>
      </c>
      <c r="AK26" s="69">
        <v>1290.4788838704426</v>
      </c>
      <c r="AL26" s="69">
        <v>3157.8326330820719</v>
      </c>
      <c r="AM26" s="69">
        <v>591.50780903498332</v>
      </c>
      <c r="AN26" s="69">
        <v>3979.5355318705238</v>
      </c>
      <c r="AO26" s="69">
        <v>2349.0845208485921</v>
      </c>
      <c r="AP26" s="69">
        <v>659.07275390625</v>
      </c>
      <c r="AQ26" s="69">
        <v>2129.9441528320312</v>
      </c>
      <c r="AR26" s="69">
        <v>369.62090555826825</v>
      </c>
      <c r="AS26" s="69">
        <v>845.66904748280842</v>
      </c>
    </row>
    <row r="27" spans="1:45" x14ac:dyDescent="0.25">
      <c r="A27" s="11">
        <v>42906</v>
      </c>
      <c r="B27" s="59"/>
      <c r="C27" s="60">
        <v>57.119280215104588</v>
      </c>
      <c r="D27" s="60">
        <v>668.16377919514957</v>
      </c>
      <c r="E27" s="60">
        <v>15.932749893267925</v>
      </c>
      <c r="F27" s="60">
        <v>0</v>
      </c>
      <c r="G27" s="60">
        <v>1826.9508261362669</v>
      </c>
      <c r="H27" s="61">
        <v>32.642354285717069</v>
      </c>
      <c r="I27" s="59">
        <v>156.60080637137102</v>
      </c>
      <c r="J27" s="60">
        <v>1169.160110537211</v>
      </c>
      <c r="K27" s="60">
        <v>64.275985789298957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683.19794687195918</v>
      </c>
      <c r="V27" s="62">
        <v>123.9502698842287</v>
      </c>
      <c r="W27" s="62">
        <v>72.15233881954839</v>
      </c>
      <c r="X27" s="62">
        <v>13.090352379436283</v>
      </c>
      <c r="Y27" s="66">
        <v>585.0292347887397</v>
      </c>
      <c r="Z27" s="66">
        <v>106.13985576835805</v>
      </c>
      <c r="AA27" s="67">
        <v>0</v>
      </c>
      <c r="AB27" s="68">
        <v>162.0962301572155</v>
      </c>
      <c r="AC27" s="69">
        <v>0</v>
      </c>
      <c r="AD27" s="401">
        <v>25.450274547741145</v>
      </c>
      <c r="AE27" s="401">
        <v>4.5961910887640682</v>
      </c>
      <c r="AF27" s="69">
        <v>29.387593470017105</v>
      </c>
      <c r="AG27" s="68">
        <v>24.553860223294571</v>
      </c>
      <c r="AH27" s="68">
        <v>4.4547229910621748</v>
      </c>
      <c r="AI27" s="68">
        <v>0.84643431366005251</v>
      </c>
      <c r="AJ27" s="69">
        <v>250.00141177177429</v>
      </c>
      <c r="AK27" s="69">
        <v>1214.6665402094523</v>
      </c>
      <c r="AL27" s="69">
        <v>3278.2226235707594</v>
      </c>
      <c r="AM27" s="69">
        <v>613.07488937377934</v>
      </c>
      <c r="AN27" s="69">
        <v>4096.8759948730467</v>
      </c>
      <c r="AO27" s="69">
        <v>2337.7120066324869</v>
      </c>
      <c r="AP27" s="69">
        <v>659.07275390625</v>
      </c>
      <c r="AQ27" s="69">
        <v>2129.9441528320312</v>
      </c>
      <c r="AR27" s="69">
        <v>397.71433397928871</v>
      </c>
      <c r="AS27" s="69">
        <v>984.18189366658521</v>
      </c>
    </row>
    <row r="28" spans="1:45" x14ac:dyDescent="0.25">
      <c r="A28" s="11">
        <v>42907</v>
      </c>
      <c r="B28" s="59"/>
      <c r="C28" s="60">
        <v>55.550284834702843</v>
      </c>
      <c r="D28" s="60">
        <v>657.43032452265481</v>
      </c>
      <c r="E28" s="60">
        <v>15.96807703822849</v>
      </c>
      <c r="F28" s="60">
        <v>0</v>
      </c>
      <c r="G28" s="60">
        <v>1815.5415531158367</v>
      </c>
      <c r="H28" s="61">
        <v>31.695109611749679</v>
      </c>
      <c r="I28" s="59">
        <v>148.43830937544504</v>
      </c>
      <c r="J28" s="60">
        <v>1247.5275197982789</v>
      </c>
      <c r="K28" s="60">
        <v>68.363222110271465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773.91412228534716</v>
      </c>
      <c r="V28" s="62">
        <v>86.166169505089144</v>
      </c>
      <c r="W28" s="62">
        <v>73.510867213843284</v>
      </c>
      <c r="X28" s="62">
        <v>8.1845642331859132</v>
      </c>
      <c r="Y28" s="66">
        <v>645.10905541812133</v>
      </c>
      <c r="Z28" s="66">
        <v>71.825251171641838</v>
      </c>
      <c r="AA28" s="67">
        <v>0</v>
      </c>
      <c r="AB28" s="68">
        <v>169.18219871521038</v>
      </c>
      <c r="AC28" s="69">
        <v>0</v>
      </c>
      <c r="AD28" s="401">
        <v>27.161268367112747</v>
      </c>
      <c r="AE28" s="401">
        <v>4.5270513304477396</v>
      </c>
      <c r="AF28" s="69">
        <v>29.816859998967868</v>
      </c>
      <c r="AG28" s="68">
        <v>26.538005613823984</v>
      </c>
      <c r="AH28" s="68">
        <v>2.9546925481799788</v>
      </c>
      <c r="AI28" s="68">
        <v>0.89981613306623232</v>
      </c>
      <c r="AJ28" s="69">
        <v>247.72777129809063</v>
      </c>
      <c r="AK28" s="69">
        <v>1201.4007414499915</v>
      </c>
      <c r="AL28" s="69">
        <v>3276.0431985219316</v>
      </c>
      <c r="AM28" s="69">
        <v>610.0896339734395</v>
      </c>
      <c r="AN28" s="69">
        <v>4010.2604619344079</v>
      </c>
      <c r="AO28" s="69">
        <v>2418.9563301086423</v>
      </c>
      <c r="AP28" s="69">
        <v>659.07275390625</v>
      </c>
      <c r="AQ28" s="69">
        <v>2129.9441528320312</v>
      </c>
      <c r="AR28" s="69">
        <v>411.16033411026012</v>
      </c>
      <c r="AS28" s="69">
        <v>939.56780344645176</v>
      </c>
    </row>
    <row r="29" spans="1:45" x14ac:dyDescent="0.25">
      <c r="A29" s="11">
        <v>42908</v>
      </c>
      <c r="B29" s="59"/>
      <c r="C29" s="60">
        <v>56.045187777280596</v>
      </c>
      <c r="D29" s="60">
        <v>653.50492556889844</v>
      </c>
      <c r="E29" s="60">
        <v>15.941225322584284</v>
      </c>
      <c r="F29" s="60">
        <v>0</v>
      </c>
      <c r="G29" s="60">
        <v>1716.9582366943309</v>
      </c>
      <c r="H29" s="61">
        <v>28.1856826901437</v>
      </c>
      <c r="I29" s="59">
        <v>122.98949278195713</v>
      </c>
      <c r="J29" s="60">
        <v>1164.9264534632382</v>
      </c>
      <c r="K29" s="60">
        <v>63.984667400518802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739.5228559772014</v>
      </c>
      <c r="V29" s="62">
        <v>133.11959948408571</v>
      </c>
      <c r="W29" s="62">
        <v>70.403222041372516</v>
      </c>
      <c r="X29" s="62">
        <v>12.673102183099521</v>
      </c>
      <c r="Y29" s="66">
        <v>601.46777966489412</v>
      </c>
      <c r="Z29" s="66">
        <v>108.26866172482626</v>
      </c>
      <c r="AA29" s="67">
        <v>0</v>
      </c>
      <c r="AB29" s="68">
        <v>159.40071625179488</v>
      </c>
      <c r="AC29" s="69">
        <v>0</v>
      </c>
      <c r="AD29" s="401">
        <v>25.353264203131594</v>
      </c>
      <c r="AE29" s="401">
        <v>4.5003940700621161</v>
      </c>
      <c r="AF29" s="69">
        <v>29.461103718810598</v>
      </c>
      <c r="AG29" s="68">
        <v>24.706867982300512</v>
      </c>
      <c r="AH29" s="68">
        <v>4.4474194999206613</v>
      </c>
      <c r="AI29" s="68">
        <v>0.8474523000216424</v>
      </c>
      <c r="AJ29" s="69">
        <v>255.38989958763125</v>
      </c>
      <c r="AK29" s="69">
        <v>1198.4312032063804</v>
      </c>
      <c r="AL29" s="69">
        <v>3225.0398708343509</v>
      </c>
      <c r="AM29" s="69">
        <v>588.53381675084438</v>
      </c>
      <c r="AN29" s="69">
        <v>3797.9981068929037</v>
      </c>
      <c r="AO29" s="69">
        <v>2391.2859380086265</v>
      </c>
      <c r="AP29" s="69">
        <v>659.07275390625</v>
      </c>
      <c r="AQ29" s="69">
        <v>2129.9441528320312</v>
      </c>
      <c r="AR29" s="69">
        <v>395.84702208836876</v>
      </c>
      <c r="AS29" s="69">
        <v>888.94915790557866</v>
      </c>
    </row>
    <row r="30" spans="1:45" x14ac:dyDescent="0.25">
      <c r="A30" s="11">
        <v>42909</v>
      </c>
      <c r="B30" s="59"/>
      <c r="C30" s="60">
        <v>55.316426881154207</v>
      </c>
      <c r="D30" s="60">
        <v>646.06329491932991</v>
      </c>
      <c r="E30" s="60">
        <v>15.853979296485564</v>
      </c>
      <c r="F30" s="60">
        <v>0</v>
      </c>
      <c r="G30" s="60">
        <v>1487.8217694600444</v>
      </c>
      <c r="H30" s="61">
        <v>28.209011171261523</v>
      </c>
      <c r="I30" s="59">
        <v>125.01504018306733</v>
      </c>
      <c r="J30" s="60">
        <v>1089.6773265202823</v>
      </c>
      <c r="K30" s="60">
        <v>59.689174389839202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693.90046240917343</v>
      </c>
      <c r="V30" s="62">
        <v>133.62992199362955</v>
      </c>
      <c r="W30" s="62">
        <v>67.525291233812851</v>
      </c>
      <c r="X30" s="62">
        <v>13.003881520474742</v>
      </c>
      <c r="Y30" s="66">
        <v>570.69018387853714</v>
      </c>
      <c r="Z30" s="66">
        <v>109.90234030028634</v>
      </c>
      <c r="AA30" s="67">
        <v>0</v>
      </c>
      <c r="AB30" s="68">
        <v>145.70333997938431</v>
      </c>
      <c r="AC30" s="69">
        <v>0</v>
      </c>
      <c r="AD30" s="401">
        <v>23.715520823276002</v>
      </c>
      <c r="AE30" s="401">
        <v>4.5069426447721952</v>
      </c>
      <c r="AF30" s="69">
        <v>28.030391369925603</v>
      </c>
      <c r="AG30" s="68">
        <v>23.248728791958115</v>
      </c>
      <c r="AH30" s="68">
        <v>4.4771923110327378</v>
      </c>
      <c r="AI30" s="68">
        <v>0.83851961872062841</v>
      </c>
      <c r="AJ30" s="69">
        <v>308.35543125470485</v>
      </c>
      <c r="AK30" s="69">
        <v>1221.405964533488</v>
      </c>
      <c r="AL30" s="69">
        <v>3095.822022628784</v>
      </c>
      <c r="AM30" s="69">
        <v>560.75256910324083</v>
      </c>
      <c r="AN30" s="69">
        <v>3560.7866967519117</v>
      </c>
      <c r="AO30" s="69">
        <v>2258.0630386352541</v>
      </c>
      <c r="AP30" s="69">
        <v>659.07275390625</v>
      </c>
      <c r="AQ30" s="69">
        <v>2129.9441528320312</v>
      </c>
      <c r="AR30" s="69">
        <v>344.78214917182919</v>
      </c>
      <c r="AS30" s="69">
        <v>617.05339199701939</v>
      </c>
    </row>
    <row r="31" spans="1:45" x14ac:dyDescent="0.25">
      <c r="A31" s="11">
        <v>42910</v>
      </c>
      <c r="B31" s="59"/>
      <c r="C31" s="60">
        <v>56.904075402021668</v>
      </c>
      <c r="D31" s="60">
        <v>657.75798320769979</v>
      </c>
      <c r="E31" s="60">
        <v>16.127836885551591</v>
      </c>
      <c r="F31" s="60">
        <v>0</v>
      </c>
      <c r="G31" s="60">
        <v>1432.4325874328588</v>
      </c>
      <c r="H31" s="61">
        <v>28.884888637065956</v>
      </c>
      <c r="I31" s="59">
        <v>124.19784622192388</v>
      </c>
      <c r="J31" s="60">
        <v>980.62217032114722</v>
      </c>
      <c r="K31" s="60">
        <v>53.616868102550569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639.0717516671325</v>
      </c>
      <c r="V31" s="62">
        <v>138.34869684802206</v>
      </c>
      <c r="W31" s="62">
        <v>60.959433266136301</v>
      </c>
      <c r="X31" s="62">
        <v>13.196731244908294</v>
      </c>
      <c r="Y31" s="66">
        <v>496.1631170030434</v>
      </c>
      <c r="Z31" s="66">
        <v>107.41128908038088</v>
      </c>
      <c r="AA31" s="67">
        <v>0</v>
      </c>
      <c r="AB31" s="68">
        <v>133.77672291861577</v>
      </c>
      <c r="AC31" s="69">
        <v>0</v>
      </c>
      <c r="AD31" s="401">
        <v>21.346552149128406</v>
      </c>
      <c r="AE31" s="401">
        <v>4.5885155434653315</v>
      </c>
      <c r="AF31" s="69">
        <v>25.566079898675312</v>
      </c>
      <c r="AG31" s="68">
        <v>20.785937368963641</v>
      </c>
      <c r="AH31" s="68">
        <v>4.4998192147578573</v>
      </c>
      <c r="AI31" s="68">
        <v>0.82204134569361642</v>
      </c>
      <c r="AJ31" s="69">
        <v>243.92456817626953</v>
      </c>
      <c r="AK31" s="69">
        <v>1148.0106381098431</v>
      </c>
      <c r="AL31" s="69">
        <v>3108.7816243489588</v>
      </c>
      <c r="AM31" s="69">
        <v>564.41616144180296</v>
      </c>
      <c r="AN31" s="69">
        <v>3223.9224192301435</v>
      </c>
      <c r="AO31" s="69">
        <v>2250.5262390136718</v>
      </c>
      <c r="AP31" s="69">
        <v>659.07275390625</v>
      </c>
      <c r="AQ31" s="69">
        <v>2129.9441528320312</v>
      </c>
      <c r="AR31" s="69">
        <v>347.87781902949018</v>
      </c>
      <c r="AS31" s="69">
        <v>738.53238792419427</v>
      </c>
    </row>
    <row r="32" spans="1:45" x14ac:dyDescent="0.25">
      <c r="A32" s="11">
        <v>42911</v>
      </c>
      <c r="B32" s="59"/>
      <c r="C32" s="60">
        <v>68.394655779997606</v>
      </c>
      <c r="D32" s="60">
        <v>668.1146375020337</v>
      </c>
      <c r="E32" s="60">
        <v>15.924367223680026</v>
      </c>
      <c r="F32" s="60">
        <v>0</v>
      </c>
      <c r="G32" s="60">
        <v>1468.5094265619905</v>
      </c>
      <c r="H32" s="61">
        <v>28.285043644905176</v>
      </c>
      <c r="I32" s="59">
        <v>125.52647935549422</v>
      </c>
      <c r="J32" s="60">
        <v>990.3309673309335</v>
      </c>
      <c r="K32" s="60">
        <v>54.099781211217184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687.83289083666091</v>
      </c>
      <c r="V32" s="62">
        <v>145.99660842922003</v>
      </c>
      <c r="W32" s="62">
        <v>59.370124131299278</v>
      </c>
      <c r="X32" s="62">
        <v>12.60166078224054</v>
      </c>
      <c r="Y32" s="66">
        <v>503.515319628871</v>
      </c>
      <c r="Z32" s="66">
        <v>106.87411133909642</v>
      </c>
      <c r="AA32" s="67">
        <v>0</v>
      </c>
      <c r="AB32" s="68">
        <v>132.15356897777932</v>
      </c>
      <c r="AC32" s="69">
        <v>0</v>
      </c>
      <c r="AD32" s="401">
        <v>21.555945968614768</v>
      </c>
      <c r="AE32" s="401">
        <v>4.5129037737708035</v>
      </c>
      <c r="AF32" s="69">
        <v>25.854253245724543</v>
      </c>
      <c r="AG32" s="68">
        <v>21.098726455309979</v>
      </c>
      <c r="AH32" s="68">
        <v>4.478329759579065</v>
      </c>
      <c r="AI32" s="68">
        <v>0.82490831931736863</v>
      </c>
      <c r="AJ32" s="69">
        <v>243.92456817626953</v>
      </c>
      <c r="AK32" s="69">
        <v>1156.0252386093139</v>
      </c>
      <c r="AL32" s="69">
        <v>3122.4687320709236</v>
      </c>
      <c r="AM32" s="69">
        <v>568.89686730702726</v>
      </c>
      <c r="AN32" s="69">
        <v>3165.8775375366204</v>
      </c>
      <c r="AO32" s="69">
        <v>2232.9324590047199</v>
      </c>
      <c r="AP32" s="69">
        <v>659.07275390625</v>
      </c>
      <c r="AQ32" s="69">
        <v>2129.9441528320312</v>
      </c>
      <c r="AR32" s="69">
        <v>350.65728165308627</v>
      </c>
      <c r="AS32" s="69">
        <v>760.88387187321996</v>
      </c>
    </row>
    <row r="33" spans="1:45" x14ac:dyDescent="0.25">
      <c r="A33" s="11">
        <v>42912</v>
      </c>
      <c r="B33" s="59"/>
      <c r="C33" s="60">
        <v>56.333633844058035</v>
      </c>
      <c r="D33" s="60">
        <v>685.19274632135932</v>
      </c>
      <c r="E33" s="60">
        <v>15.82257807354133</v>
      </c>
      <c r="F33" s="60">
        <v>0</v>
      </c>
      <c r="G33" s="60">
        <v>1526.7226873397797</v>
      </c>
      <c r="H33" s="61">
        <v>28.876024373372466</v>
      </c>
      <c r="I33" s="59">
        <v>141.84501065413167</v>
      </c>
      <c r="J33" s="60">
        <v>1118.9594476064044</v>
      </c>
      <c r="K33" s="60">
        <v>61.471680871645511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776.03263967958287</v>
      </c>
      <c r="V33" s="62">
        <v>149.05774605412924</v>
      </c>
      <c r="W33" s="62">
        <v>63.655826836032055</v>
      </c>
      <c r="X33" s="62">
        <v>12.226797670918282</v>
      </c>
      <c r="Y33" s="66">
        <v>572.94416571305942</v>
      </c>
      <c r="Z33" s="66">
        <v>110.04919328047052</v>
      </c>
      <c r="AA33" s="67">
        <v>0</v>
      </c>
      <c r="AB33" s="68">
        <v>143.85346600214496</v>
      </c>
      <c r="AC33" s="69">
        <v>0</v>
      </c>
      <c r="AD33" s="401">
        <v>24.351408132821621</v>
      </c>
      <c r="AE33" s="401">
        <v>4.6052797349174792</v>
      </c>
      <c r="AF33" s="69">
        <v>28.719077916940027</v>
      </c>
      <c r="AG33" s="68">
        <v>23.834007358744994</v>
      </c>
      <c r="AH33" s="68">
        <v>4.5779561769449746</v>
      </c>
      <c r="AI33" s="68">
        <v>0.83887223524011889</v>
      </c>
      <c r="AJ33" s="69">
        <v>236.35921618143718</v>
      </c>
      <c r="AK33" s="69">
        <v>1150.9808356602987</v>
      </c>
      <c r="AL33" s="69">
        <v>3154.6398899078372</v>
      </c>
      <c r="AM33" s="69">
        <v>581.26127993265777</v>
      </c>
      <c r="AN33" s="69">
        <v>3244.7221946716313</v>
      </c>
      <c r="AO33" s="69">
        <v>2260.380813090007</v>
      </c>
      <c r="AP33" s="69">
        <v>731.81323684056599</v>
      </c>
      <c r="AQ33" s="69">
        <v>2129.9441528320312</v>
      </c>
      <c r="AR33" s="69">
        <v>390.07163372039798</v>
      </c>
      <c r="AS33" s="69">
        <v>842.35678596496575</v>
      </c>
    </row>
    <row r="34" spans="1:45" x14ac:dyDescent="0.25">
      <c r="A34" s="11">
        <v>42913</v>
      </c>
      <c r="B34" s="59"/>
      <c r="C34" s="60">
        <v>58.913251495361656</v>
      </c>
      <c r="D34" s="60">
        <v>717.30753920872974</v>
      </c>
      <c r="E34" s="60">
        <v>16.544471384088176</v>
      </c>
      <c r="F34" s="60">
        <v>0</v>
      </c>
      <c r="G34" s="60">
        <v>1702.3313480377167</v>
      </c>
      <c r="H34" s="61">
        <v>30.157294372717562</v>
      </c>
      <c r="I34" s="59">
        <v>141.54490238030766</v>
      </c>
      <c r="J34" s="60">
        <v>1116.1423417409255</v>
      </c>
      <c r="K34" s="60">
        <v>61.532908686001925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799.70271674621881</v>
      </c>
      <c r="V34" s="62">
        <v>160.24187948078796</v>
      </c>
      <c r="W34" s="62">
        <v>65.339619902948272</v>
      </c>
      <c r="X34" s="62">
        <v>13.092544615090224</v>
      </c>
      <c r="Y34" s="66">
        <v>580.85602398689389</v>
      </c>
      <c r="Z34" s="66">
        <v>116.39007726534352</v>
      </c>
      <c r="AA34" s="67">
        <v>0</v>
      </c>
      <c r="AB34" s="68">
        <v>143.32217458089184</v>
      </c>
      <c r="AC34" s="69">
        <v>0</v>
      </c>
      <c r="AD34" s="401">
        <v>24.294368333010638</v>
      </c>
      <c r="AE34" s="401">
        <v>4.8081558222509777</v>
      </c>
      <c r="AF34" s="69">
        <v>29.115852812925969</v>
      </c>
      <c r="AG34" s="68">
        <v>23.999913540229009</v>
      </c>
      <c r="AH34" s="68">
        <v>4.809026119993975</v>
      </c>
      <c r="AI34" s="68">
        <v>0.83307174173321341</v>
      </c>
      <c r="AJ34" s="69">
        <v>246.63265220324197</v>
      </c>
      <c r="AK34" s="69">
        <v>1155.6284638722739</v>
      </c>
      <c r="AL34" s="69">
        <v>3176.0260569254556</v>
      </c>
      <c r="AM34" s="69">
        <v>573.58730125427246</v>
      </c>
      <c r="AN34" s="69">
        <v>3363.2573273976636</v>
      </c>
      <c r="AO34" s="69">
        <v>2352.2515644073487</v>
      </c>
      <c r="AP34" s="69">
        <v>521.24650716781616</v>
      </c>
      <c r="AQ34" s="69">
        <v>2129.9441528320312</v>
      </c>
      <c r="AR34" s="69">
        <v>427.09146494865416</v>
      </c>
      <c r="AS34" s="69">
        <v>882.52971687316892</v>
      </c>
    </row>
    <row r="35" spans="1:45" x14ac:dyDescent="0.25">
      <c r="A35" s="11">
        <v>42914</v>
      </c>
      <c r="B35" s="59"/>
      <c r="C35" s="60">
        <v>62.019422435760646</v>
      </c>
      <c r="D35" s="60">
        <v>747.97629645665597</v>
      </c>
      <c r="E35" s="60">
        <v>17.079086247086515</v>
      </c>
      <c r="F35" s="60">
        <v>0</v>
      </c>
      <c r="G35" s="60">
        <v>1795.2590839385957</v>
      </c>
      <c r="H35" s="61">
        <v>31.434391067425477</v>
      </c>
      <c r="I35" s="59">
        <v>141.17793406645461</v>
      </c>
      <c r="J35" s="60">
        <v>1114.7834047953284</v>
      </c>
      <c r="K35" s="60">
        <v>61.559611952304664</v>
      </c>
      <c r="L35" s="60">
        <v>9.4413757324218753E-6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810.77057294226984</v>
      </c>
      <c r="V35" s="62">
        <v>169.36170825517195</v>
      </c>
      <c r="W35" s="62">
        <v>66.501056882942493</v>
      </c>
      <c r="X35" s="62">
        <v>13.891392917230919</v>
      </c>
      <c r="Y35" s="66">
        <v>595.23747100134699</v>
      </c>
      <c r="Z35" s="66">
        <v>124.33904025455377</v>
      </c>
      <c r="AA35" s="67">
        <v>0</v>
      </c>
      <c r="AB35" s="68">
        <v>142.71552229987148</v>
      </c>
      <c r="AC35" s="69">
        <v>0</v>
      </c>
      <c r="AD35" s="401">
        <v>24.262467579618917</v>
      </c>
      <c r="AE35" s="401">
        <v>5.0152473770658199</v>
      </c>
      <c r="AF35" s="69">
        <v>29.326995809872916</v>
      </c>
      <c r="AG35" s="68">
        <v>23.996898904939407</v>
      </c>
      <c r="AH35" s="68">
        <v>5.01270757351055</v>
      </c>
      <c r="AI35" s="68">
        <v>0.82720525432724212</v>
      </c>
      <c r="AJ35" s="69">
        <v>248.40479278564453</v>
      </c>
      <c r="AK35" s="69">
        <v>1129.9559602737429</v>
      </c>
      <c r="AL35" s="69">
        <v>3106.1869482676184</v>
      </c>
      <c r="AM35" s="69">
        <v>551.86839342117321</v>
      </c>
      <c r="AN35" s="69">
        <v>3206.8840165456136</v>
      </c>
      <c r="AO35" s="69">
        <v>2332.2619476318359</v>
      </c>
      <c r="AP35" s="69">
        <v>508.7473367055257</v>
      </c>
      <c r="AQ35" s="69">
        <v>2129.9441528320312</v>
      </c>
      <c r="AR35" s="69">
        <v>434.88589318593341</v>
      </c>
      <c r="AS35" s="69">
        <v>854.43653974533095</v>
      </c>
    </row>
    <row r="36" spans="1:45" x14ac:dyDescent="0.25">
      <c r="A36" s="11">
        <v>42915</v>
      </c>
      <c r="B36" s="59"/>
      <c r="C36" s="60">
        <v>64.412982225418048</v>
      </c>
      <c r="D36" s="60">
        <v>776.63822110494016</v>
      </c>
      <c r="E36" s="60">
        <v>18.042893653611355</v>
      </c>
      <c r="F36" s="60">
        <v>0</v>
      </c>
      <c r="G36" s="60">
        <v>1898.2982242584178</v>
      </c>
      <c r="H36" s="61">
        <v>32.711503726244082</v>
      </c>
      <c r="I36" s="59">
        <v>119.3248708963396</v>
      </c>
      <c r="J36" s="60">
        <v>1131.2231938680004</v>
      </c>
      <c r="K36" s="60">
        <v>62.057728437582597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808.28647877824471</v>
      </c>
      <c r="V36" s="62">
        <v>159.93481363271661</v>
      </c>
      <c r="W36" s="62">
        <v>71.355704549444951</v>
      </c>
      <c r="X36" s="62">
        <v>14.119079816845048</v>
      </c>
      <c r="Y36" s="66">
        <v>609.3418358708069</v>
      </c>
      <c r="Z36" s="66">
        <v>120.56984190298684</v>
      </c>
      <c r="AA36" s="67">
        <v>0</v>
      </c>
      <c r="AB36" s="68">
        <v>147.18088654412162</v>
      </c>
      <c r="AC36" s="69">
        <v>0</v>
      </c>
      <c r="AD36" s="401">
        <v>24.625866050902964</v>
      </c>
      <c r="AE36" s="401">
        <v>5.2076878572620187</v>
      </c>
      <c r="AF36" s="69">
        <v>28.630484645896491</v>
      </c>
      <c r="AG36" s="68">
        <v>23.631171007232656</v>
      </c>
      <c r="AH36" s="68">
        <v>4.6758754849857018</v>
      </c>
      <c r="AI36" s="68">
        <v>0.8348158474862043</v>
      </c>
      <c r="AJ36" s="69">
        <v>244.16888941129048</v>
      </c>
      <c r="AK36" s="69">
        <v>1104.0955802917479</v>
      </c>
      <c r="AL36" s="69">
        <v>3132.2733903249109</v>
      </c>
      <c r="AM36" s="69">
        <v>549.90883356730149</v>
      </c>
      <c r="AN36" s="69">
        <v>3378.0041388193767</v>
      </c>
      <c r="AO36" s="69">
        <v>2367.482487996419</v>
      </c>
      <c r="AP36" s="69">
        <v>671.83914184570312</v>
      </c>
      <c r="AQ36" s="69">
        <v>2129.9441528320312</v>
      </c>
      <c r="AR36" s="69">
        <v>427.41668210029604</v>
      </c>
      <c r="AS36" s="69">
        <v>823.23121318817141</v>
      </c>
    </row>
    <row r="37" spans="1:45" x14ac:dyDescent="0.25">
      <c r="A37" s="11">
        <v>42916</v>
      </c>
      <c r="B37" s="65"/>
      <c r="C37" s="66">
        <v>68.682021900018</v>
      </c>
      <c r="D37" s="66">
        <v>829.00937875111765</v>
      </c>
      <c r="E37" s="66">
        <v>19.295174799362826</v>
      </c>
      <c r="F37" s="66">
        <v>0</v>
      </c>
      <c r="G37" s="66">
        <v>1927.2521906534798</v>
      </c>
      <c r="H37" s="67">
        <v>34.854799381891851</v>
      </c>
      <c r="I37" s="71">
        <v>136.2712034861247</v>
      </c>
      <c r="J37" s="66">
        <v>1036.6239001591994</v>
      </c>
      <c r="K37" s="66">
        <v>56.84756517012918</v>
      </c>
      <c r="L37" s="66">
        <v>0</v>
      </c>
      <c r="M37" s="66">
        <v>0</v>
      </c>
      <c r="N37" s="67">
        <v>0</v>
      </c>
      <c r="O37" s="71">
        <v>0</v>
      </c>
      <c r="P37" s="66">
        <v>0</v>
      </c>
      <c r="Q37" s="66">
        <v>0</v>
      </c>
      <c r="R37" s="391">
        <v>0</v>
      </c>
      <c r="S37" s="66">
        <v>0</v>
      </c>
      <c r="T37" s="393">
        <v>0</v>
      </c>
      <c r="U37" s="71">
        <v>721.86043226398738</v>
      </c>
      <c r="V37" s="66">
        <v>179.68016158265422</v>
      </c>
      <c r="W37" s="62">
        <v>67.082047712305808</v>
      </c>
      <c r="X37" s="62">
        <v>16.697567332287967</v>
      </c>
      <c r="Y37" s="66">
        <v>547.63903170368189</v>
      </c>
      <c r="Z37" s="66">
        <v>136.31425869523295</v>
      </c>
      <c r="AA37" s="67">
        <v>0</v>
      </c>
      <c r="AB37" s="68">
        <v>137.82832270728198</v>
      </c>
      <c r="AC37" s="392">
        <v>0</v>
      </c>
      <c r="AD37" s="401">
        <v>22.560735135582156</v>
      </c>
      <c r="AE37" s="401">
        <v>5.5589000345899215</v>
      </c>
      <c r="AF37" s="392">
        <v>27.262458509869049</v>
      </c>
      <c r="AG37" s="68">
        <v>21.609896635482514</v>
      </c>
      <c r="AH37" s="68">
        <v>5.37897569350078</v>
      </c>
      <c r="AI37" s="68">
        <v>0.80069653789408946</v>
      </c>
      <c r="AJ37" s="392">
        <v>236.18086395263671</v>
      </c>
      <c r="AK37" s="392">
        <v>1060.7739536285403</v>
      </c>
      <c r="AL37" s="392">
        <v>3086.1184852600095</v>
      </c>
      <c r="AM37" s="392">
        <v>541.09080117543533</v>
      </c>
      <c r="AN37" s="392">
        <v>3276.0724346160891</v>
      </c>
      <c r="AO37" s="392">
        <v>2329.2969342549641</v>
      </c>
      <c r="AP37" s="392">
        <v>665.93637119928997</v>
      </c>
      <c r="AQ37" s="392">
        <v>2129.9441528320312</v>
      </c>
      <c r="AR37" s="392">
        <v>412.66635546684267</v>
      </c>
      <c r="AS37" s="392">
        <v>730.96661561330166</v>
      </c>
    </row>
    <row r="38" spans="1:45" ht="15.75" thickBot="1" x14ac:dyDescent="0.3">
      <c r="A38" s="11" t="s">
        <v>223</v>
      </c>
      <c r="B38" s="383"/>
      <c r="C38" s="385"/>
      <c r="D38" s="385"/>
      <c r="E38" s="385"/>
      <c r="F38" s="385"/>
      <c r="G38" s="385"/>
      <c r="H38" s="386"/>
      <c r="I38" s="387"/>
      <c r="J38" s="385"/>
      <c r="K38" s="385"/>
      <c r="L38" s="385"/>
      <c r="M38" s="385"/>
      <c r="N38" s="386"/>
      <c r="O38" s="387"/>
      <c r="P38" s="385"/>
      <c r="Q38" s="385"/>
      <c r="R38" s="388"/>
      <c r="S38" s="385"/>
      <c r="T38" s="389"/>
      <c r="U38" s="387"/>
      <c r="V38" s="385"/>
      <c r="W38" s="384"/>
      <c r="X38" s="384"/>
      <c r="Y38" s="385"/>
      <c r="Z38" s="385"/>
      <c r="AA38" s="386"/>
      <c r="AB38" s="390"/>
      <c r="AC38" s="85"/>
      <c r="AD38" s="401"/>
      <c r="AE38" s="401"/>
      <c r="AF38" s="85"/>
      <c r="AG38" s="390"/>
      <c r="AH38" s="390"/>
      <c r="AI38" s="390"/>
      <c r="AJ38" s="85"/>
      <c r="AK38" s="85"/>
      <c r="AL38" s="85"/>
      <c r="AM38" s="85"/>
      <c r="AN38" s="85"/>
      <c r="AO38" s="85"/>
      <c r="AP38" s="85"/>
      <c r="AQ38" s="85"/>
      <c r="AR38" s="85"/>
      <c r="AS38" s="85"/>
    </row>
    <row r="39" spans="1:45" ht="15.75" thickTop="1" x14ac:dyDescent="0.25">
      <c r="A39" s="46" t="s">
        <v>173</v>
      </c>
      <c r="B39" s="29">
        <f t="shared" ref="B39:AC39" si="0">SUM(B8:B37)</f>
        <v>0</v>
      </c>
      <c r="C39" s="30">
        <f t="shared" si="0"/>
        <v>1776.8942693134184</v>
      </c>
      <c r="D39" s="30">
        <f t="shared" si="0"/>
        <v>19899.956619405737</v>
      </c>
      <c r="E39" s="30">
        <f t="shared" si="0"/>
        <v>490.42931388964206</v>
      </c>
      <c r="F39" s="30">
        <f t="shared" si="0"/>
        <v>0</v>
      </c>
      <c r="G39" s="30">
        <f t="shared" si="0"/>
        <v>46200.622453625911</v>
      </c>
      <c r="H39" s="31">
        <f t="shared" si="0"/>
        <v>675.77232155104559</v>
      </c>
      <c r="I39" s="29">
        <f t="shared" si="0"/>
        <v>4442.9834321737289</v>
      </c>
      <c r="J39" s="30">
        <f t="shared" si="0"/>
        <v>29677.232819441964</v>
      </c>
      <c r="K39" s="30">
        <f t="shared" si="0"/>
        <v>1627.2099219202985</v>
      </c>
      <c r="L39" s="30">
        <f t="shared" si="0"/>
        <v>9.4413757324218753E-6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19493.872492634684</v>
      </c>
      <c r="V39" s="262">
        <f t="shared" si="0"/>
        <v>3852.7295159200125</v>
      </c>
      <c r="W39" s="262">
        <f t="shared" si="0"/>
        <v>1945.338137903809</v>
      </c>
      <c r="X39" s="262">
        <f t="shared" si="0"/>
        <v>387.61723871330446</v>
      </c>
      <c r="Y39" s="262">
        <f t="shared" si="0"/>
        <v>14444.747659954759</v>
      </c>
      <c r="Z39" s="262">
        <f t="shared" si="0"/>
        <v>2810.0290827261101</v>
      </c>
      <c r="AA39" s="270">
        <f t="shared" si="0"/>
        <v>0</v>
      </c>
      <c r="AB39" s="273">
        <f t="shared" si="0"/>
        <v>4028.1423788852071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SUM(AJ8:AJ37)</f>
        <v>8160.3153954823802</v>
      </c>
      <c r="AK39" s="273">
        <f t="shared" si="1"/>
        <v>34385.727779579145</v>
      </c>
      <c r="AL39" s="273">
        <f t="shared" si="1"/>
        <v>93817.887523523983</v>
      </c>
      <c r="AM39" s="273">
        <f t="shared" si="1"/>
        <v>17334.063762696587</v>
      </c>
      <c r="AN39" s="273">
        <f t="shared" si="1"/>
        <v>104600.12276929218</v>
      </c>
      <c r="AO39" s="273">
        <f t="shared" si="1"/>
        <v>70405.247978846208</v>
      </c>
      <c r="AP39" s="273">
        <f t="shared" si="1"/>
        <v>19576.40144141515</v>
      </c>
      <c r="AQ39" s="273">
        <f t="shared" si="1"/>
        <v>63898.324584960938</v>
      </c>
      <c r="AR39" s="273">
        <f t="shared" si="1"/>
        <v>11339.06106754939</v>
      </c>
      <c r="AS39" s="273">
        <f t="shared" si="1"/>
        <v>24737.700644334156</v>
      </c>
    </row>
    <row r="40" spans="1:45" ht="15.75" thickBot="1" x14ac:dyDescent="0.3">
      <c r="A40" s="47" t="s">
        <v>174</v>
      </c>
      <c r="B40" s="32">
        <f>Projection!$AB$30</f>
        <v>0.82128400199999985</v>
      </c>
      <c r="C40" s="33">
        <f>Projection!$AB$28</f>
        <v>1.0959093599999998</v>
      </c>
      <c r="D40" s="33">
        <f>Projection!$AB$31</f>
        <v>2.504502</v>
      </c>
      <c r="E40" s="33">
        <f>Projection!$AB$26</f>
        <v>3.9898560000000005</v>
      </c>
      <c r="F40" s="33">
        <f>Projection!$AB$23</f>
        <v>0</v>
      </c>
      <c r="G40" s="33">
        <f>Projection!$AB$24</f>
        <v>5.5265000000000002E-2</v>
      </c>
      <c r="H40" s="34">
        <f>Projection!$AB$29</f>
        <v>3.1332129000000002</v>
      </c>
      <c r="I40" s="32">
        <f>Projection!$AB$30</f>
        <v>0.82128400199999985</v>
      </c>
      <c r="J40" s="33">
        <f>Projection!$AB$28</f>
        <v>1.0959093599999998</v>
      </c>
      <c r="K40" s="33">
        <f>Projection!$AB$26</f>
        <v>3.9898560000000005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1.0959093599999998</v>
      </c>
      <c r="T40" s="38">
        <f>Projection!$AB$28</f>
        <v>1.0959093599999998</v>
      </c>
      <c r="U40" s="26">
        <f>Projection!$AB$27</f>
        <v>0.23200000000000001</v>
      </c>
      <c r="V40" s="27">
        <f>Projection!$AB$27</f>
        <v>0.23200000000000001</v>
      </c>
      <c r="W40" s="27">
        <f>Projection!$AB$22</f>
        <v>0.74349432000000004</v>
      </c>
      <c r="X40" s="27">
        <f>Projection!$AB$22</f>
        <v>0.74349432000000004</v>
      </c>
      <c r="Y40" s="27">
        <f>Projection!$AB$31</f>
        <v>2.504502</v>
      </c>
      <c r="Z40" s="27">
        <f>Projection!$AB$31</f>
        <v>2.504502</v>
      </c>
      <c r="AA40" s="28">
        <v>0</v>
      </c>
      <c r="AB40" s="41">
        <f>Projection!$AB$27</f>
        <v>0.23200000000000001</v>
      </c>
      <c r="AC40" s="41">
        <f>Projection!$AB$30</f>
        <v>0.82128400199999985</v>
      </c>
      <c r="AD40" s="403">
        <f>SUM(AD8:AD38)</f>
        <v>645.91226190839166</v>
      </c>
      <c r="AE40" s="403">
        <f>SUM(AE8:AE38)</f>
        <v>139.03476572527765</v>
      </c>
      <c r="AF40" s="277">
        <f>SUM(AF8:AF37)</f>
        <v>761.94479233589425</v>
      </c>
      <c r="AG40" s="277">
        <f>SUM(AG8:AG37)</f>
        <v>625.08343182596866</v>
      </c>
      <c r="AH40" s="277">
        <f>SUM(AH8:AH37)</f>
        <v>123.27978053172997</v>
      </c>
      <c r="AI40" s="277">
        <f>IF(SUM(AG40:AH40)&gt;0, AG40/(AG40+AH40), 0)</f>
        <v>0.83526744968751165</v>
      </c>
      <c r="AJ40" s="313">
        <v>6.4000000000000001E-2</v>
      </c>
      <c r="AK40" s="313">
        <f t="shared" ref="AK40:AS40" si="2">$AJ$40</f>
        <v>6.4000000000000001E-2</v>
      </c>
      <c r="AL40" s="313">
        <f t="shared" si="2"/>
        <v>6.4000000000000001E-2</v>
      </c>
      <c r="AM40" s="313">
        <f t="shared" si="2"/>
        <v>6.4000000000000001E-2</v>
      </c>
      <c r="AN40" s="313">
        <f t="shared" si="2"/>
        <v>6.4000000000000001E-2</v>
      </c>
      <c r="AO40" s="313">
        <f t="shared" si="2"/>
        <v>6.4000000000000001E-2</v>
      </c>
      <c r="AP40" s="313">
        <f t="shared" si="2"/>
        <v>6.4000000000000001E-2</v>
      </c>
      <c r="AQ40" s="313">
        <f t="shared" si="2"/>
        <v>6.4000000000000001E-2</v>
      </c>
      <c r="AR40" s="313">
        <f t="shared" si="2"/>
        <v>6.4000000000000001E-2</v>
      </c>
      <c r="AS40" s="313">
        <f t="shared" si="2"/>
        <v>6.4000000000000001E-2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1947.3150614709357</v>
      </c>
      <c r="D41" s="36">
        <f t="shared" si="3"/>
        <v>49839.481153214911</v>
      </c>
      <c r="E41" s="36">
        <f t="shared" si="3"/>
        <v>1956.7423405984719</v>
      </c>
      <c r="F41" s="36">
        <f t="shared" si="3"/>
        <v>0</v>
      </c>
      <c r="G41" s="36">
        <f t="shared" si="3"/>
        <v>2553.2773998996358</v>
      </c>
      <c r="H41" s="37">
        <f t="shared" si="3"/>
        <v>2117.3385553466842</v>
      </c>
      <c r="I41" s="35">
        <f t="shared" si="3"/>
        <v>3648.9512139953349</v>
      </c>
      <c r="J41" s="36">
        <f t="shared" si="3"/>
        <v>32523.557225725635</v>
      </c>
      <c r="K41" s="36">
        <f t="shared" si="3"/>
        <v>6492.3332702332355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4522.5784182912466</v>
      </c>
      <c r="V41" s="268">
        <f t="shared" si="3"/>
        <v>893.8332476934429</v>
      </c>
      <c r="W41" s="268">
        <f t="shared" si="3"/>
        <v>1446.3478560108588</v>
      </c>
      <c r="X41" s="268">
        <f t="shared" si="3"/>
        <v>288.19121531742599</v>
      </c>
      <c r="Y41" s="268">
        <f t="shared" si="3"/>
        <v>36176.89940385201</v>
      </c>
      <c r="Z41" s="268">
        <f t="shared" si="3"/>
        <v>7037.7234577457084</v>
      </c>
      <c r="AA41" s="272">
        <f t="shared" si="3"/>
        <v>0</v>
      </c>
      <c r="AB41" s="275">
        <f t="shared" si="3"/>
        <v>934.52903190136806</v>
      </c>
      <c r="AC41" s="275">
        <f t="shared" si="3"/>
        <v>0</v>
      </c>
      <c r="AJ41" s="278">
        <f t="shared" ref="AJ41:AS41" si="4">AJ40*AJ39</f>
        <v>522.26018531087232</v>
      </c>
      <c r="AK41" s="278">
        <f t="shared" si="4"/>
        <v>2200.6865778930655</v>
      </c>
      <c r="AL41" s="278">
        <f t="shared" si="4"/>
        <v>6004.3448015055346</v>
      </c>
      <c r="AM41" s="278">
        <f t="shared" si="4"/>
        <v>1109.3800808125816</v>
      </c>
      <c r="AN41" s="278">
        <f t="shared" si="4"/>
        <v>6694.4078572346998</v>
      </c>
      <c r="AO41" s="278">
        <f t="shared" si="4"/>
        <v>4505.9358706461571</v>
      </c>
      <c r="AP41" s="278">
        <f t="shared" si="4"/>
        <v>1252.8896922505696</v>
      </c>
      <c r="AQ41" s="278">
        <f t="shared" si="4"/>
        <v>4089.4927734375001</v>
      </c>
      <c r="AR41" s="278">
        <f t="shared" si="4"/>
        <v>725.69990832316103</v>
      </c>
      <c r="AS41" s="278">
        <f t="shared" si="4"/>
        <v>1583.2128412373861</v>
      </c>
    </row>
    <row r="42" spans="1:45" ht="49.5" customHeight="1" thickTop="1" thickBot="1" x14ac:dyDescent="0.3">
      <c r="A42" s="620" t="s">
        <v>229</v>
      </c>
      <c r="B42" s="621"/>
      <c r="C42" s="621"/>
      <c r="D42" s="621"/>
      <c r="E42" s="621"/>
      <c r="F42" s="621"/>
      <c r="G42" s="621"/>
      <c r="H42" s="621"/>
      <c r="I42" s="621"/>
      <c r="J42" s="621"/>
      <c r="K42" s="614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186</v>
      </c>
      <c r="AJ42" s="295">
        <v>534.73</v>
      </c>
      <c r="AK42" s="278" t="s">
        <v>199</v>
      </c>
      <c r="AL42" s="278">
        <v>511.79</v>
      </c>
      <c r="AM42" s="278">
        <v>376.05</v>
      </c>
      <c r="AN42" s="278">
        <v>261.76</v>
      </c>
      <c r="AO42" s="278">
        <v>2129.65</v>
      </c>
      <c r="AP42" s="278">
        <v>372.99</v>
      </c>
      <c r="AQ42" s="278" t="s">
        <v>199</v>
      </c>
      <c r="AR42" s="278">
        <v>59.68</v>
      </c>
      <c r="AS42" s="278">
        <v>151.54</v>
      </c>
    </row>
    <row r="43" spans="1:45" ht="38.25" customHeight="1" thickTop="1" thickBot="1" x14ac:dyDescent="0.3">
      <c r="A43" s="617" t="s">
        <v>49</v>
      </c>
      <c r="B43" s="613"/>
      <c r="C43" s="289"/>
      <c r="D43" s="613" t="s">
        <v>47</v>
      </c>
      <c r="E43" s="613"/>
      <c r="F43" s="289"/>
      <c r="G43" s="613" t="s">
        <v>48</v>
      </c>
      <c r="H43" s="613"/>
      <c r="I43" s="290"/>
      <c r="J43" s="613" t="s">
        <v>50</v>
      </c>
      <c r="K43" s="614"/>
      <c r="L43" s="44"/>
      <c r="M43" s="44"/>
      <c r="N43" s="44"/>
      <c r="O43" s="45"/>
      <c r="P43" s="45"/>
      <c r="Q43" s="45"/>
      <c r="R43" s="602" t="s">
        <v>168</v>
      </c>
      <c r="S43" s="603"/>
      <c r="T43" s="603"/>
      <c r="U43" s="604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152379.09885129691</v>
      </c>
      <c r="C44" s="12"/>
      <c r="D44" s="282" t="s">
        <v>135</v>
      </c>
      <c r="E44" s="283">
        <f>SUM(B41:H41)+P41+R41+T41+V41+X41+Z41</f>
        <v>66633.902431287221</v>
      </c>
      <c r="F44" s="12"/>
      <c r="G44" s="282" t="s">
        <v>135</v>
      </c>
      <c r="H44" s="283">
        <f>SUM(I41:N41)+O41+Q41+S41+U41+W41+Y41</f>
        <v>84810.667388108326</v>
      </c>
      <c r="I44" s="12"/>
      <c r="J44" s="282" t="s">
        <v>200</v>
      </c>
      <c r="K44" s="283">
        <v>130698.72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5" ht="24" thickBot="1" x14ac:dyDescent="0.4">
      <c r="A45" s="284" t="s">
        <v>185</v>
      </c>
      <c r="B45" s="285">
        <f>SUM(AJ41:AS41)</f>
        <v>28688.31058865153</v>
      </c>
      <c r="C45" s="12"/>
      <c r="D45" s="284" t="s">
        <v>185</v>
      </c>
      <c r="E45" s="285">
        <f>AJ41*(1-$AI$40)+AK41+AL41*0.5+AN41+AO41*(1-$AI$40)+AP41*(1-$AI$40)+AQ41*(1-$AI$40)+AR41*0.5+AS41*0.5</f>
        <v>14760.095058747318</v>
      </c>
      <c r="F45" s="24"/>
      <c r="G45" s="284" t="s">
        <v>185</v>
      </c>
      <c r="H45" s="285">
        <f>AJ41*AI40+AL41*0.5+AM41+AO41*AI40+AP41*AI40+AQ41*AI40+AR41*0.5+AS41*0.5</f>
        <v>13928.215529904208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2332.9553766171134</v>
      </c>
      <c r="U45" s="256">
        <f>(T45*8.34*0.895)/27000</f>
        <v>0.64495847472900436</v>
      </c>
    </row>
    <row r="46" spans="1:45" ht="32.25" thickBot="1" x14ac:dyDescent="0.3">
      <c r="A46" s="286" t="s">
        <v>186</v>
      </c>
      <c r="B46" s="287">
        <f>SUM(AJ42:AS42)</f>
        <v>4398.1900000000005</v>
      </c>
      <c r="C46" s="12"/>
      <c r="D46" s="286" t="s">
        <v>186</v>
      </c>
      <c r="E46" s="287">
        <f>AJ42*(1-$AI$40)+AL42*0.5+AN42+AO42*(1-$AI$40)+AP42*(1-$AI$40)+AR42*0.5+AS42*0.5</f>
        <v>1123.6187063426428</v>
      </c>
      <c r="F46" s="23"/>
      <c r="G46" s="286" t="s">
        <v>186</v>
      </c>
      <c r="H46" s="287">
        <f>AJ42*AI40+AL42*0.5+AM42+AO42*AI40+AP42*AI40+AR42*0.5+AS42*0.5</f>
        <v>3274.5712936573577</v>
      </c>
      <c r="I46" s="12"/>
      <c r="J46" s="615" t="s">
        <v>201</v>
      </c>
      <c r="K46" s="616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187</v>
      </c>
      <c r="B47" s="287">
        <f>K44</f>
        <v>130698.72</v>
      </c>
      <c r="C47" s="12"/>
      <c r="D47" s="286" t="s">
        <v>189</v>
      </c>
      <c r="E47" s="287">
        <f>K44*0.5</f>
        <v>65349.36</v>
      </c>
      <c r="F47" s="24"/>
      <c r="G47" s="286" t="s">
        <v>187</v>
      </c>
      <c r="H47" s="287">
        <f>K44*0.5</f>
        <v>65349.36</v>
      </c>
      <c r="I47" s="12"/>
      <c r="J47" s="282" t="s">
        <v>200</v>
      </c>
      <c r="K47" s="283">
        <v>61952.08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46200.622453625911</v>
      </c>
      <c r="U47" s="256">
        <f>T47/40000</f>
        <v>1.1550155613406479</v>
      </c>
    </row>
    <row r="48" spans="1:45" ht="24" thickBot="1" x14ac:dyDescent="0.3">
      <c r="A48" s="286" t="s">
        <v>188</v>
      </c>
      <c r="B48" s="287">
        <f>K47</f>
        <v>61952.08</v>
      </c>
      <c r="C48" s="12"/>
      <c r="D48" s="286" t="s">
        <v>188</v>
      </c>
      <c r="E48" s="287">
        <f>K47*0.5</f>
        <v>30976.04</v>
      </c>
      <c r="F48" s="23"/>
      <c r="G48" s="286" t="s">
        <v>188</v>
      </c>
      <c r="H48" s="287">
        <f>K47*0.5</f>
        <v>30976.04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9.4413757324218753E-6</v>
      </c>
      <c r="U48" s="256">
        <f>T48*9.34*0.107</f>
        <v>9.4355220794677738E-6</v>
      </c>
    </row>
    <row r="49" spans="1:25" ht="48" thickTop="1" thickBot="1" x14ac:dyDescent="0.3">
      <c r="A49" s="291" t="s">
        <v>196</v>
      </c>
      <c r="B49" s="292">
        <f>AF40</f>
        <v>761.94479233589425</v>
      </c>
      <c r="C49" s="12"/>
      <c r="D49" s="291" t="s">
        <v>197</v>
      </c>
      <c r="E49" s="292">
        <f>AH40</f>
        <v>123.27978053172997</v>
      </c>
      <c r="F49" s="375">
        <f>E44/E49</f>
        <v>540.50958027246702</v>
      </c>
      <c r="G49" s="291" t="s">
        <v>198</v>
      </c>
      <c r="H49" s="292">
        <f>AG40</f>
        <v>625.08343182596866</v>
      </c>
      <c r="I49" s="374">
        <f>H44/H49</f>
        <v>135.67895591211368</v>
      </c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2117.6392358099406</v>
      </c>
      <c r="U49" s="256">
        <f>(T49*8.34*1.04)/45000</f>
        <v>0.40816790390491331</v>
      </c>
    </row>
    <row r="50" spans="1:25" ht="48" customHeight="1" thickTop="1" thickBot="1" x14ac:dyDescent="0.3">
      <c r="A50" s="291" t="s">
        <v>238</v>
      </c>
      <c r="B50" s="292">
        <f>SUM(E50+H50)</f>
        <v>784.94702763366934</v>
      </c>
      <c r="C50" s="12"/>
      <c r="D50" s="291" t="s">
        <v>239</v>
      </c>
      <c r="E50" s="292">
        <f>AE40</f>
        <v>139.03476572527765</v>
      </c>
      <c r="F50" s="375"/>
      <c r="G50" s="291" t="s">
        <v>240</v>
      </c>
      <c r="H50" s="292">
        <f>AD40</f>
        <v>645.91226190839166</v>
      </c>
      <c r="I50" s="374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192</v>
      </c>
      <c r="B51" s="293">
        <f>(SUM(B44:B48)/B50)</f>
        <v>481.70944806279766</v>
      </c>
      <c r="C51" s="12"/>
      <c r="D51" s="291" t="s">
        <v>190</v>
      </c>
      <c r="E51" s="294">
        <f>SUM(E44:E48)/E50</f>
        <v>1286.3186790975553</v>
      </c>
      <c r="F51" s="23"/>
      <c r="G51" s="291" t="s">
        <v>191</v>
      </c>
      <c r="H51" s="294">
        <f>SUM(H44:H48)/H50</f>
        <v>307.0677952848647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27374.744387439903</v>
      </c>
      <c r="U51" s="256">
        <f>T51/2000/8</f>
        <v>1.710921524214994</v>
      </c>
    </row>
    <row r="52" spans="1:25" ht="47.25" customHeight="1" thickTop="1" thickBot="1" x14ac:dyDescent="0.3">
      <c r="A52" s="281" t="s">
        <v>193</v>
      </c>
      <c r="B52" s="294">
        <f>B51/1000</f>
        <v>0.48170944806279764</v>
      </c>
      <c r="C52" s="12"/>
      <c r="D52" s="281" t="s">
        <v>194</v>
      </c>
      <c r="E52" s="294">
        <f>E51/1000</f>
        <v>1.2863186790975554</v>
      </c>
      <c r="F52" s="12"/>
      <c r="G52" s="281" t="s">
        <v>195</v>
      </c>
      <c r="H52" s="294">
        <f>H51/1000</f>
        <v>0.30706779528486472</v>
      </c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31454.127088755384</v>
      </c>
      <c r="U52" s="256">
        <f>(T52*8.34*1.4)/45000</f>
        <v>8.1612975086290636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675.77232155104559</v>
      </c>
      <c r="U53" s="256">
        <f>(T53*8.34*1.135)/45000</f>
        <v>0.14215096041266759</v>
      </c>
    </row>
    <row r="54" spans="1:25" ht="48" customHeight="1" thickTop="1" thickBot="1" x14ac:dyDescent="0.3">
      <c r="A54" s="605" t="s">
        <v>51</v>
      </c>
      <c r="B54" s="606"/>
      <c r="C54" s="606"/>
      <c r="D54" s="606"/>
      <c r="E54" s="60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4442.9834321737289</v>
      </c>
      <c r="U54" s="256">
        <f>(T54*8.34*1.029*0.03)/3300</f>
        <v>0.34662783452031298</v>
      </c>
    </row>
    <row r="55" spans="1:25" ht="54" customHeight="1" thickBot="1" x14ac:dyDescent="0.3">
      <c r="A55" s="610" t="s">
        <v>202</v>
      </c>
      <c r="B55" s="611"/>
      <c r="C55" s="611"/>
      <c r="D55" s="611"/>
      <c r="E55" s="61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18" t="s">
        <v>158</v>
      </c>
      <c r="S55" s="619"/>
      <c r="T55" s="258">
        <f>$D$39+$Y$39+$Z$39</f>
        <v>37154.733362086605</v>
      </c>
      <c r="U55" s="259">
        <f>(T55*1.54*8.34)/45000</f>
        <v>10.604456297984344</v>
      </c>
    </row>
    <row r="56" spans="1:25" ht="24" thickTop="1" x14ac:dyDescent="0.25">
      <c r="A56" s="647"/>
      <c r="B56" s="64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49"/>
      <c r="B57" s="65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45"/>
      <c r="B58" s="64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46"/>
      <c r="B59" s="64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45"/>
      <c r="B60" s="64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46"/>
      <c r="B61" s="646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FzZrL98OKfMLRS15MXuufCOE6GUNt8KDrVDTnN2fyNy0ImBKZpRdEcKH8TjihrO/OrPhhwJzSRdFbWV+ORNyQA==" saltValue="KpzQcE75IGurF0BpaS/0wQ==" spinCount="100000" sheet="1" objects="1" scenarios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6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63"/>
  <sheetViews>
    <sheetView topLeftCell="C47" zoomScale="75" zoomScaleNormal="75" workbookViewId="0">
      <selection activeCell="H51" sqref="H51"/>
    </sheetView>
  </sheetViews>
  <sheetFormatPr defaultRowHeight="15" x14ac:dyDescent="0.25"/>
  <cols>
    <col min="1" max="1" width="35.28515625" bestFit="1" customWidth="1"/>
    <col min="2" max="2" width="26.5703125" bestFit="1" customWidth="1"/>
    <col min="3" max="3" width="27.85546875" bestFit="1" customWidth="1"/>
    <col min="4" max="4" width="29.5703125" customWidth="1"/>
    <col min="5" max="5" width="24.28515625" bestFit="1" customWidth="1"/>
    <col min="6" max="6" width="15.140625" bestFit="1" customWidth="1"/>
    <col min="7" max="7" width="35.5703125" customWidth="1"/>
    <col min="8" max="8" width="19.7109375" bestFit="1" customWidth="1"/>
    <col min="9" max="10" width="25.42578125" bestFit="1" customWidth="1"/>
    <col min="11" max="11" width="22.57031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8554687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23" t="s">
        <v>3</v>
      </c>
      <c r="C4" s="624"/>
      <c r="D4" s="624"/>
      <c r="E4" s="624"/>
      <c r="F4" s="624"/>
      <c r="G4" s="624"/>
      <c r="H4" s="625"/>
      <c r="I4" s="623" t="s">
        <v>4</v>
      </c>
      <c r="J4" s="624"/>
      <c r="K4" s="624"/>
      <c r="L4" s="624"/>
      <c r="M4" s="624"/>
      <c r="N4" s="625"/>
      <c r="O4" s="629" t="s">
        <v>5</v>
      </c>
      <c r="P4" s="630"/>
      <c r="Q4" s="631"/>
      <c r="R4" s="631"/>
      <c r="S4" s="631"/>
      <c r="T4" s="632"/>
      <c r="U4" s="623" t="s">
        <v>6</v>
      </c>
      <c r="V4" s="636"/>
      <c r="W4" s="636"/>
      <c r="X4" s="636"/>
      <c r="Y4" s="636"/>
      <c r="Z4" s="636"/>
      <c r="AA4" s="637"/>
      <c r="AB4" s="641" t="s">
        <v>7</v>
      </c>
      <c r="AC4" s="643" t="s">
        <v>8</v>
      </c>
      <c r="AD4" s="608" t="s">
        <v>237</v>
      </c>
      <c r="AE4" s="608" t="s">
        <v>236</v>
      </c>
      <c r="AF4" s="608" t="s">
        <v>27</v>
      </c>
      <c r="AG4" s="608" t="s">
        <v>31</v>
      </c>
      <c r="AH4" s="608" t="s">
        <v>32</v>
      </c>
      <c r="AI4" s="608" t="s">
        <v>33</v>
      </c>
      <c r="AJ4" s="641" t="s">
        <v>175</v>
      </c>
      <c r="AK4" s="641" t="s">
        <v>176</v>
      </c>
      <c r="AL4" s="641" t="s">
        <v>177</v>
      </c>
      <c r="AM4" s="641" t="s">
        <v>178</v>
      </c>
      <c r="AN4" s="641" t="s">
        <v>179</v>
      </c>
      <c r="AO4" s="641" t="s">
        <v>180</v>
      </c>
      <c r="AP4" s="641" t="s">
        <v>181</v>
      </c>
      <c r="AQ4" s="641" t="s">
        <v>184</v>
      </c>
      <c r="AR4" s="641" t="s">
        <v>182</v>
      </c>
      <c r="AS4" s="641" t="s">
        <v>183</v>
      </c>
      <c r="AV4" t="s">
        <v>171</v>
      </c>
      <c r="AW4" s="338" t="s">
        <v>209</v>
      </c>
    </row>
    <row r="5" spans="1:49" ht="30" customHeight="1" thickBot="1" x14ac:dyDescent="0.3">
      <c r="A5" s="13"/>
      <c r="B5" s="626"/>
      <c r="C5" s="627"/>
      <c r="D5" s="627"/>
      <c r="E5" s="627"/>
      <c r="F5" s="627"/>
      <c r="G5" s="627"/>
      <c r="H5" s="628"/>
      <c r="I5" s="626"/>
      <c r="J5" s="627"/>
      <c r="K5" s="627"/>
      <c r="L5" s="627"/>
      <c r="M5" s="627"/>
      <c r="N5" s="628"/>
      <c r="O5" s="633"/>
      <c r="P5" s="634"/>
      <c r="Q5" s="634"/>
      <c r="R5" s="634"/>
      <c r="S5" s="634"/>
      <c r="T5" s="635"/>
      <c r="U5" s="638"/>
      <c r="V5" s="639"/>
      <c r="W5" s="639"/>
      <c r="X5" s="639"/>
      <c r="Y5" s="639"/>
      <c r="Z5" s="639"/>
      <c r="AA5" s="640"/>
      <c r="AB5" s="642"/>
      <c r="AC5" s="644"/>
      <c r="AD5" s="609"/>
      <c r="AE5" s="609"/>
      <c r="AF5" s="622"/>
      <c r="AG5" s="622"/>
      <c r="AH5" s="622"/>
      <c r="AI5" s="622"/>
      <c r="AJ5" s="609"/>
      <c r="AK5" s="609"/>
      <c r="AL5" s="609"/>
      <c r="AM5" s="609"/>
      <c r="AN5" s="609"/>
      <c r="AO5" s="609"/>
      <c r="AP5" s="609"/>
      <c r="AQ5" s="609"/>
      <c r="AR5" s="609"/>
      <c r="AS5" s="609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399" t="s">
        <v>28</v>
      </c>
      <c r="AE7" s="399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  <c r="AR7" s="22" t="s">
        <v>172</v>
      </c>
      <c r="AS7" s="22" t="s">
        <v>172</v>
      </c>
    </row>
    <row r="8" spans="1:49" x14ac:dyDescent="0.25">
      <c r="A8" s="11">
        <v>42917</v>
      </c>
      <c r="B8" s="49"/>
      <c r="C8" s="50">
        <v>74.927422765890782</v>
      </c>
      <c r="D8" s="50">
        <v>922.71860669453918</v>
      </c>
      <c r="E8" s="50">
        <v>21.070855917533233</v>
      </c>
      <c r="F8" s="50">
        <v>0</v>
      </c>
      <c r="G8" s="50">
        <v>2225.0882216135665</v>
      </c>
      <c r="H8" s="51">
        <v>38.017237506310103</v>
      </c>
      <c r="I8" s="49">
        <v>132.16801555156718</v>
      </c>
      <c r="J8" s="50">
        <v>890.72527612050328</v>
      </c>
      <c r="K8" s="50">
        <v>48.919519535700402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635.58415655950535</v>
      </c>
      <c r="V8" s="54">
        <v>195.94107338196105</v>
      </c>
      <c r="W8" s="54">
        <v>60.312243990129794</v>
      </c>
      <c r="X8" s="54">
        <v>18.593361246559574</v>
      </c>
      <c r="Y8" s="54">
        <v>451.65771900504865</v>
      </c>
      <c r="Z8" s="54">
        <v>139.23930820137096</v>
      </c>
      <c r="AA8" s="55">
        <v>0</v>
      </c>
      <c r="AB8" s="56">
        <v>126.42416866090561</v>
      </c>
      <c r="AC8" s="57">
        <v>0</v>
      </c>
      <c r="AD8" s="400">
        <v>19.387162433423285</v>
      </c>
      <c r="AE8" s="400">
        <v>6.064572172735688</v>
      </c>
      <c r="AF8" s="57">
        <v>25.184096350934741</v>
      </c>
      <c r="AG8" s="58">
        <v>19.069765334843964</v>
      </c>
      <c r="AH8" s="58">
        <v>5.8789229566039545</v>
      </c>
      <c r="AI8" s="58">
        <v>0.7643594369400506</v>
      </c>
      <c r="AJ8" s="57">
        <v>236.82214879989624</v>
      </c>
      <c r="AK8" s="57">
        <v>1044.8054829915366</v>
      </c>
      <c r="AL8" s="57">
        <v>3114.6445363362623</v>
      </c>
      <c r="AM8" s="57">
        <v>578.73230330149329</v>
      </c>
      <c r="AN8" s="57">
        <v>3166.6364576975502</v>
      </c>
      <c r="AO8" s="57">
        <v>2342.86325823466</v>
      </c>
      <c r="AP8" s="57">
        <v>611.01521635055542</v>
      </c>
      <c r="AQ8" s="57">
        <v>2592.6770729064942</v>
      </c>
      <c r="AR8" s="57">
        <v>419.81489451726276</v>
      </c>
      <c r="AS8" s="57">
        <v>788.83081057866423</v>
      </c>
    </row>
    <row r="9" spans="1:49" x14ac:dyDescent="0.25">
      <c r="A9" s="11">
        <v>42918</v>
      </c>
      <c r="B9" s="59"/>
      <c r="C9" s="60">
        <v>75.703837939103735</v>
      </c>
      <c r="D9" s="60">
        <v>936.60632127125893</v>
      </c>
      <c r="E9" s="60">
        <v>21.090592659513188</v>
      </c>
      <c r="F9" s="60">
        <v>0</v>
      </c>
      <c r="G9" s="60">
        <v>2287.5972026824925</v>
      </c>
      <c r="H9" s="61">
        <v>38.792049324512476</v>
      </c>
      <c r="I9" s="59">
        <v>130.23244860966992</v>
      </c>
      <c r="J9" s="60">
        <v>841.66313343048148</v>
      </c>
      <c r="K9" s="60">
        <v>46.357935204108543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578.84286311761537</v>
      </c>
      <c r="V9" s="62">
        <v>192.94102525416918</v>
      </c>
      <c r="W9" s="62">
        <v>56.350260315563268</v>
      </c>
      <c r="X9" s="62">
        <v>18.782778006567487</v>
      </c>
      <c r="Y9" s="66">
        <v>405.50646348605386</v>
      </c>
      <c r="Z9" s="66">
        <v>135.16420050650976</v>
      </c>
      <c r="AA9" s="67">
        <v>0</v>
      </c>
      <c r="AB9" s="68">
        <v>122.19525412453697</v>
      </c>
      <c r="AC9" s="69">
        <v>0</v>
      </c>
      <c r="AD9" s="401">
        <v>18.320486195628213</v>
      </c>
      <c r="AE9" s="401">
        <v>6.1715977174010419</v>
      </c>
      <c r="AF9" s="69">
        <v>24.092339713043629</v>
      </c>
      <c r="AG9" s="68">
        <v>17.902540283776609</v>
      </c>
      <c r="AH9" s="68">
        <v>5.9673094324807767</v>
      </c>
      <c r="AI9" s="68">
        <v>0.75000640961654097</v>
      </c>
      <c r="AJ9" s="69">
        <v>240.30900592803954</v>
      </c>
      <c r="AK9" s="69">
        <v>1062.5561533610025</v>
      </c>
      <c r="AL9" s="69">
        <v>3179.12350769043</v>
      </c>
      <c r="AM9" s="69">
        <v>582.9268191019695</v>
      </c>
      <c r="AN9" s="69">
        <v>3371.8919148763016</v>
      </c>
      <c r="AO9" s="69">
        <v>2364.590600204468</v>
      </c>
      <c r="AP9" s="69">
        <v>666.29891967773437</v>
      </c>
      <c r="AQ9" s="69">
        <v>2854.4285888671875</v>
      </c>
      <c r="AR9" s="69">
        <v>423.79153240521742</v>
      </c>
      <c r="AS9" s="69">
        <v>875.25857028961173</v>
      </c>
    </row>
    <row r="10" spans="1:49" x14ac:dyDescent="0.25">
      <c r="A10" s="11">
        <v>42919</v>
      </c>
      <c r="B10" s="59"/>
      <c r="C10" s="60">
        <v>75.564759023984024</v>
      </c>
      <c r="D10" s="60">
        <v>907.96252803802679</v>
      </c>
      <c r="E10" s="60">
        <v>21.080742167929778</v>
      </c>
      <c r="F10" s="60">
        <v>0</v>
      </c>
      <c r="G10" s="60">
        <v>2196.5488850911443</v>
      </c>
      <c r="H10" s="61">
        <v>38.320013314485621</v>
      </c>
      <c r="I10" s="59">
        <v>130.17170832157137</v>
      </c>
      <c r="J10" s="60">
        <v>841.68941777547286</v>
      </c>
      <c r="K10" s="60">
        <v>46.356535073121343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578.72385495912567</v>
      </c>
      <c r="V10" s="62">
        <v>192.91461812776345</v>
      </c>
      <c r="W10" s="62">
        <v>55.830468446080637</v>
      </c>
      <c r="X10" s="62">
        <v>18.610799274777598</v>
      </c>
      <c r="Y10" s="66">
        <v>411.31048457748528</v>
      </c>
      <c r="Z10" s="66">
        <v>137.10823285453668</v>
      </c>
      <c r="AA10" s="67">
        <v>0</v>
      </c>
      <c r="AB10" s="68">
        <v>121.79765619701863</v>
      </c>
      <c r="AC10" s="69">
        <v>0</v>
      </c>
      <c r="AD10" s="401">
        <v>18.321634475734413</v>
      </c>
      <c r="AE10" s="401">
        <v>6.1159731012825871</v>
      </c>
      <c r="AF10" s="69">
        <v>24.095574427975574</v>
      </c>
      <c r="AG10" s="68">
        <v>17.893298292403337</v>
      </c>
      <c r="AH10" s="68">
        <v>5.964638881818602</v>
      </c>
      <c r="AI10" s="68">
        <v>0.74999352046817835</v>
      </c>
      <c r="AJ10" s="69">
        <v>240.59977916081746</v>
      </c>
      <c r="AK10" s="69">
        <v>1060.9245430628459</v>
      </c>
      <c r="AL10" s="69">
        <v>3177.9768859863275</v>
      </c>
      <c r="AM10" s="69">
        <v>579.3017208735148</v>
      </c>
      <c r="AN10" s="69">
        <v>3457.612024052939</v>
      </c>
      <c r="AO10" s="69">
        <v>2407.155198542277</v>
      </c>
      <c r="AP10" s="69">
        <v>658.90781822204588</v>
      </c>
      <c r="AQ10" s="69">
        <v>2843.7537368774415</v>
      </c>
      <c r="AR10" s="69">
        <v>431.08323858579001</v>
      </c>
      <c r="AS10" s="69">
        <v>905.37137451171873</v>
      </c>
    </row>
    <row r="11" spans="1:49" x14ac:dyDescent="0.25">
      <c r="A11" s="11">
        <v>42920</v>
      </c>
      <c r="B11" s="59"/>
      <c r="C11" s="60">
        <v>75.475689407189179</v>
      </c>
      <c r="D11" s="60">
        <v>904.56510518391997</v>
      </c>
      <c r="E11" s="60">
        <v>21.098809513946374</v>
      </c>
      <c r="F11" s="60">
        <v>0</v>
      </c>
      <c r="G11" s="60">
        <v>2221.6496592203839</v>
      </c>
      <c r="H11" s="61">
        <v>38.43849552869802</v>
      </c>
      <c r="I11" s="59">
        <v>130.4236167589824</v>
      </c>
      <c r="J11" s="60">
        <v>841.86016559600864</v>
      </c>
      <c r="K11" s="60">
        <v>46.334916625420284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589.01979564323062</v>
      </c>
      <c r="V11" s="62">
        <v>196.32048777182371</v>
      </c>
      <c r="W11" s="62">
        <v>56.930897940127942</v>
      </c>
      <c r="X11" s="62">
        <v>18.975086636415121</v>
      </c>
      <c r="Y11" s="66">
        <v>414.91448289712588</v>
      </c>
      <c r="Z11" s="66">
        <v>138.29113090673746</v>
      </c>
      <c r="AA11" s="67">
        <v>0</v>
      </c>
      <c r="AB11" s="68">
        <v>121.79332915412022</v>
      </c>
      <c r="AC11" s="69">
        <v>0</v>
      </c>
      <c r="AD11" s="401">
        <v>18.324871853480538</v>
      </c>
      <c r="AE11" s="401">
        <v>6.1183812641864748</v>
      </c>
      <c r="AF11" s="69">
        <v>24.09436213440366</v>
      </c>
      <c r="AG11" s="68">
        <v>17.893093957529256</v>
      </c>
      <c r="AH11" s="68">
        <v>5.9637739842905191</v>
      </c>
      <c r="AI11" s="68">
        <v>0.75001856912506315</v>
      </c>
      <c r="AJ11" s="69">
        <v>260.50309753417969</v>
      </c>
      <c r="AK11" s="69">
        <v>1062.3818442026773</v>
      </c>
      <c r="AL11" s="69">
        <v>3217.3635968526205</v>
      </c>
      <c r="AM11" s="69">
        <v>586.41804663340247</v>
      </c>
      <c r="AN11" s="69">
        <v>3602.713072077433</v>
      </c>
      <c r="AO11" s="69">
        <v>2358.0101111094154</v>
      </c>
      <c r="AP11" s="69">
        <v>651.87725830078125</v>
      </c>
      <c r="AQ11" s="69">
        <v>2833.599609375</v>
      </c>
      <c r="AR11" s="69">
        <v>445.25472199122112</v>
      </c>
      <c r="AS11" s="69">
        <v>916.77787869771328</v>
      </c>
    </row>
    <row r="12" spans="1:49" x14ac:dyDescent="0.25">
      <c r="A12" s="11">
        <v>42921</v>
      </c>
      <c r="B12" s="59"/>
      <c r="C12" s="60">
        <v>76.652371605236837</v>
      </c>
      <c r="D12" s="60">
        <v>921.68410517374753</v>
      </c>
      <c r="E12" s="60">
        <v>21.650878293812291</v>
      </c>
      <c r="F12" s="60">
        <v>0</v>
      </c>
      <c r="G12" s="60">
        <v>2264.6880235036192</v>
      </c>
      <c r="H12" s="61">
        <v>39.093165614207699</v>
      </c>
      <c r="I12" s="59">
        <v>121.42320504188537</v>
      </c>
      <c r="J12" s="60">
        <v>769.11750570932861</v>
      </c>
      <c r="K12" s="60">
        <v>42.254661455750494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573.25151779594046</v>
      </c>
      <c r="V12" s="62">
        <v>189.21177097749214</v>
      </c>
      <c r="W12" s="62">
        <v>55.214815036917983</v>
      </c>
      <c r="X12" s="62">
        <v>18.224623246525482</v>
      </c>
      <c r="Y12" s="66">
        <v>405.59922096373816</v>
      </c>
      <c r="Z12" s="66">
        <v>133.87517437495657</v>
      </c>
      <c r="AA12" s="67">
        <v>0</v>
      </c>
      <c r="AB12" s="68">
        <v>121.23005957603591</v>
      </c>
      <c r="AC12" s="69">
        <v>0</v>
      </c>
      <c r="AD12" s="401">
        <v>18.331020634581321</v>
      </c>
      <c r="AE12" s="401">
        <v>6.2348562723933707</v>
      </c>
      <c r="AF12" s="69">
        <v>23.422025707032912</v>
      </c>
      <c r="AG12" s="68">
        <v>17.413647981791438</v>
      </c>
      <c r="AH12" s="68">
        <v>5.7476815525611196</v>
      </c>
      <c r="AI12" s="68">
        <v>0.75184146730280577</v>
      </c>
      <c r="AJ12" s="69">
        <v>254.25295910835266</v>
      </c>
      <c r="AK12" s="69">
        <v>1066.3419286727906</v>
      </c>
      <c r="AL12" s="69">
        <v>3289.5642860412599</v>
      </c>
      <c r="AM12" s="69">
        <v>555.00938773155212</v>
      </c>
      <c r="AN12" s="69">
        <v>3641.8469078063963</v>
      </c>
      <c r="AO12" s="69">
        <v>2505.5098555246987</v>
      </c>
      <c r="AP12" s="69">
        <v>651.87725830078125</v>
      </c>
      <c r="AQ12" s="69">
        <v>2833.599609375</v>
      </c>
      <c r="AR12" s="69">
        <v>480.1256679852803</v>
      </c>
      <c r="AS12" s="69">
        <v>972.5584391593934</v>
      </c>
    </row>
    <row r="13" spans="1:49" x14ac:dyDescent="0.25">
      <c r="A13" s="11">
        <v>42922</v>
      </c>
      <c r="B13" s="59"/>
      <c r="C13" s="60">
        <v>81.581396126747492</v>
      </c>
      <c r="D13" s="60">
        <v>980.55139211018854</v>
      </c>
      <c r="E13" s="60">
        <v>22.7938276881973</v>
      </c>
      <c r="F13" s="60">
        <v>0</v>
      </c>
      <c r="G13" s="60">
        <v>2347.6346365610766</v>
      </c>
      <c r="H13" s="61">
        <v>41.541145431995425</v>
      </c>
      <c r="I13" s="59">
        <v>110.05776104132326</v>
      </c>
      <c r="J13" s="60">
        <v>717.34695482253949</v>
      </c>
      <c r="K13" s="60">
        <v>39.353934597969001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526.40678858642752</v>
      </c>
      <c r="V13" s="62">
        <v>189.32873434075267</v>
      </c>
      <c r="W13" s="62">
        <v>58.032315618544438</v>
      </c>
      <c r="X13" s="62">
        <v>20.872042506188528</v>
      </c>
      <c r="Y13" s="66">
        <v>407.43797629970106</v>
      </c>
      <c r="Z13" s="66">
        <v>146.54012457233895</v>
      </c>
      <c r="AA13" s="67">
        <v>0</v>
      </c>
      <c r="AB13" s="68">
        <v>122.86344790458693</v>
      </c>
      <c r="AC13" s="69">
        <v>0</v>
      </c>
      <c r="AD13" s="401">
        <v>18.452651629450848</v>
      </c>
      <c r="AE13" s="401">
        <v>6.6331475887019371</v>
      </c>
      <c r="AF13" s="69">
        <v>24.826638134320575</v>
      </c>
      <c r="AG13" s="68">
        <v>17.999065835104243</v>
      </c>
      <c r="AH13" s="68">
        <v>6.4735874000163545</v>
      </c>
      <c r="AI13" s="68">
        <v>0.73547668338935412</v>
      </c>
      <c r="AJ13" s="69">
        <v>248.01829204559326</v>
      </c>
      <c r="AK13" s="69">
        <v>1076.1421700795493</v>
      </c>
      <c r="AL13" s="69">
        <v>3239.4919150034589</v>
      </c>
      <c r="AM13" s="69">
        <v>511.2810206890108</v>
      </c>
      <c r="AN13" s="69">
        <v>3697.3180704752604</v>
      </c>
      <c r="AO13" s="69">
        <v>2516.6108899434403</v>
      </c>
      <c r="AP13" s="69">
        <v>689.35179643630988</v>
      </c>
      <c r="AQ13" s="69">
        <v>3054.0069004058837</v>
      </c>
      <c r="AR13" s="69">
        <v>503.03578834533693</v>
      </c>
      <c r="AS13" s="69">
        <v>1006.6425058682759</v>
      </c>
    </row>
    <row r="14" spans="1:49" x14ac:dyDescent="0.25">
      <c r="A14" s="11">
        <v>42923</v>
      </c>
      <c r="B14" s="59"/>
      <c r="C14" s="60">
        <v>85.915752677122683</v>
      </c>
      <c r="D14" s="60">
        <v>1012.4664855957028</v>
      </c>
      <c r="E14" s="60">
        <v>24.237928223609941</v>
      </c>
      <c r="F14" s="60">
        <v>0</v>
      </c>
      <c r="G14" s="60">
        <v>2446.5562141418541</v>
      </c>
      <c r="H14" s="61">
        <v>43.777401492993107</v>
      </c>
      <c r="I14" s="59">
        <v>101.46113029321036</v>
      </c>
      <c r="J14" s="60">
        <v>716.90533593495502</v>
      </c>
      <c r="K14" s="60">
        <v>39.377636256814071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514.62456256446239</v>
      </c>
      <c r="V14" s="62">
        <v>194.59831031795608</v>
      </c>
      <c r="W14" s="62">
        <v>57.076784361225243</v>
      </c>
      <c r="X14" s="62">
        <v>21.582813186623778</v>
      </c>
      <c r="Y14" s="66">
        <v>389.22998994703249</v>
      </c>
      <c r="Z14" s="66">
        <v>147.18205052499772</v>
      </c>
      <c r="AA14" s="67">
        <v>0</v>
      </c>
      <c r="AB14" s="68">
        <v>125.20575051307709</v>
      </c>
      <c r="AC14" s="69">
        <v>0</v>
      </c>
      <c r="AD14" s="401">
        <v>18.444229780164651</v>
      </c>
      <c r="AE14" s="401">
        <v>6.991878852124203</v>
      </c>
      <c r="AF14" s="69">
        <v>25.029465986622728</v>
      </c>
      <c r="AG14" s="68">
        <v>17.898984442125062</v>
      </c>
      <c r="AH14" s="68">
        <v>6.7682586145674364</v>
      </c>
      <c r="AI14" s="68">
        <v>0.72561754878678542</v>
      </c>
      <c r="AJ14" s="69">
        <v>240.97936248779297</v>
      </c>
      <c r="AK14" s="69">
        <v>1061.9496497472128</v>
      </c>
      <c r="AL14" s="69">
        <v>3226.6477210998532</v>
      </c>
      <c r="AM14" s="69">
        <v>490.70096267064412</v>
      </c>
      <c r="AN14" s="69">
        <v>3836.3457277933753</v>
      </c>
      <c r="AO14" s="69">
        <v>2477.0863012949626</v>
      </c>
      <c r="AP14" s="69">
        <v>572.22523371378577</v>
      </c>
      <c r="AQ14" s="69">
        <v>2931.9522444407144</v>
      </c>
      <c r="AR14" s="69">
        <v>465.81567382812506</v>
      </c>
      <c r="AS14" s="69">
        <v>906.5915183703105</v>
      </c>
    </row>
    <row r="15" spans="1:49" x14ac:dyDescent="0.25">
      <c r="A15" s="11">
        <v>42924</v>
      </c>
      <c r="B15" s="59"/>
      <c r="C15" s="60">
        <v>86.450211417675121</v>
      </c>
      <c r="D15" s="60">
        <v>1014.065496317545</v>
      </c>
      <c r="E15" s="60">
        <v>24.586636123061147</v>
      </c>
      <c r="F15" s="60">
        <v>0</v>
      </c>
      <c r="G15" s="60">
        <v>2530.0496520996221</v>
      </c>
      <c r="H15" s="61">
        <v>43.785356384515815</v>
      </c>
      <c r="I15" s="59">
        <v>101.44914462566378</v>
      </c>
      <c r="J15" s="60">
        <v>716.97463652292822</v>
      </c>
      <c r="K15" s="60">
        <v>39.37858147025112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511.13471153958312</v>
      </c>
      <c r="V15" s="62">
        <v>198.7616843344413</v>
      </c>
      <c r="W15" s="62">
        <v>56.755678571081596</v>
      </c>
      <c r="X15" s="62">
        <v>22.070217525147921</v>
      </c>
      <c r="Y15" s="66">
        <v>385.42150032314743</v>
      </c>
      <c r="Z15" s="66">
        <v>149.8763923745054</v>
      </c>
      <c r="AA15" s="67">
        <v>0</v>
      </c>
      <c r="AB15" s="68">
        <v>124.84667533768435</v>
      </c>
      <c r="AC15" s="69">
        <v>0</v>
      </c>
      <c r="AD15" s="401">
        <v>18.445333779601381</v>
      </c>
      <c r="AE15" s="401">
        <v>6.9834810250118071</v>
      </c>
      <c r="AF15" s="69">
        <v>25.35713664293289</v>
      </c>
      <c r="AG15" s="68">
        <v>18.002316343669577</v>
      </c>
      <c r="AH15" s="68">
        <v>7.000445553015636</v>
      </c>
      <c r="AI15" s="68">
        <v>0.72001310967394627</v>
      </c>
      <c r="AJ15" s="69">
        <v>240.41843401590984</v>
      </c>
      <c r="AK15" s="69">
        <v>1061.751981226603</v>
      </c>
      <c r="AL15" s="69">
        <v>3205.8428014119468</v>
      </c>
      <c r="AM15" s="69">
        <v>485.33181180953983</v>
      </c>
      <c r="AN15" s="69">
        <v>3881.2033421834312</v>
      </c>
      <c r="AO15" s="69">
        <v>2513.8570798238115</v>
      </c>
      <c r="AP15" s="69">
        <v>562.51625061035156</v>
      </c>
      <c r="AQ15" s="69">
        <v>2883.3533935546875</v>
      </c>
      <c r="AR15" s="69">
        <v>451.67539002100625</v>
      </c>
      <c r="AS15" s="69">
        <v>913.09691267013545</v>
      </c>
    </row>
    <row r="16" spans="1:49" x14ac:dyDescent="0.25">
      <c r="A16" s="11">
        <v>42925</v>
      </c>
      <c r="B16" s="59"/>
      <c r="C16" s="60">
        <v>85.717669423420745</v>
      </c>
      <c r="D16" s="60">
        <v>1015.0376766204822</v>
      </c>
      <c r="E16" s="60">
        <v>24.514063336451866</v>
      </c>
      <c r="F16" s="60">
        <v>0</v>
      </c>
      <c r="G16" s="60">
        <v>2544.542454910279</v>
      </c>
      <c r="H16" s="61">
        <v>43.885770340760537</v>
      </c>
      <c r="I16" s="59">
        <v>101.27826506296792</v>
      </c>
      <c r="J16" s="60">
        <v>716.74434248606156</v>
      </c>
      <c r="K16" s="60">
        <v>39.354121800263698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506.90526660765084</v>
      </c>
      <c r="V16" s="62">
        <v>197.14098676623925</v>
      </c>
      <c r="W16" s="62">
        <v>55.730772257037508</v>
      </c>
      <c r="X16" s="62">
        <v>21.67430516065405</v>
      </c>
      <c r="Y16" s="66">
        <v>381.77877700732199</v>
      </c>
      <c r="Z16" s="66">
        <v>148.47793026361799</v>
      </c>
      <c r="AA16" s="67">
        <v>0</v>
      </c>
      <c r="AB16" s="68">
        <v>124.92696859041835</v>
      </c>
      <c r="AC16" s="69">
        <v>0</v>
      </c>
      <c r="AD16" s="401">
        <v>18.440767326786229</v>
      </c>
      <c r="AE16" s="401">
        <v>6.9903004799059856</v>
      </c>
      <c r="AF16" s="69">
        <v>25.22086002959146</v>
      </c>
      <c r="AG16" s="68">
        <v>17.907530019549274</v>
      </c>
      <c r="AH16" s="68">
        <v>6.9644337337936681</v>
      </c>
      <c r="AI16" s="68">
        <v>0.71998858623064677</v>
      </c>
      <c r="AJ16" s="69">
        <v>239.62252807617187</v>
      </c>
      <c r="AK16" s="69">
        <v>1069.0414915084839</v>
      </c>
      <c r="AL16" s="69">
        <v>3240.5499521891275</v>
      </c>
      <c r="AM16" s="69">
        <v>496.59047441482539</v>
      </c>
      <c r="AN16" s="69">
        <v>3805.4752298990884</v>
      </c>
      <c r="AO16" s="69">
        <v>2558.1245572408038</v>
      </c>
      <c r="AP16" s="69">
        <v>562.51625061035156</v>
      </c>
      <c r="AQ16" s="69">
        <v>2883.3533935546875</v>
      </c>
      <c r="AR16" s="69">
        <v>481.21290324529019</v>
      </c>
      <c r="AS16" s="69">
        <v>913.67280381520595</v>
      </c>
    </row>
    <row r="17" spans="1:45" x14ac:dyDescent="0.25">
      <c r="A17" s="11">
        <v>42926</v>
      </c>
      <c r="B17" s="49"/>
      <c r="C17" s="50">
        <v>88.639381539821755</v>
      </c>
      <c r="D17" s="50">
        <v>1046.1726524988828</v>
      </c>
      <c r="E17" s="50">
        <v>25.146614776551807</v>
      </c>
      <c r="F17" s="50">
        <v>0</v>
      </c>
      <c r="G17" s="50">
        <v>2546.553456751506</v>
      </c>
      <c r="H17" s="51">
        <v>45.259143058459031</v>
      </c>
      <c r="I17" s="49">
        <v>101.35912516117084</v>
      </c>
      <c r="J17" s="50">
        <v>716.81724173227792</v>
      </c>
      <c r="K17" s="50">
        <v>39.245180645585009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507.49078930972075</v>
      </c>
      <c r="V17" s="66">
        <v>202.31479845883203</v>
      </c>
      <c r="W17" s="62">
        <v>55.580665065873617</v>
      </c>
      <c r="X17" s="62">
        <v>22.15762588776245</v>
      </c>
      <c r="Y17" s="66">
        <v>383.42891281468889</v>
      </c>
      <c r="Z17" s="66">
        <v>152.85665248212018</v>
      </c>
      <c r="AA17" s="67">
        <v>0</v>
      </c>
      <c r="AB17" s="68">
        <v>126.34408677948998</v>
      </c>
      <c r="AC17" s="69">
        <v>0</v>
      </c>
      <c r="AD17" s="401">
        <v>18.447881610195235</v>
      </c>
      <c r="AE17" s="401">
        <v>7.2118929705049872</v>
      </c>
      <c r="AF17" s="69">
        <v>25.398680929342898</v>
      </c>
      <c r="AG17" s="68">
        <v>17.901083047901398</v>
      </c>
      <c r="AH17" s="68">
        <v>7.1363935766343456</v>
      </c>
      <c r="AI17" s="68">
        <v>0.71497153312802453</v>
      </c>
      <c r="AJ17" s="69">
        <v>239.62252807617187</v>
      </c>
      <c r="AK17" s="69">
        <v>1073.0203594207767</v>
      </c>
      <c r="AL17" s="69">
        <v>3255.1630798339843</v>
      </c>
      <c r="AM17" s="69">
        <v>495.80521866480507</v>
      </c>
      <c r="AN17" s="69">
        <v>3713.5904457092288</v>
      </c>
      <c r="AO17" s="69">
        <v>2504.4634059906002</v>
      </c>
      <c r="AP17" s="69">
        <v>562.51625061035156</v>
      </c>
      <c r="AQ17" s="69">
        <v>2883.3533935546875</v>
      </c>
      <c r="AR17" s="69">
        <v>493.96510257720945</v>
      </c>
      <c r="AS17" s="69">
        <v>947.69386768341064</v>
      </c>
    </row>
    <row r="18" spans="1:45" x14ac:dyDescent="0.25">
      <c r="A18" s="11">
        <v>42927</v>
      </c>
      <c r="B18" s="59"/>
      <c r="C18" s="60">
        <v>94.45269718567549</v>
      </c>
      <c r="D18" s="60">
        <v>1074.0472838083938</v>
      </c>
      <c r="E18" s="60">
        <v>26.421249310672245</v>
      </c>
      <c r="F18" s="60">
        <v>0</v>
      </c>
      <c r="G18" s="60">
        <v>2556.4219502766946</v>
      </c>
      <c r="H18" s="61">
        <v>47.601091084877744</v>
      </c>
      <c r="I18" s="59">
        <v>101.25185526212061</v>
      </c>
      <c r="J18" s="60">
        <v>716.88029273350901</v>
      </c>
      <c r="K18" s="60">
        <v>39.398739148179658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517.18382000141276</v>
      </c>
      <c r="V18" s="62">
        <v>215.79485550178529</v>
      </c>
      <c r="W18" s="62">
        <v>54.447899077760937</v>
      </c>
      <c r="X18" s="62">
        <v>22.718376057915183</v>
      </c>
      <c r="Y18" s="66">
        <v>381.63220094753433</v>
      </c>
      <c r="Z18" s="66">
        <v>159.23596692966248</v>
      </c>
      <c r="AA18" s="67">
        <v>0</v>
      </c>
      <c r="AB18" s="68">
        <v>128.56544285350498</v>
      </c>
      <c r="AC18" s="69">
        <v>0</v>
      </c>
      <c r="AD18" s="401">
        <v>18.447242774350194</v>
      </c>
      <c r="AE18" s="401">
        <v>7.5923615276186842</v>
      </c>
      <c r="AF18" s="69">
        <v>25.421232250001715</v>
      </c>
      <c r="AG18" s="68">
        <v>17.679886055549588</v>
      </c>
      <c r="AH18" s="68">
        <v>7.3769292640186084</v>
      </c>
      <c r="AI18" s="68">
        <v>0.70559190503920222</v>
      </c>
      <c r="AJ18" s="69">
        <v>241.55169925689697</v>
      </c>
      <c r="AK18" s="69">
        <v>1062.7872011820475</v>
      </c>
      <c r="AL18" s="69">
        <v>3264.3404811859136</v>
      </c>
      <c r="AM18" s="69">
        <v>493.98226556777951</v>
      </c>
      <c r="AN18" s="69">
        <v>3698.8413706461588</v>
      </c>
      <c r="AO18" s="69">
        <v>2606.9090194702148</v>
      </c>
      <c r="AP18" s="69">
        <v>562.51625061035156</v>
      </c>
      <c r="AQ18" s="69">
        <v>2883.3533935546875</v>
      </c>
      <c r="AR18" s="69">
        <v>499.72238833109543</v>
      </c>
      <c r="AS18" s="69">
        <v>920.98662071228046</v>
      </c>
    </row>
    <row r="19" spans="1:45" x14ac:dyDescent="0.25">
      <c r="A19" s="11">
        <v>42928</v>
      </c>
      <c r="B19" s="59"/>
      <c r="C19" s="60">
        <v>94.862307254473563</v>
      </c>
      <c r="D19" s="60">
        <v>1074.2640783945726</v>
      </c>
      <c r="E19" s="60">
        <v>27.095229386786684</v>
      </c>
      <c r="F19" s="60">
        <v>0</v>
      </c>
      <c r="G19" s="60">
        <v>2659.4402371724441</v>
      </c>
      <c r="H19" s="61">
        <v>48.135674921671594</v>
      </c>
      <c r="I19" s="59">
        <v>101.49058139324181</v>
      </c>
      <c r="J19" s="60">
        <v>717.95012725194078</v>
      </c>
      <c r="K19" s="60">
        <v>39.382032661636657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577.12269652621444</v>
      </c>
      <c r="V19" s="62">
        <v>243.65833612081443</v>
      </c>
      <c r="W19" s="62">
        <v>53.503506769202716</v>
      </c>
      <c r="X19" s="62">
        <v>22.588914826052957</v>
      </c>
      <c r="Y19" s="66">
        <v>388.23287968969981</v>
      </c>
      <c r="Z19" s="66">
        <v>163.90999359750145</v>
      </c>
      <c r="AA19" s="67">
        <v>0</v>
      </c>
      <c r="AB19" s="68">
        <v>129.11011679437306</v>
      </c>
      <c r="AC19" s="69">
        <v>0</v>
      </c>
      <c r="AD19" s="401">
        <v>18.468850132403297</v>
      </c>
      <c r="AE19" s="401">
        <v>7.6742904150923534</v>
      </c>
      <c r="AF19" s="69">
        <v>25.981355628702357</v>
      </c>
      <c r="AG19" s="68">
        <v>18.000481735372468</v>
      </c>
      <c r="AH19" s="68">
        <v>7.5997139870147965</v>
      </c>
      <c r="AI19" s="68">
        <v>0.70313844200929776</v>
      </c>
      <c r="AJ19" s="69">
        <v>259.46635098457335</v>
      </c>
      <c r="AK19" s="69">
        <v>1063.2297686894735</v>
      </c>
      <c r="AL19" s="69">
        <v>3222.2204839070632</v>
      </c>
      <c r="AM19" s="69">
        <v>485.51534355481465</v>
      </c>
      <c r="AN19" s="69">
        <v>3736.6512246449788</v>
      </c>
      <c r="AO19" s="69">
        <v>2523.430875396728</v>
      </c>
      <c r="AP19" s="69">
        <v>562.51625061035156</v>
      </c>
      <c r="AQ19" s="69">
        <v>2883.3533935546875</v>
      </c>
      <c r="AR19" s="69">
        <v>467.61444651285802</v>
      </c>
      <c r="AS19" s="69">
        <v>904.58334452311192</v>
      </c>
    </row>
    <row r="20" spans="1:45" x14ac:dyDescent="0.25">
      <c r="A20" s="11">
        <v>42929</v>
      </c>
      <c r="B20" s="59"/>
      <c r="C20" s="60">
        <v>97.819721400738374</v>
      </c>
      <c r="D20" s="60">
        <v>1125.6564708073929</v>
      </c>
      <c r="E20" s="60">
        <v>27.46084363212195</v>
      </c>
      <c r="F20" s="60">
        <v>0</v>
      </c>
      <c r="G20" s="60">
        <v>2780.1786298115994</v>
      </c>
      <c r="H20" s="61">
        <v>49.733114769061508</v>
      </c>
      <c r="I20" s="59">
        <v>101.54387206236517</v>
      </c>
      <c r="J20" s="60">
        <v>717.922985521952</v>
      </c>
      <c r="K20" s="60">
        <v>39.420807065566329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560.42885394391226</v>
      </c>
      <c r="V20" s="62">
        <v>242.57933955957478</v>
      </c>
      <c r="W20" s="62">
        <v>53.723287325940518</v>
      </c>
      <c r="X20" s="62">
        <v>23.253905409731427</v>
      </c>
      <c r="Y20" s="66">
        <v>372.91592018157843</v>
      </c>
      <c r="Z20" s="66">
        <v>161.41513234425972</v>
      </c>
      <c r="AA20" s="67">
        <v>0</v>
      </c>
      <c r="AB20" s="68">
        <v>130.46624707116104</v>
      </c>
      <c r="AC20" s="69">
        <v>0</v>
      </c>
      <c r="AD20" s="401">
        <v>18.467868274022948</v>
      </c>
      <c r="AE20" s="401">
        <v>7.9354567178906867</v>
      </c>
      <c r="AF20" s="69">
        <v>25.613299838701877</v>
      </c>
      <c r="AG20" s="68">
        <v>17.597869189072664</v>
      </c>
      <c r="AH20" s="68">
        <v>7.6171657749232624</v>
      </c>
      <c r="AI20" s="68">
        <v>0.69791175043779752</v>
      </c>
      <c r="AJ20" s="69">
        <v>235.9110870997111</v>
      </c>
      <c r="AK20" s="69">
        <v>1033.5310926437378</v>
      </c>
      <c r="AL20" s="69">
        <v>3260.1905812581376</v>
      </c>
      <c r="AM20" s="69">
        <v>483.06937828063963</v>
      </c>
      <c r="AN20" s="69">
        <v>3852.5288923899343</v>
      </c>
      <c r="AO20" s="69">
        <v>2593.7721769968671</v>
      </c>
      <c r="AP20" s="69">
        <v>562.51625061035156</v>
      </c>
      <c r="AQ20" s="69">
        <v>2883.3533935546875</v>
      </c>
      <c r="AR20" s="69">
        <v>462.6572249094645</v>
      </c>
      <c r="AS20" s="69">
        <v>896.39414628346776</v>
      </c>
    </row>
    <row r="21" spans="1:45" x14ac:dyDescent="0.25">
      <c r="A21" s="11">
        <v>42930</v>
      </c>
      <c r="B21" s="59"/>
      <c r="C21" s="60">
        <v>99.503469419480297</v>
      </c>
      <c r="D21" s="60">
        <v>1145.0178186416626</v>
      </c>
      <c r="E21" s="60">
        <v>28.158655464152453</v>
      </c>
      <c r="F21" s="60">
        <v>0</v>
      </c>
      <c r="G21" s="60">
        <v>2812.0211849212787</v>
      </c>
      <c r="H21" s="61">
        <v>50.586456378301044</v>
      </c>
      <c r="I21" s="59">
        <v>101.67900762557981</v>
      </c>
      <c r="J21" s="60">
        <v>718.68736356099396</v>
      </c>
      <c r="K21" s="60">
        <v>39.46279374063009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546.13658558374834</v>
      </c>
      <c r="V21" s="62">
        <v>240.03216971444169</v>
      </c>
      <c r="W21" s="62">
        <v>54.788734190887737</v>
      </c>
      <c r="X21" s="62">
        <v>24.080164359781616</v>
      </c>
      <c r="Y21" s="66">
        <v>380.38366860523581</v>
      </c>
      <c r="Z21" s="66">
        <v>167.18220260168357</v>
      </c>
      <c r="AA21" s="67">
        <v>0</v>
      </c>
      <c r="AB21" s="68">
        <v>131.3971130794944</v>
      </c>
      <c r="AC21" s="69">
        <v>0</v>
      </c>
      <c r="AD21" s="401">
        <v>18.490025812539798</v>
      </c>
      <c r="AE21" s="401">
        <v>8.0669929508974629</v>
      </c>
      <c r="AF21" s="69">
        <v>26.305291448699087</v>
      </c>
      <c r="AG21" s="68">
        <v>18.000488673639836</v>
      </c>
      <c r="AH21" s="68">
        <v>7.9113841963833025</v>
      </c>
      <c r="AI21" s="68">
        <v>0.69468111255146658</v>
      </c>
      <c r="AJ21" s="69">
        <v>215.40900845527648</v>
      </c>
      <c r="AK21" s="69">
        <v>992.66273740132658</v>
      </c>
      <c r="AL21" s="69">
        <v>3234.5924685160317</v>
      </c>
      <c r="AM21" s="69">
        <v>485.68269367218011</v>
      </c>
      <c r="AN21" s="69">
        <v>3942.4586624145504</v>
      </c>
      <c r="AO21" s="69">
        <v>2566.8019875844316</v>
      </c>
      <c r="AP21" s="69">
        <v>741.98307402928663</v>
      </c>
      <c r="AQ21" s="69">
        <v>2883.3533935546875</v>
      </c>
      <c r="AR21" s="69">
        <v>471.241050116221</v>
      </c>
      <c r="AS21" s="69">
        <v>896.40048818588286</v>
      </c>
    </row>
    <row r="22" spans="1:45" x14ac:dyDescent="0.25">
      <c r="A22" s="11">
        <v>42931</v>
      </c>
      <c r="B22" s="59"/>
      <c r="C22" s="60">
        <v>100.05637394984601</v>
      </c>
      <c r="D22" s="60">
        <v>1151.2955178578707</v>
      </c>
      <c r="E22" s="60">
        <v>28.4675189301371</v>
      </c>
      <c r="F22" s="60">
        <v>0</v>
      </c>
      <c r="G22" s="60">
        <v>2808.5565902709982</v>
      </c>
      <c r="H22" s="61">
        <v>50.867812005678992</v>
      </c>
      <c r="I22" s="59">
        <v>101.08743906815853</v>
      </c>
      <c r="J22" s="60">
        <v>716.76506214141693</v>
      </c>
      <c r="K22" s="60">
        <v>39.22380821804208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521.16999234107584</v>
      </c>
      <c r="V22" s="62">
        <v>234.64256733774621</v>
      </c>
      <c r="W22" s="62">
        <v>53.732981790393481</v>
      </c>
      <c r="X22" s="62">
        <v>24.191808782726412</v>
      </c>
      <c r="Y22" s="66">
        <v>370.19161353915706</v>
      </c>
      <c r="Z22" s="66">
        <v>166.66867218802562</v>
      </c>
      <c r="AA22" s="67">
        <v>0</v>
      </c>
      <c r="AB22" s="68">
        <v>131.45591467751396</v>
      </c>
      <c r="AC22" s="69">
        <v>0</v>
      </c>
      <c r="AD22" s="401">
        <v>18.43512988138859</v>
      </c>
      <c r="AE22" s="401">
        <v>8.1110048329646247</v>
      </c>
      <c r="AF22" s="69">
        <v>25.831958050198029</v>
      </c>
      <c r="AG22" s="68">
        <v>17.536519628982976</v>
      </c>
      <c r="AH22" s="68">
        <v>7.895339425491013</v>
      </c>
      <c r="AI22" s="68">
        <v>0.68954926147634255</v>
      </c>
      <c r="AJ22" s="69">
        <v>238.64053344726562</v>
      </c>
      <c r="AK22" s="69">
        <v>960.89523754119887</v>
      </c>
      <c r="AL22" s="69">
        <v>3149.8043727874756</v>
      </c>
      <c r="AM22" s="69">
        <v>476.92075991630549</v>
      </c>
      <c r="AN22" s="69">
        <v>3912.7181561787925</v>
      </c>
      <c r="AO22" s="69">
        <v>2512.8737879435221</v>
      </c>
      <c r="AP22" s="69">
        <v>771.43478393554687</v>
      </c>
      <c r="AQ22" s="69">
        <v>2883.3533935546875</v>
      </c>
      <c r="AR22" s="69">
        <v>455.50966024398809</v>
      </c>
      <c r="AS22" s="69">
        <v>889.15904858907072</v>
      </c>
    </row>
    <row r="23" spans="1:45" x14ac:dyDescent="0.25">
      <c r="A23" s="11">
        <v>42932</v>
      </c>
      <c r="B23" s="59"/>
      <c r="C23" s="60">
        <v>100.18393292427092</v>
      </c>
      <c r="D23" s="60">
        <v>1134.4160543441801</v>
      </c>
      <c r="E23" s="60">
        <v>28.150900705655403</v>
      </c>
      <c r="F23" s="60">
        <v>0</v>
      </c>
      <c r="G23" s="60">
        <v>2765.5647705078086</v>
      </c>
      <c r="H23" s="61">
        <v>50.770911594232011</v>
      </c>
      <c r="I23" s="59">
        <v>101.26204241116851</v>
      </c>
      <c r="J23" s="60">
        <v>715.49905230204126</v>
      </c>
      <c r="K23" s="60">
        <v>39.2409500330687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525.95590263459928</v>
      </c>
      <c r="V23" s="62">
        <v>233.80167220975707</v>
      </c>
      <c r="W23" s="62">
        <v>54.1367118046185</v>
      </c>
      <c r="X23" s="62">
        <v>24.065237569262447</v>
      </c>
      <c r="Y23" s="66">
        <v>371.32981331396837</v>
      </c>
      <c r="Z23" s="66">
        <v>165.06617923529231</v>
      </c>
      <c r="AA23" s="67">
        <v>0</v>
      </c>
      <c r="AB23" s="68">
        <v>131.17957346174438</v>
      </c>
      <c r="AC23" s="69">
        <v>0</v>
      </c>
      <c r="AD23" s="401">
        <v>18.405760270059254</v>
      </c>
      <c r="AE23" s="401">
        <v>8.0936825343439374</v>
      </c>
      <c r="AF23" s="69">
        <v>25.981145513057701</v>
      </c>
      <c r="AG23" s="68">
        <v>17.773200967072331</v>
      </c>
      <c r="AH23" s="68">
        <v>7.900670162282581</v>
      </c>
      <c r="AI23" s="68">
        <v>0.69226806029850563</v>
      </c>
      <c r="AJ23" s="69">
        <v>211.26374808152516</v>
      </c>
      <c r="AK23" s="69">
        <v>996.97473138173416</v>
      </c>
      <c r="AL23" s="69">
        <v>3204.6719065348311</v>
      </c>
      <c r="AM23" s="69">
        <v>480.42165462176007</v>
      </c>
      <c r="AN23" s="69">
        <v>4517.6062151590986</v>
      </c>
      <c r="AO23" s="69">
        <v>2560.3309276580812</v>
      </c>
      <c r="AP23" s="69">
        <v>771.43478393554687</v>
      </c>
      <c r="AQ23" s="69">
        <v>2883.3533935546875</v>
      </c>
      <c r="AR23" s="69">
        <v>457.64848883946729</v>
      </c>
      <c r="AS23" s="69">
        <v>795.47583548227931</v>
      </c>
    </row>
    <row r="24" spans="1:45" x14ac:dyDescent="0.25">
      <c r="A24" s="11">
        <v>42933</v>
      </c>
      <c r="B24" s="59"/>
      <c r="C24" s="60">
        <v>100.09550241629292</v>
      </c>
      <c r="D24" s="60">
        <v>1150.1189900080362</v>
      </c>
      <c r="E24" s="60">
        <v>28.636191280186097</v>
      </c>
      <c r="F24" s="60">
        <v>0</v>
      </c>
      <c r="G24" s="60">
        <v>2829.3790683746429</v>
      </c>
      <c r="H24" s="61">
        <v>50.947358850638153</v>
      </c>
      <c r="I24" s="59">
        <v>101.30677313009895</v>
      </c>
      <c r="J24" s="60">
        <v>714.59230902989532</v>
      </c>
      <c r="K24" s="60">
        <v>39.200982321302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533.70531041170341</v>
      </c>
      <c r="V24" s="62">
        <v>233.85600932096102</v>
      </c>
      <c r="W24" s="62">
        <v>54.176008272520008</v>
      </c>
      <c r="X24" s="62">
        <v>23.738540442435664</v>
      </c>
      <c r="Y24" s="66">
        <v>380.81624089921627</v>
      </c>
      <c r="Z24" s="66">
        <v>166.86393154417374</v>
      </c>
      <c r="AA24" s="67">
        <v>0</v>
      </c>
      <c r="AB24" s="68">
        <v>131.33700756496773</v>
      </c>
      <c r="AC24" s="69">
        <v>0</v>
      </c>
      <c r="AD24" s="401">
        <v>18.381846199863183</v>
      </c>
      <c r="AE24" s="401">
        <v>8.1292909712657622</v>
      </c>
      <c r="AF24" s="69">
        <v>25.984083566400749</v>
      </c>
      <c r="AG24" s="68">
        <v>17.860495731593272</v>
      </c>
      <c r="AH24" s="68">
        <v>7.8260121733892154</v>
      </c>
      <c r="AI24" s="68">
        <v>0.69532595857955526</v>
      </c>
      <c r="AJ24" s="69">
        <v>237.13407897949219</v>
      </c>
      <c r="AK24" s="69">
        <v>1027.4640600204468</v>
      </c>
      <c r="AL24" s="69">
        <v>3249.7817935943599</v>
      </c>
      <c r="AM24" s="69">
        <v>495.54051458040874</v>
      </c>
      <c r="AN24" s="69">
        <v>5245.7113591512052</v>
      </c>
      <c r="AO24" s="69">
        <v>2641.8161267598471</v>
      </c>
      <c r="AP24" s="69">
        <v>771.43478393554687</v>
      </c>
      <c r="AQ24" s="69">
        <v>2883.3533935546875</v>
      </c>
      <c r="AR24" s="69">
        <v>486.98523775736493</v>
      </c>
      <c r="AS24" s="69">
        <v>918.98469915390035</v>
      </c>
    </row>
    <row r="25" spans="1:45" x14ac:dyDescent="0.25">
      <c r="A25" s="11">
        <v>42934</v>
      </c>
      <c r="B25" s="59"/>
      <c r="C25" s="60">
        <v>101.0640786806745</v>
      </c>
      <c r="D25" s="60">
        <v>1164.4632083257047</v>
      </c>
      <c r="E25" s="60">
        <v>28.496772763132977</v>
      </c>
      <c r="F25" s="60">
        <v>0</v>
      </c>
      <c r="G25" s="60">
        <v>2947.6843597412135</v>
      </c>
      <c r="H25" s="61">
        <v>51.203067024548979</v>
      </c>
      <c r="I25" s="59">
        <v>96.294445832570389</v>
      </c>
      <c r="J25" s="60">
        <v>741.09987366994176</v>
      </c>
      <c r="K25" s="60">
        <v>40.689263318975804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575.97342771178035</v>
      </c>
      <c r="V25" s="62">
        <v>246.54606475547024</v>
      </c>
      <c r="W25" s="62">
        <v>58.34641615628297</v>
      </c>
      <c r="X25" s="62">
        <v>24.975248169113303</v>
      </c>
      <c r="Y25" s="66">
        <v>410.12891824077474</v>
      </c>
      <c r="Z25" s="66">
        <v>175.55613847741554</v>
      </c>
      <c r="AA25" s="67">
        <v>0</v>
      </c>
      <c r="AB25" s="68">
        <v>134.83327853944658</v>
      </c>
      <c r="AC25" s="69">
        <v>0</v>
      </c>
      <c r="AD25" s="401">
        <v>19.062071816873026</v>
      </c>
      <c r="AE25" s="401">
        <v>8.1661809577972448</v>
      </c>
      <c r="AF25" s="69">
        <v>27.000505265924666</v>
      </c>
      <c r="AG25" s="68">
        <v>18.687389692304656</v>
      </c>
      <c r="AH25" s="68">
        <v>7.9991578908309728</v>
      </c>
      <c r="AI25" s="68">
        <v>0.70025504925612847</v>
      </c>
      <c r="AJ25" s="69">
        <v>237.13407897949219</v>
      </c>
      <c r="AK25" s="69">
        <v>1058.3397736867269</v>
      </c>
      <c r="AL25" s="69">
        <v>3253.9237051645914</v>
      </c>
      <c r="AM25" s="69">
        <v>500.30198554992671</v>
      </c>
      <c r="AN25" s="69">
        <v>5645.2978329976395</v>
      </c>
      <c r="AO25" s="69">
        <v>2597.7333318074548</v>
      </c>
      <c r="AP25" s="69">
        <v>771.43478393554687</v>
      </c>
      <c r="AQ25" s="69">
        <v>2883.3533935546875</v>
      </c>
      <c r="AR25" s="69">
        <v>501.08437833786013</v>
      </c>
      <c r="AS25" s="69">
        <v>948.75693298975602</v>
      </c>
    </row>
    <row r="26" spans="1:45" x14ac:dyDescent="0.25">
      <c r="A26" s="11">
        <v>42935</v>
      </c>
      <c r="B26" s="59"/>
      <c r="C26" s="60">
        <v>99.736867101987642</v>
      </c>
      <c r="D26" s="60">
        <v>1156.6419345855718</v>
      </c>
      <c r="E26" s="60">
        <v>28.309852791329181</v>
      </c>
      <c r="F26" s="60">
        <v>0</v>
      </c>
      <c r="G26" s="60">
        <v>2987.7496580759766</v>
      </c>
      <c r="H26" s="61">
        <v>50.842914505799762</v>
      </c>
      <c r="I26" s="59">
        <v>92.905726357301091</v>
      </c>
      <c r="J26" s="60">
        <v>778.84171797434419</v>
      </c>
      <c r="K26" s="60">
        <v>42.760994682709367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599.16692578467041</v>
      </c>
      <c r="V26" s="62">
        <v>243.79049138553228</v>
      </c>
      <c r="W26" s="62">
        <v>60.145975902689443</v>
      </c>
      <c r="X26" s="62">
        <v>24.472340493388085</v>
      </c>
      <c r="Y26" s="66">
        <v>427.4023630132408</v>
      </c>
      <c r="Z26" s="66">
        <v>173.90250965852206</v>
      </c>
      <c r="AA26" s="67">
        <v>0</v>
      </c>
      <c r="AB26" s="68">
        <v>138.86901961432375</v>
      </c>
      <c r="AC26" s="69">
        <v>0</v>
      </c>
      <c r="AD26" s="401">
        <v>20.036810652087961</v>
      </c>
      <c r="AE26" s="401">
        <v>8.1110605950708958</v>
      </c>
      <c r="AF26" s="69">
        <v>27.976263893975162</v>
      </c>
      <c r="AG26" s="68">
        <v>19.662459399394677</v>
      </c>
      <c r="AH26" s="68">
        <v>8.0003091501569426</v>
      </c>
      <c r="AI26" s="68">
        <v>0.71079145112224784</v>
      </c>
      <c r="AJ26" s="69">
        <v>237.13407897949219</v>
      </c>
      <c r="AK26" s="69">
        <v>1087.6048861821494</v>
      </c>
      <c r="AL26" s="69">
        <v>3299.3694103240964</v>
      </c>
      <c r="AM26" s="69">
        <v>507.05100906689967</v>
      </c>
      <c r="AN26" s="69">
        <v>6033.8148066202803</v>
      </c>
      <c r="AO26" s="69">
        <v>2574.7843584696448</v>
      </c>
      <c r="AP26" s="69">
        <v>771.43478393554687</v>
      </c>
      <c r="AQ26" s="69">
        <v>2883.3533935546875</v>
      </c>
      <c r="AR26" s="69">
        <v>503.1102657000223</v>
      </c>
      <c r="AS26" s="69">
        <v>998.64965766270961</v>
      </c>
    </row>
    <row r="27" spans="1:45" x14ac:dyDescent="0.25">
      <c r="A27" s="11">
        <v>42936</v>
      </c>
      <c r="B27" s="59"/>
      <c r="C27" s="60">
        <v>99.309591841699202</v>
      </c>
      <c r="D27" s="60">
        <v>1154.1834082285548</v>
      </c>
      <c r="E27" s="60">
        <v>28.513571993509839</v>
      </c>
      <c r="F27" s="60">
        <v>0</v>
      </c>
      <c r="G27" s="60">
        <v>2946.831522496534</v>
      </c>
      <c r="H27" s="61">
        <v>50.85097538232808</v>
      </c>
      <c r="I27" s="59">
        <v>93.339127004146576</v>
      </c>
      <c r="J27" s="60">
        <v>801.31479523976589</v>
      </c>
      <c r="K27" s="60">
        <v>43.99253493646782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609.364609277976</v>
      </c>
      <c r="V27" s="62">
        <v>240.81227191878571</v>
      </c>
      <c r="W27" s="62">
        <v>60.652248155255904</v>
      </c>
      <c r="X27" s="62">
        <v>23.968910325388407</v>
      </c>
      <c r="Y27" s="62">
        <v>445.44919895169426</v>
      </c>
      <c r="Z27" s="62">
        <v>176.03522093457696</v>
      </c>
      <c r="AA27" s="72">
        <v>0</v>
      </c>
      <c r="AB27" s="69">
        <v>141.2732008828059</v>
      </c>
      <c r="AC27" s="69">
        <v>0</v>
      </c>
      <c r="AD27" s="401">
        <v>20.61213350675947</v>
      </c>
      <c r="AE27" s="401">
        <v>8.0939292615559957</v>
      </c>
      <c r="AF27" s="69">
        <v>28.292556481891225</v>
      </c>
      <c r="AG27" s="69">
        <v>20.042367706347104</v>
      </c>
      <c r="AH27" s="69">
        <v>7.9204601457178656</v>
      </c>
      <c r="AI27" s="69">
        <v>0.71675038777836042</v>
      </c>
      <c r="AJ27" s="69">
        <v>239.60701230367025</v>
      </c>
      <c r="AK27" s="69">
        <v>1047.0561888376874</v>
      </c>
      <c r="AL27" s="69">
        <v>3261.0517154693607</v>
      </c>
      <c r="AM27" s="69">
        <v>496.78445502916969</v>
      </c>
      <c r="AN27" s="69">
        <v>6669.0325833638508</v>
      </c>
      <c r="AO27" s="69">
        <v>2579.7287030537923</v>
      </c>
      <c r="AP27" s="69">
        <v>771.43478393554687</v>
      </c>
      <c r="AQ27" s="69">
        <v>2883.3533935546875</v>
      </c>
      <c r="AR27" s="69">
        <v>497.78879286448165</v>
      </c>
      <c r="AS27" s="69">
        <v>968.12746442159028</v>
      </c>
    </row>
    <row r="28" spans="1:45" x14ac:dyDescent="0.25">
      <c r="A28" s="11">
        <v>42937</v>
      </c>
      <c r="B28" s="59"/>
      <c r="C28" s="60">
        <v>99.965659880637716</v>
      </c>
      <c r="D28" s="60">
        <v>1154.1374148050927</v>
      </c>
      <c r="E28" s="60">
        <v>27.913350936770421</v>
      </c>
      <c r="F28" s="60">
        <v>0</v>
      </c>
      <c r="G28" s="60">
        <v>2984.2055953979429</v>
      </c>
      <c r="H28" s="61">
        <v>50.803461849689604</v>
      </c>
      <c r="I28" s="59">
        <v>90.748768031597137</v>
      </c>
      <c r="J28" s="60">
        <v>779.71177231470631</v>
      </c>
      <c r="K28" s="60">
        <v>42.84042515456678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598.6189059166278</v>
      </c>
      <c r="V28" s="62">
        <v>243.32060913362326</v>
      </c>
      <c r="W28" s="62">
        <v>59.870835549339738</v>
      </c>
      <c r="X28" s="62">
        <v>24.335696770046969</v>
      </c>
      <c r="Y28" s="66">
        <v>437.45551199963353</v>
      </c>
      <c r="Z28" s="66">
        <v>177.81252913424768</v>
      </c>
      <c r="AA28" s="67">
        <v>0</v>
      </c>
      <c r="AB28" s="68">
        <v>138.67380075454793</v>
      </c>
      <c r="AC28" s="69">
        <v>0</v>
      </c>
      <c r="AD28" s="401">
        <v>20.05770063044692</v>
      </c>
      <c r="AE28" s="401">
        <v>8.0935692243214419</v>
      </c>
      <c r="AF28" s="69">
        <v>28.004003012180348</v>
      </c>
      <c r="AG28" s="68">
        <v>19.683664631324937</v>
      </c>
      <c r="AH28" s="68">
        <v>8.0008185854774592</v>
      </c>
      <c r="AI28" s="68">
        <v>0.71099989395425789</v>
      </c>
      <c r="AJ28" s="69">
        <v>242.66685032844543</v>
      </c>
      <c r="AK28" s="69">
        <v>1029.3918014526369</v>
      </c>
      <c r="AL28" s="69">
        <v>3181.42089398702</v>
      </c>
      <c r="AM28" s="69">
        <v>491.72713214556376</v>
      </c>
      <c r="AN28" s="69">
        <v>6022.1394953409836</v>
      </c>
      <c r="AO28" s="69">
        <v>2651.6279270172117</v>
      </c>
      <c r="AP28" s="69">
        <v>860.28967475891113</v>
      </c>
      <c r="AQ28" s="69">
        <v>2883.3533935546875</v>
      </c>
      <c r="AR28" s="69">
        <v>489.28414077758788</v>
      </c>
      <c r="AS28" s="69">
        <v>956.41517054239921</v>
      </c>
    </row>
    <row r="29" spans="1:45" x14ac:dyDescent="0.25">
      <c r="A29" s="11">
        <v>42938</v>
      </c>
      <c r="B29" s="59"/>
      <c r="C29" s="60">
        <v>100.24578773975264</v>
      </c>
      <c r="D29" s="60">
        <v>1159.3858550389621</v>
      </c>
      <c r="E29" s="60">
        <v>28.111896181106506</v>
      </c>
      <c r="F29" s="60">
        <v>0</v>
      </c>
      <c r="G29" s="60">
        <v>2985.1366208394347</v>
      </c>
      <c r="H29" s="61">
        <v>51.050055670738345</v>
      </c>
      <c r="I29" s="59">
        <v>89.920014619827271</v>
      </c>
      <c r="J29" s="60">
        <v>772.62569777170722</v>
      </c>
      <c r="K29" s="60">
        <v>42.308833522597908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590.17010012801416</v>
      </c>
      <c r="V29" s="62">
        <v>242.14013703595563</v>
      </c>
      <c r="W29" s="62">
        <v>59.783502131264171</v>
      </c>
      <c r="X29" s="62">
        <v>24.528496776460987</v>
      </c>
      <c r="Y29" s="66">
        <v>434.73641890350785</v>
      </c>
      <c r="Z29" s="66">
        <v>178.36745037571785</v>
      </c>
      <c r="AA29" s="67">
        <v>0</v>
      </c>
      <c r="AB29" s="68">
        <v>138.15219776365413</v>
      </c>
      <c r="AC29" s="69">
        <v>0</v>
      </c>
      <c r="AD29" s="401">
        <v>19.871891473559536</v>
      </c>
      <c r="AE29" s="401">
        <v>8.1308741889794511</v>
      </c>
      <c r="AF29" s="69">
        <v>27.676962659094073</v>
      </c>
      <c r="AG29" s="68">
        <v>19.40069229003727</v>
      </c>
      <c r="AH29" s="68">
        <v>7.9598852749115112</v>
      </c>
      <c r="AI29" s="68">
        <v>0.70907466203824587</v>
      </c>
      <c r="AJ29" s="69">
        <v>220.28446626663208</v>
      </c>
      <c r="AK29" s="69">
        <v>1019.8543139139811</v>
      </c>
      <c r="AL29" s="69">
        <v>3213.9276400248218</v>
      </c>
      <c r="AM29" s="69">
        <v>488.20450250307715</v>
      </c>
      <c r="AN29" s="69">
        <v>4949.3517679850256</v>
      </c>
      <c r="AO29" s="69">
        <v>2551.7726167043056</v>
      </c>
      <c r="AP29" s="69">
        <v>860.59927368164062</v>
      </c>
      <c r="AQ29" s="69">
        <v>2883.3533935546875</v>
      </c>
      <c r="AR29" s="69">
        <v>453.89728593826288</v>
      </c>
      <c r="AS29" s="69">
        <v>919.22757275899266</v>
      </c>
    </row>
    <row r="30" spans="1:45" x14ac:dyDescent="0.25">
      <c r="A30" s="11">
        <v>42939</v>
      </c>
      <c r="B30" s="59"/>
      <c r="C30" s="60">
        <v>101.03087411721545</v>
      </c>
      <c r="D30" s="60">
        <v>1181.2604061126722</v>
      </c>
      <c r="E30" s="60">
        <v>28.612325614690761</v>
      </c>
      <c r="F30" s="60">
        <v>0</v>
      </c>
      <c r="G30" s="60">
        <v>3036.9078625996885</v>
      </c>
      <c r="H30" s="61">
        <v>51.472615027427807</v>
      </c>
      <c r="I30" s="59">
        <v>89.98310649394989</v>
      </c>
      <c r="J30" s="60">
        <v>772.78219350178995</v>
      </c>
      <c r="K30" s="60">
        <v>42.449614683787033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590.27216574070462</v>
      </c>
      <c r="V30" s="62">
        <v>243.35675135998932</v>
      </c>
      <c r="W30" s="62">
        <v>59.569176269879883</v>
      </c>
      <c r="X30" s="62">
        <v>24.559113676040418</v>
      </c>
      <c r="Y30" s="66">
        <v>438.3204295341572</v>
      </c>
      <c r="Z30" s="66">
        <v>180.71025871988169</v>
      </c>
      <c r="AA30" s="67">
        <v>0</v>
      </c>
      <c r="AB30" s="68">
        <v>138.53555598789023</v>
      </c>
      <c r="AC30" s="69">
        <v>0</v>
      </c>
      <c r="AD30" s="401">
        <v>19.878791147844886</v>
      </c>
      <c r="AE30" s="401">
        <v>8.2082145306555248</v>
      </c>
      <c r="AF30" s="69">
        <v>27.720458977752219</v>
      </c>
      <c r="AG30" s="68">
        <v>19.403836615152901</v>
      </c>
      <c r="AH30" s="68">
        <v>7.9997921580092424</v>
      </c>
      <c r="AI30" s="68">
        <v>0.70807544416001311</v>
      </c>
      <c r="AJ30" s="69">
        <v>237.14739405314128</v>
      </c>
      <c r="AK30" s="69">
        <v>1018.5277685801187</v>
      </c>
      <c r="AL30" s="69">
        <v>3193.7548395792646</v>
      </c>
      <c r="AM30" s="69">
        <v>493.209240325292</v>
      </c>
      <c r="AN30" s="69">
        <v>5132.6064580281582</v>
      </c>
      <c r="AO30" s="69">
        <v>2601.6736579895019</v>
      </c>
      <c r="AP30" s="69">
        <v>860.59927368164062</v>
      </c>
      <c r="AQ30" s="69">
        <v>2883.3533935546875</v>
      </c>
      <c r="AR30" s="69">
        <v>470.12821035385133</v>
      </c>
      <c r="AS30" s="69">
        <v>924.34947201410944</v>
      </c>
    </row>
    <row r="31" spans="1:45" x14ac:dyDescent="0.25">
      <c r="A31" s="11">
        <v>42940</v>
      </c>
      <c r="B31" s="59"/>
      <c r="C31" s="60">
        <v>100.81659593582236</v>
      </c>
      <c r="D31" s="60">
        <v>1198.3202433268229</v>
      </c>
      <c r="E31" s="60">
        <v>28.615395053724406</v>
      </c>
      <c r="F31" s="60">
        <v>0</v>
      </c>
      <c r="G31" s="60">
        <v>3093.5011806488046</v>
      </c>
      <c r="H31" s="61">
        <v>51.283594091733356</v>
      </c>
      <c r="I31" s="59">
        <v>90.116105377674103</v>
      </c>
      <c r="J31" s="60">
        <v>772.50241546630764</v>
      </c>
      <c r="K31" s="60">
        <v>42.338645588358226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587.03537065238947</v>
      </c>
      <c r="V31" s="62">
        <v>240.87453548062393</v>
      </c>
      <c r="W31" s="62">
        <v>57.719969274628525</v>
      </c>
      <c r="X31" s="62">
        <v>23.683872355989251</v>
      </c>
      <c r="Y31" s="66">
        <v>443.407683621275</v>
      </c>
      <c r="Z31" s="66">
        <v>181.94068902887042</v>
      </c>
      <c r="AA31" s="67">
        <v>0</v>
      </c>
      <c r="AB31" s="68">
        <v>138.38964072333366</v>
      </c>
      <c r="AC31" s="69">
        <v>0</v>
      </c>
      <c r="AD31" s="401">
        <v>19.871304414613508</v>
      </c>
      <c r="AE31" s="401">
        <v>8.1785260120135241</v>
      </c>
      <c r="AF31" s="69">
        <v>27.510638516479048</v>
      </c>
      <c r="AG31" s="68">
        <v>19.288978354136081</v>
      </c>
      <c r="AH31" s="68">
        <v>7.9147253014496499</v>
      </c>
      <c r="AI31" s="68">
        <v>0.70905706805019841</v>
      </c>
      <c r="AJ31" s="69">
        <v>233.89808008670806</v>
      </c>
      <c r="AK31" s="69">
        <v>1038.8556015014649</v>
      </c>
      <c r="AL31" s="69">
        <v>3244.3466648101808</v>
      </c>
      <c r="AM31" s="69">
        <v>499.4499104340872</v>
      </c>
      <c r="AN31" s="69">
        <v>5341.8222137451166</v>
      </c>
      <c r="AO31" s="69">
        <v>2710.7450275421143</v>
      </c>
      <c r="AP31" s="69">
        <v>860.59927368164062</v>
      </c>
      <c r="AQ31" s="69">
        <v>2883.3533935546875</v>
      </c>
      <c r="AR31" s="69">
        <v>424.54472726186123</v>
      </c>
      <c r="AS31" s="69">
        <v>960.32615636189769</v>
      </c>
    </row>
    <row r="32" spans="1:45" x14ac:dyDescent="0.25">
      <c r="A32" s="11">
        <v>42941</v>
      </c>
      <c r="B32" s="59"/>
      <c r="C32" s="60">
        <v>99.270037078858266</v>
      </c>
      <c r="D32" s="60">
        <v>1182.9341690699246</v>
      </c>
      <c r="E32" s="60">
        <v>28.303863590459063</v>
      </c>
      <c r="F32" s="60">
        <v>0</v>
      </c>
      <c r="G32" s="60">
        <v>3008.2748282114567</v>
      </c>
      <c r="H32" s="61">
        <v>50.616473642985042</v>
      </c>
      <c r="I32" s="59">
        <v>91.382283568382263</v>
      </c>
      <c r="J32" s="60">
        <v>785.01740550994828</v>
      </c>
      <c r="K32" s="60">
        <v>43.113915358980577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595.71143229226004</v>
      </c>
      <c r="V32" s="62">
        <v>240.31843988147358</v>
      </c>
      <c r="W32" s="62">
        <v>58.001858937858472</v>
      </c>
      <c r="X32" s="62">
        <v>23.398772450170011</v>
      </c>
      <c r="Y32" s="66">
        <v>448.61352117119935</v>
      </c>
      <c r="Z32" s="66">
        <v>180.97705646297666</v>
      </c>
      <c r="AA32" s="67">
        <v>0</v>
      </c>
      <c r="AB32" s="68">
        <v>139.36273500654369</v>
      </c>
      <c r="AC32" s="69">
        <v>0</v>
      </c>
      <c r="AD32" s="401">
        <v>20.193284054854303</v>
      </c>
      <c r="AE32" s="401">
        <v>8.0733033078974614</v>
      </c>
      <c r="AF32" s="69">
        <v>27.814362331231379</v>
      </c>
      <c r="AG32" s="68">
        <v>19.587392729047881</v>
      </c>
      <c r="AH32" s="68">
        <v>7.9018320059386031</v>
      </c>
      <c r="AI32" s="68">
        <v>0.71254802264824635</v>
      </c>
      <c r="AJ32" s="69">
        <v>233.53683471679687</v>
      </c>
      <c r="AK32" s="69">
        <v>1054.692991065979</v>
      </c>
      <c r="AL32" s="69">
        <v>3229.902431615194</v>
      </c>
      <c r="AM32" s="69">
        <v>493.06401120821636</v>
      </c>
      <c r="AN32" s="69">
        <v>5371.2072588602714</v>
      </c>
      <c r="AO32" s="69">
        <v>2870.7363043467203</v>
      </c>
      <c r="AP32" s="69">
        <v>860.59927368164062</v>
      </c>
      <c r="AQ32" s="69">
        <v>2883.3533935546875</v>
      </c>
      <c r="AR32" s="69">
        <v>410.06924103101096</v>
      </c>
      <c r="AS32" s="69">
        <v>935.37244056065879</v>
      </c>
    </row>
    <row r="33" spans="1:45" x14ac:dyDescent="0.25">
      <c r="A33" s="11">
        <v>42942</v>
      </c>
      <c r="B33" s="59"/>
      <c r="C33" s="60">
        <v>99.239861385027623</v>
      </c>
      <c r="D33" s="60">
        <v>1204.4635458628327</v>
      </c>
      <c r="E33" s="60">
        <v>27.954654567440411</v>
      </c>
      <c r="F33" s="60">
        <v>0</v>
      </c>
      <c r="G33" s="60">
        <v>3015.9507284800079</v>
      </c>
      <c r="H33" s="61">
        <v>50.680449636777347</v>
      </c>
      <c r="I33" s="59">
        <v>92.583486258983612</v>
      </c>
      <c r="J33" s="60">
        <v>795.0082894325252</v>
      </c>
      <c r="K33" s="60">
        <v>43.692981686194784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579.11434206381512</v>
      </c>
      <c r="V33" s="62">
        <v>237.29493354213025</v>
      </c>
      <c r="W33" s="62">
        <v>57.697660960750319</v>
      </c>
      <c r="X33" s="62">
        <v>23.641898721459913</v>
      </c>
      <c r="Y33" s="66">
        <v>447.0598056379452</v>
      </c>
      <c r="Z33" s="66">
        <v>183.18494149213092</v>
      </c>
      <c r="AA33" s="67">
        <v>0</v>
      </c>
      <c r="AB33" s="68">
        <v>140.40740927590201</v>
      </c>
      <c r="AC33" s="69">
        <v>0</v>
      </c>
      <c r="AD33" s="401">
        <v>20.450542695858736</v>
      </c>
      <c r="AE33" s="401">
        <v>8.0855670390502645</v>
      </c>
      <c r="AF33" s="69">
        <v>27.727601728174456</v>
      </c>
      <c r="AG33" s="68">
        <v>19.367641292337144</v>
      </c>
      <c r="AH33" s="68">
        <v>7.9359857277140664</v>
      </c>
      <c r="AI33" s="68">
        <v>0.70934316814809817</v>
      </c>
      <c r="AJ33" s="69">
        <v>232.0668773651123</v>
      </c>
      <c r="AK33" s="69">
        <v>988.01290321350109</v>
      </c>
      <c r="AL33" s="69">
        <v>3169.79749399821</v>
      </c>
      <c r="AM33" s="69">
        <v>483.38151346842449</v>
      </c>
      <c r="AN33" s="69">
        <v>5296.8479189554855</v>
      </c>
      <c r="AO33" s="69">
        <v>2624.6775812784831</v>
      </c>
      <c r="AP33" s="69">
        <v>860.59927368164062</v>
      </c>
      <c r="AQ33" s="69">
        <v>2883.3533935546875</v>
      </c>
      <c r="AR33" s="69">
        <v>384.31557849248242</v>
      </c>
      <c r="AS33" s="69">
        <v>960.09613421758024</v>
      </c>
    </row>
    <row r="34" spans="1:45" x14ac:dyDescent="0.25">
      <c r="A34" s="11">
        <v>42943</v>
      </c>
      <c r="B34" s="59"/>
      <c r="C34" s="60">
        <v>99.785236227512684</v>
      </c>
      <c r="D34" s="60">
        <v>1208.3819020589196</v>
      </c>
      <c r="E34" s="60">
        <v>28.227720421552604</v>
      </c>
      <c r="F34" s="60">
        <v>0</v>
      </c>
      <c r="G34" s="60">
        <v>3075.0205237070481</v>
      </c>
      <c r="H34" s="61">
        <v>50.814162913958334</v>
      </c>
      <c r="I34" s="59">
        <v>88.802279233932495</v>
      </c>
      <c r="J34" s="60">
        <v>724.93646097183125</v>
      </c>
      <c r="K34" s="60">
        <v>39.827826471130081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480.85823626132532</v>
      </c>
      <c r="V34" s="62">
        <v>221.62922900373582</v>
      </c>
      <c r="W34" s="62">
        <v>48.256552022241159</v>
      </c>
      <c r="X34" s="62">
        <v>22.241612210330697</v>
      </c>
      <c r="Y34" s="66">
        <v>372.0882622750334</v>
      </c>
      <c r="Z34" s="66">
        <v>171.49677071256204</v>
      </c>
      <c r="AA34" s="67">
        <v>0</v>
      </c>
      <c r="AB34" s="68">
        <v>132.30437530941393</v>
      </c>
      <c r="AC34" s="69">
        <v>0</v>
      </c>
      <c r="AD34" s="401">
        <v>18.646779283818624</v>
      </c>
      <c r="AE34" s="401">
        <v>8.1019544338735781</v>
      </c>
      <c r="AF34" s="69">
        <v>24.045560426844503</v>
      </c>
      <c r="AG34" s="68">
        <v>16.158470647929544</v>
      </c>
      <c r="AH34" s="68">
        <v>7.4474951691040614</v>
      </c>
      <c r="AI34" s="68">
        <v>0.68450792368215263</v>
      </c>
      <c r="AJ34" s="69">
        <v>228.88447761535645</v>
      </c>
      <c r="AK34" s="69">
        <v>1010.9116223017373</v>
      </c>
      <c r="AL34" s="69">
        <v>3165.5517069498692</v>
      </c>
      <c r="AM34" s="69">
        <v>486.53996415138249</v>
      </c>
      <c r="AN34" s="69">
        <v>5407.0745249430347</v>
      </c>
      <c r="AO34" s="69">
        <v>2580.4349578857418</v>
      </c>
      <c r="AP34" s="69">
        <v>860.59927368164062</v>
      </c>
      <c r="AQ34" s="69">
        <v>2883.3533935546875</v>
      </c>
      <c r="AR34" s="69">
        <v>382.62162383397418</v>
      </c>
      <c r="AS34" s="69">
        <v>935.57567710876458</v>
      </c>
    </row>
    <row r="35" spans="1:45" x14ac:dyDescent="0.25">
      <c r="A35" s="11">
        <v>42944</v>
      </c>
      <c r="B35" s="59"/>
      <c r="C35" s="60">
        <v>98.496078594526168</v>
      </c>
      <c r="D35" s="60">
        <v>1206.0206089655558</v>
      </c>
      <c r="E35" s="60">
        <v>27.885042314728075</v>
      </c>
      <c r="F35" s="60">
        <v>0</v>
      </c>
      <c r="G35" s="60">
        <v>3124.4449921925661</v>
      </c>
      <c r="H35" s="61">
        <v>50.31751418908447</v>
      </c>
      <c r="I35" s="59">
        <v>82.446336448192596</v>
      </c>
      <c r="J35" s="60">
        <v>660.14051154454637</v>
      </c>
      <c r="K35" s="60">
        <v>36.352026427785631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529.30483963569009</v>
      </c>
      <c r="V35" s="62">
        <v>256.5886614341203</v>
      </c>
      <c r="W35" s="62">
        <v>49.700403331799528</v>
      </c>
      <c r="X35" s="62">
        <v>24.093034880277433</v>
      </c>
      <c r="Y35" s="66">
        <v>361.50906823759556</v>
      </c>
      <c r="Z35" s="66">
        <v>175.24708064113858</v>
      </c>
      <c r="AA35" s="67">
        <v>0</v>
      </c>
      <c r="AB35" s="68">
        <v>124.38757784101689</v>
      </c>
      <c r="AC35" s="69">
        <v>0</v>
      </c>
      <c r="AD35" s="401">
        <v>16.981844958924633</v>
      </c>
      <c r="AE35" s="401">
        <v>8.0309389863462286</v>
      </c>
      <c r="AF35" s="69">
        <v>24.8894911885262</v>
      </c>
      <c r="AG35" s="68">
        <v>16.501055117198</v>
      </c>
      <c r="AH35" s="68">
        <v>7.9991402453199614</v>
      </c>
      <c r="AI35" s="68">
        <v>0.67350708323095332</v>
      </c>
      <c r="AJ35" s="69">
        <v>226.99298947652181</v>
      </c>
      <c r="AK35" s="69">
        <v>1019.4796165466308</v>
      </c>
      <c r="AL35" s="69">
        <v>3192.2584847768148</v>
      </c>
      <c r="AM35" s="69">
        <v>495.37528141339607</v>
      </c>
      <c r="AN35" s="69">
        <v>5418.5900782267254</v>
      </c>
      <c r="AO35" s="69">
        <v>2676.87129389445</v>
      </c>
      <c r="AP35" s="69">
        <v>860.59927368164062</v>
      </c>
      <c r="AQ35" s="69">
        <v>2883.3533935546875</v>
      </c>
      <c r="AR35" s="69">
        <v>379.20282286008188</v>
      </c>
      <c r="AS35" s="69">
        <v>945.22904049555439</v>
      </c>
    </row>
    <row r="36" spans="1:45" x14ac:dyDescent="0.25">
      <c r="A36" s="11">
        <v>42945</v>
      </c>
      <c r="B36" s="59"/>
      <c r="C36" s="60">
        <v>98.690952356656439</v>
      </c>
      <c r="D36" s="60">
        <v>1180.5234380086274</v>
      </c>
      <c r="E36" s="60">
        <v>28.149206296106257</v>
      </c>
      <c r="F36" s="60">
        <v>0</v>
      </c>
      <c r="G36" s="60">
        <v>3060.5599941253554</v>
      </c>
      <c r="H36" s="61">
        <v>50.389587851365498</v>
      </c>
      <c r="I36" s="59">
        <v>82.414615154266357</v>
      </c>
      <c r="J36" s="60">
        <v>660.26777267456055</v>
      </c>
      <c r="K36" s="60">
        <v>36.150509762764059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521.43620778491584</v>
      </c>
      <c r="V36" s="62">
        <v>252.79813025490935</v>
      </c>
      <c r="W36" s="62">
        <v>49.710811499507379</v>
      </c>
      <c r="X36" s="62">
        <v>24.100359761962135</v>
      </c>
      <c r="Y36" s="66">
        <v>366.61282885010166</v>
      </c>
      <c r="Z36" s="66">
        <v>177.73801718617406</v>
      </c>
      <c r="AA36" s="67">
        <v>0</v>
      </c>
      <c r="AB36" s="68">
        <v>124.4886191209166</v>
      </c>
      <c r="AC36" s="69">
        <v>0</v>
      </c>
      <c r="AD36" s="401">
        <v>16.98303399179019</v>
      </c>
      <c r="AE36" s="401">
        <v>8.0331546920509105</v>
      </c>
      <c r="AF36" s="69">
        <v>24.890277557902831</v>
      </c>
      <c r="AG36" s="68">
        <v>16.499758030081448</v>
      </c>
      <c r="AH36" s="68">
        <v>7.9992680166612686</v>
      </c>
      <c r="AI36" s="68">
        <v>0.67348628466294413</v>
      </c>
      <c r="AJ36" s="69">
        <v>219.39018886884054</v>
      </c>
      <c r="AK36" s="69">
        <v>989.23328831990568</v>
      </c>
      <c r="AL36" s="69">
        <v>3165.493357721964</v>
      </c>
      <c r="AM36" s="69">
        <v>476.66219197909038</v>
      </c>
      <c r="AN36" s="69">
        <v>5252.1664924621573</v>
      </c>
      <c r="AO36" s="69">
        <v>2559.4864524841305</v>
      </c>
      <c r="AP36" s="69">
        <v>860.59927368164062</v>
      </c>
      <c r="AQ36" s="69">
        <v>2883.3533935546875</v>
      </c>
      <c r="AR36" s="69">
        <v>372.43311006228134</v>
      </c>
      <c r="AS36" s="69">
        <v>875.24643907546988</v>
      </c>
    </row>
    <row r="37" spans="1:45" s="372" customFormat="1" ht="15" customHeight="1" x14ac:dyDescent="0.25">
      <c r="A37" s="11">
        <v>42946</v>
      </c>
      <c r="B37" s="366"/>
      <c r="C37" s="367">
        <v>98.699443554879053</v>
      </c>
      <c r="D37" s="367">
        <v>1175.3361197153729</v>
      </c>
      <c r="E37" s="367">
        <v>27.788086694975735</v>
      </c>
      <c r="F37" s="367">
        <v>0</v>
      </c>
      <c r="G37" s="367">
        <v>2984.7257241566949</v>
      </c>
      <c r="H37" s="368">
        <v>50.292615946134028</v>
      </c>
      <c r="I37" s="366">
        <v>82.497146546840668</v>
      </c>
      <c r="J37" s="367">
        <v>660.34062824249258</v>
      </c>
      <c r="K37" s="367">
        <v>36.254671077926965</v>
      </c>
      <c r="L37" s="369">
        <v>0</v>
      </c>
      <c r="M37" s="367">
        <v>0</v>
      </c>
      <c r="N37" s="368">
        <v>0</v>
      </c>
      <c r="O37" s="366">
        <v>0</v>
      </c>
      <c r="P37" s="367">
        <v>0</v>
      </c>
      <c r="Q37" s="367">
        <v>0</v>
      </c>
      <c r="R37" s="367">
        <v>0</v>
      </c>
      <c r="S37" s="367">
        <v>0</v>
      </c>
      <c r="T37" s="368">
        <v>0</v>
      </c>
      <c r="U37" s="366">
        <v>509.41902679797192</v>
      </c>
      <c r="V37" s="367">
        <v>246.99362095797005</v>
      </c>
      <c r="W37" s="367">
        <v>50.127277126079768</v>
      </c>
      <c r="X37" s="367">
        <v>24.304388008350223</v>
      </c>
      <c r="Y37" s="367">
        <v>376.22096459463552</v>
      </c>
      <c r="Z37" s="367">
        <v>182.4120683312868</v>
      </c>
      <c r="AA37" s="368">
        <v>0</v>
      </c>
      <c r="AB37" s="370">
        <v>124.48939914173603</v>
      </c>
      <c r="AC37" s="371">
        <v>0</v>
      </c>
      <c r="AD37" s="401">
        <v>16.984370425336628</v>
      </c>
      <c r="AE37" s="401">
        <v>8.0213427963142223</v>
      </c>
      <c r="AF37" s="371">
        <v>24.889398784107591</v>
      </c>
      <c r="AG37" s="371">
        <v>16.498969673299406</v>
      </c>
      <c r="AH37" s="371">
        <v>7.9995839325021878</v>
      </c>
      <c r="AI37" s="371">
        <v>0.67346709274265992</v>
      </c>
      <c r="AJ37" s="371">
        <v>236.58066558837891</v>
      </c>
      <c r="AK37" s="371">
        <v>975.40911808013902</v>
      </c>
      <c r="AL37" s="371">
        <v>3146.7025056203202</v>
      </c>
      <c r="AM37" s="371">
        <v>477.21014070510864</v>
      </c>
      <c r="AN37" s="371">
        <v>5223.2316724141428</v>
      </c>
      <c r="AO37" s="371">
        <v>2571.4723567962642</v>
      </c>
      <c r="AP37" s="371">
        <v>860.59927368164062</v>
      </c>
      <c r="AQ37" s="371">
        <v>2883.3533935546875</v>
      </c>
      <c r="AR37" s="371">
        <v>376.16730756759654</v>
      </c>
      <c r="AS37" s="371">
        <v>830.34228700002063</v>
      </c>
    </row>
    <row r="38" spans="1:45" s="372" customFormat="1" ht="15" customHeight="1" thickBot="1" x14ac:dyDescent="0.3">
      <c r="A38" s="11">
        <v>42947</v>
      </c>
      <c r="B38" s="366"/>
      <c r="C38" s="367">
        <v>99.232939608892679</v>
      </c>
      <c r="D38" s="367">
        <v>1171.0520631790166</v>
      </c>
      <c r="E38" s="367">
        <v>27.915018569926414</v>
      </c>
      <c r="F38" s="367">
        <v>0</v>
      </c>
      <c r="G38" s="367">
        <v>3010.6867745717182</v>
      </c>
      <c r="H38" s="368">
        <v>50.038958732287234</v>
      </c>
      <c r="I38" s="366">
        <v>82.550480723381042</v>
      </c>
      <c r="J38" s="367">
        <v>660.47259445190491</v>
      </c>
      <c r="K38" s="367">
        <v>36.196644921104152</v>
      </c>
      <c r="L38" s="369">
        <v>0</v>
      </c>
      <c r="M38" s="367">
        <v>0</v>
      </c>
      <c r="N38" s="368">
        <v>0</v>
      </c>
      <c r="O38" s="366">
        <v>0</v>
      </c>
      <c r="P38" s="367">
        <v>0</v>
      </c>
      <c r="Q38" s="367">
        <v>0</v>
      </c>
      <c r="R38" s="367">
        <v>0</v>
      </c>
      <c r="S38" s="367">
        <v>0</v>
      </c>
      <c r="T38" s="373">
        <v>0</v>
      </c>
      <c r="U38" s="366">
        <v>501.34230879765124</v>
      </c>
      <c r="V38" s="367">
        <v>243.00713785932098</v>
      </c>
      <c r="W38" s="367">
        <v>50.192145417155089</v>
      </c>
      <c r="X38" s="367">
        <v>24.328785715479267</v>
      </c>
      <c r="Y38" s="367">
        <v>373.85751325822332</v>
      </c>
      <c r="Z38" s="367">
        <v>181.21359931094972</v>
      </c>
      <c r="AA38" s="368">
        <v>0</v>
      </c>
      <c r="AB38" s="370">
        <v>124.44766126209021</v>
      </c>
      <c r="AC38" s="371">
        <v>0</v>
      </c>
      <c r="AD38" s="401">
        <v>16.985641187568053</v>
      </c>
      <c r="AE38" s="401">
        <v>7.9926336952579922</v>
      </c>
      <c r="AF38" s="371">
        <v>24.752772295475026</v>
      </c>
      <c r="AG38" s="371">
        <v>16.408454132926842</v>
      </c>
      <c r="AH38" s="371">
        <v>7.953391137287511</v>
      </c>
      <c r="AI38" s="371">
        <v>0.67353084099045624</v>
      </c>
      <c r="AJ38" s="371">
        <v>212.96834551493328</v>
      </c>
      <c r="AK38" s="371">
        <v>982.49092833201098</v>
      </c>
      <c r="AL38" s="371">
        <v>3176.5069479624431</v>
      </c>
      <c r="AM38" s="371">
        <v>477.39767913818361</v>
      </c>
      <c r="AN38" s="371">
        <v>5426.3076627095534</v>
      </c>
      <c r="AO38" s="371">
        <v>2639.9624866485597</v>
      </c>
      <c r="AP38" s="371">
        <v>860.59927368164062</v>
      </c>
      <c r="AQ38" s="371">
        <v>2883.3533935546875</v>
      </c>
      <c r="AR38" s="371">
        <v>378.19086998303737</v>
      </c>
      <c r="AS38" s="371">
        <v>824.18325773874915</v>
      </c>
    </row>
    <row r="39" spans="1:45" ht="15.75" thickTop="1" x14ac:dyDescent="0.25">
      <c r="A39" s="46" t="s">
        <v>173</v>
      </c>
      <c r="B39" s="29">
        <f t="shared" ref="B39:AC39" si="0">SUM(B8:B37)</f>
        <v>0</v>
      </c>
      <c r="C39" s="30">
        <f t="shared" si="0"/>
        <v>2789.9535609722202</v>
      </c>
      <c r="D39" s="30">
        <f t="shared" si="0"/>
        <v>32842.698837471013</v>
      </c>
      <c r="E39" s="30">
        <f t="shared" si="0"/>
        <v>788.54327662984531</v>
      </c>
      <c r="F39" s="30">
        <f t="shared" si="0"/>
        <v>0</v>
      </c>
      <c r="G39" s="30">
        <f t="shared" si="0"/>
        <v>82073.464428583742</v>
      </c>
      <c r="H39" s="31">
        <f t="shared" si="0"/>
        <v>1420.1696853339697</v>
      </c>
      <c r="I39" s="29">
        <f t="shared" si="0"/>
        <v>3033.0794323484101</v>
      </c>
      <c r="J39" s="30">
        <f t="shared" si="0"/>
        <v>22492.73073698677</v>
      </c>
      <c r="K39" s="30">
        <f t="shared" si="0"/>
        <v>1235.0353785256546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16670.133058174069</v>
      </c>
      <c r="V39" s="262">
        <f t="shared" si="0"/>
        <v>6750.3023156408308</v>
      </c>
      <c r="W39" s="262">
        <f t="shared" si="0"/>
        <v>1675.9067181514829</v>
      </c>
      <c r="X39" s="262">
        <f t="shared" si="0"/>
        <v>678.48434472410543</v>
      </c>
      <c r="Y39" s="262">
        <f t="shared" si="0"/>
        <v>12090.792839528529</v>
      </c>
      <c r="Z39" s="262">
        <f t="shared" si="0"/>
        <v>4894.3340066577912</v>
      </c>
      <c r="AA39" s="270">
        <f t="shared" si="0"/>
        <v>0</v>
      </c>
      <c r="AB39" s="273">
        <f t="shared" si="0"/>
        <v>3905.3056223021645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SUM(AJ8:AJ37)</f>
        <v>7105.8486361662553</v>
      </c>
      <c r="AK39" s="273">
        <f t="shared" si="1"/>
        <v>31113.8303068161</v>
      </c>
      <c r="AL39" s="273">
        <f t="shared" si="1"/>
        <v>96449.471220270789</v>
      </c>
      <c r="AM39" s="273">
        <f t="shared" si="1"/>
        <v>15152.19171406428</v>
      </c>
      <c r="AN39" s="273">
        <f t="shared" si="1"/>
        <v>136844.33217709858</v>
      </c>
      <c r="AO39" s="273">
        <f t="shared" si="1"/>
        <v>76705.950728988624</v>
      </c>
      <c r="AP39" s="273">
        <f t="shared" si="1"/>
        <v>21852.925920200349</v>
      </c>
      <c r="AQ39" s="273">
        <f t="shared" si="1"/>
        <v>86261.145814005533</v>
      </c>
      <c r="AR39" s="273">
        <f t="shared" si="1"/>
        <v>13541.800895293554</v>
      </c>
      <c r="AS39" s="273">
        <f t="shared" si="1"/>
        <v>27526.193309783939</v>
      </c>
    </row>
    <row r="40" spans="1:45" ht="15.75" thickBot="1" x14ac:dyDescent="0.3">
      <c r="A40" s="47" t="s">
        <v>174</v>
      </c>
      <c r="B40" s="32">
        <f>Projection!$AC$30</f>
        <v>0.82128400199999985</v>
      </c>
      <c r="C40" s="33">
        <f>Projection!$AC$28</f>
        <v>1.16246256</v>
      </c>
      <c r="D40" s="33">
        <f>Projection!$AC$31</f>
        <v>2.504502</v>
      </c>
      <c r="E40" s="33">
        <f>Projection!$AC$26</f>
        <v>3.9898560000000005</v>
      </c>
      <c r="F40" s="33">
        <f>Projection!$AC$23</f>
        <v>0</v>
      </c>
      <c r="G40" s="33">
        <f>Projection!$AC$24</f>
        <v>5.5265000000000002E-2</v>
      </c>
      <c r="H40" s="34">
        <f>Projection!$AC$29</f>
        <v>3.1332129000000002</v>
      </c>
      <c r="I40" s="32">
        <f>Projection!$AC$30</f>
        <v>0.82128400199999985</v>
      </c>
      <c r="J40" s="33">
        <f>Projection!$AC$28</f>
        <v>1.16246256</v>
      </c>
      <c r="K40" s="33">
        <f>Projection!$AC$26</f>
        <v>3.9898560000000005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1.16246256</v>
      </c>
      <c r="T40" s="38">
        <f>Projection!$AC$28</f>
        <v>1.16246256</v>
      </c>
      <c r="U40" s="26">
        <f>Projection!$AC$27</f>
        <v>0.2321</v>
      </c>
      <c r="V40" s="27">
        <f>Projection!$AC$27</f>
        <v>0.2321</v>
      </c>
      <c r="W40" s="27">
        <f>Projection!$AC$22</f>
        <v>0.74349432000000004</v>
      </c>
      <c r="X40" s="27">
        <f>Projection!$AC$22</f>
        <v>0.74349432000000004</v>
      </c>
      <c r="Y40" s="27">
        <f>Projection!$AC$31</f>
        <v>2.504502</v>
      </c>
      <c r="Z40" s="27">
        <f>Projection!$AC$31</f>
        <v>2.504502</v>
      </c>
      <c r="AA40" s="28">
        <v>0</v>
      </c>
      <c r="AB40" s="41">
        <f>Projection!$AC$27</f>
        <v>0.2321</v>
      </c>
      <c r="AC40" s="41">
        <f>Projection!$AC$30</f>
        <v>0.82128400199999985</v>
      </c>
      <c r="AD40" s="403">
        <f>SUM(AD8:AD38)</f>
        <v>580.62896330400974</v>
      </c>
      <c r="AE40" s="403">
        <f>SUM(AE8:AE38)</f>
        <v>234.44041111550627</v>
      </c>
      <c r="AF40" s="277">
        <f>SUM(AF8:AF37)</f>
        <v>776.27762717604628</v>
      </c>
      <c r="AG40" s="277">
        <f>SUM(AG8:AG37)</f>
        <v>545.11294369856842</v>
      </c>
      <c r="AH40" s="277">
        <f>SUM(AH8:AH37)</f>
        <v>221.07111427307899</v>
      </c>
      <c r="AI40" s="277">
        <f>IF(SUM(AG40:AH40)&gt;0, AG40/(AG40+AH40), 0)</f>
        <v>0.71146474274297711</v>
      </c>
      <c r="AJ40" s="313">
        <v>6.5000000000000002E-2</v>
      </c>
      <c r="AK40" s="313">
        <f t="shared" ref="AK40:AS40" si="2">$AJ$40</f>
        <v>6.5000000000000002E-2</v>
      </c>
      <c r="AL40" s="313">
        <f t="shared" si="2"/>
        <v>6.5000000000000002E-2</v>
      </c>
      <c r="AM40" s="313">
        <f t="shared" si="2"/>
        <v>6.5000000000000002E-2</v>
      </c>
      <c r="AN40" s="313">
        <f t="shared" si="2"/>
        <v>6.5000000000000002E-2</v>
      </c>
      <c r="AO40" s="313">
        <f t="shared" si="2"/>
        <v>6.5000000000000002E-2</v>
      </c>
      <c r="AP40" s="313">
        <f t="shared" si="2"/>
        <v>6.5000000000000002E-2</v>
      </c>
      <c r="AQ40" s="313">
        <f t="shared" si="2"/>
        <v>6.5000000000000002E-2</v>
      </c>
      <c r="AR40" s="313">
        <f t="shared" si="2"/>
        <v>6.5000000000000002E-2</v>
      </c>
      <c r="AS40" s="313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3243.2165587688833</v>
      </c>
      <c r="D41" s="36">
        <f t="shared" si="3"/>
        <v>82254.604923843828</v>
      </c>
      <c r="E41" s="36">
        <f t="shared" si="3"/>
        <v>3146.1741235212485</v>
      </c>
      <c r="F41" s="36">
        <f t="shared" si="3"/>
        <v>0</v>
      </c>
      <c r="G41" s="36">
        <f t="shared" si="3"/>
        <v>4535.7900116456804</v>
      </c>
      <c r="H41" s="37">
        <f t="shared" si="3"/>
        <v>4449.6939782773352</v>
      </c>
      <c r="I41" s="35">
        <f t="shared" si="3"/>
        <v>2491.01961458299</v>
      </c>
      <c r="J41" s="36">
        <f t="shared" si="3"/>
        <v>26146.957353908329</v>
      </c>
      <c r="K41" s="36">
        <f t="shared" si="3"/>
        <v>4927.6133152228549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3869.1378828022016</v>
      </c>
      <c r="V41" s="268">
        <f t="shared" si="3"/>
        <v>1566.7451674602369</v>
      </c>
      <c r="W41" s="268">
        <f t="shared" si="3"/>
        <v>1246.0271257954685</v>
      </c>
      <c r="X41" s="268">
        <f t="shared" si="3"/>
        <v>504.44925651129438</v>
      </c>
      <c r="Y41" s="268">
        <f t="shared" si="3"/>
        <v>30281.414848184879</v>
      </c>
      <c r="Z41" s="268">
        <f t="shared" si="3"/>
        <v>12257.869308342451</v>
      </c>
      <c r="AA41" s="272">
        <f t="shared" si="3"/>
        <v>0</v>
      </c>
      <c r="AB41" s="275">
        <f t="shared" si="3"/>
        <v>906.42143493633239</v>
      </c>
      <c r="AC41" s="275">
        <f t="shared" si="3"/>
        <v>0</v>
      </c>
      <c r="AJ41" s="278">
        <f t="shared" ref="AJ41:AS41" si="4">AJ40*AJ39</f>
        <v>461.88016135080659</v>
      </c>
      <c r="AK41" s="278">
        <f t="shared" si="4"/>
        <v>2022.3989699430465</v>
      </c>
      <c r="AL41" s="278">
        <f t="shared" si="4"/>
        <v>6269.2156293176013</v>
      </c>
      <c r="AM41" s="278">
        <f t="shared" si="4"/>
        <v>984.89246141417823</v>
      </c>
      <c r="AN41" s="278">
        <f t="shared" si="4"/>
        <v>8894.8815915114083</v>
      </c>
      <c r="AO41" s="278">
        <f t="shared" si="4"/>
        <v>4985.8867973842607</v>
      </c>
      <c r="AP41" s="278">
        <f t="shared" si="4"/>
        <v>1420.4401848130226</v>
      </c>
      <c r="AQ41" s="278">
        <f t="shared" si="4"/>
        <v>5606.9744779103594</v>
      </c>
      <c r="AR41" s="278">
        <f t="shared" si="4"/>
        <v>880.21705819408101</v>
      </c>
      <c r="AS41" s="278">
        <f t="shared" si="4"/>
        <v>1789.2025651359561</v>
      </c>
    </row>
    <row r="42" spans="1:45" ht="49.5" customHeight="1" thickTop="1" thickBot="1" x14ac:dyDescent="0.3">
      <c r="A42" s="620" t="s">
        <v>230</v>
      </c>
      <c r="B42" s="621"/>
      <c r="C42" s="621"/>
      <c r="D42" s="621"/>
      <c r="E42" s="621"/>
      <c r="F42" s="621"/>
      <c r="G42" s="621"/>
      <c r="H42" s="621"/>
      <c r="I42" s="621"/>
      <c r="J42" s="621"/>
      <c r="K42" s="614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186</v>
      </c>
      <c r="AJ42" s="295">
        <v>144.97999999999999</v>
      </c>
      <c r="AK42" s="278" t="s">
        <v>199</v>
      </c>
      <c r="AL42" s="278">
        <v>40.22</v>
      </c>
      <c r="AM42" s="278">
        <v>120.13</v>
      </c>
      <c r="AN42" s="278">
        <v>146.78</v>
      </c>
      <c r="AO42" s="278">
        <v>989.92</v>
      </c>
      <c r="AP42" s="278">
        <v>140.11000000000001</v>
      </c>
      <c r="AQ42" s="278" t="s">
        <v>199</v>
      </c>
      <c r="AR42" s="278">
        <v>40.22</v>
      </c>
      <c r="AS42" s="278">
        <v>136.53</v>
      </c>
    </row>
    <row r="43" spans="1:45" ht="38.25" customHeight="1" thickTop="1" thickBot="1" x14ac:dyDescent="0.3">
      <c r="A43" s="617" t="s">
        <v>49</v>
      </c>
      <c r="B43" s="613"/>
      <c r="C43" s="289"/>
      <c r="D43" s="613" t="s">
        <v>47</v>
      </c>
      <c r="E43" s="613"/>
      <c r="F43" s="289"/>
      <c r="G43" s="613" t="s">
        <v>48</v>
      </c>
      <c r="H43" s="613"/>
      <c r="I43" s="290"/>
      <c r="J43" s="613" t="s">
        <v>50</v>
      </c>
      <c r="K43" s="614"/>
      <c r="L43" s="44"/>
      <c r="M43" s="44"/>
      <c r="N43" s="44"/>
      <c r="O43" s="45"/>
      <c r="P43" s="45"/>
      <c r="Q43" s="45"/>
      <c r="R43" s="602" t="s">
        <v>168</v>
      </c>
      <c r="S43" s="603"/>
      <c r="T43" s="603"/>
      <c r="U43" s="604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181827.13490380402</v>
      </c>
      <c r="C44" s="12"/>
      <c r="D44" s="282" t="s">
        <v>135</v>
      </c>
      <c r="E44" s="283">
        <f>SUM(B41:H41)+P41+R41+T41+V41+X41+Z41</f>
        <v>111958.54332837096</v>
      </c>
      <c r="F44" s="12"/>
      <c r="G44" s="282" t="s">
        <v>135</v>
      </c>
      <c r="H44" s="283">
        <f>SUM(I41:N41)+O41+Q41+S41+U41+W41+Y41</f>
        <v>68962.170140496717</v>
      </c>
      <c r="I44" s="12"/>
      <c r="J44" s="282" t="s">
        <v>200</v>
      </c>
      <c r="K44" s="283">
        <v>144532.89000000001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5" ht="24" thickBot="1" x14ac:dyDescent="0.4">
      <c r="A45" s="284" t="s">
        <v>185</v>
      </c>
      <c r="B45" s="285">
        <f>SUM(AJ41:AS41)</f>
        <v>33315.989896974723</v>
      </c>
      <c r="C45" s="12"/>
      <c r="D45" s="284" t="s">
        <v>185</v>
      </c>
      <c r="E45" s="285">
        <f>AJ41*(1-$AI$40)+AK41+AL41*0.5+AN41+AO41*(1-$AI$40)+AP41*(1-$AI$40)+AQ41*(1-$AI$40)+AR41*0.5+AS41*0.5</f>
        <v>18986.127926253874</v>
      </c>
      <c r="F45" s="24"/>
      <c r="G45" s="284" t="s">
        <v>185</v>
      </c>
      <c r="H45" s="285">
        <f>AJ41*AI40+AL41*0.5+AM41+AO41*AI40+AP41*AI40+AQ41*AI40+AR41*0.5+AS41*0.5</f>
        <v>14329.861970720847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2354.3910628755884</v>
      </c>
      <c r="U45" s="256">
        <f>(T45*8.34*0.895)/27000</f>
        <v>0.65088448928230569</v>
      </c>
    </row>
    <row r="46" spans="1:45" ht="32.25" thickBot="1" x14ac:dyDescent="0.3">
      <c r="A46" s="286" t="s">
        <v>186</v>
      </c>
      <c r="B46" s="287">
        <f>SUM(AJ42:AS42)</f>
        <v>1758.8899999999999</v>
      </c>
      <c r="C46" s="12"/>
      <c r="D46" s="286" t="s">
        <v>186</v>
      </c>
      <c r="E46" s="287">
        <f>AJ42*(1-$AI$40)+AL42*0.5+AN42+AO42*(1-$AI$40)+AP42*(1-$AI$40)+AR42*0.5+AS42*0.5</f>
        <v>623.15033835527674</v>
      </c>
      <c r="F46" s="23"/>
      <c r="G46" s="286" t="s">
        <v>186</v>
      </c>
      <c r="H46" s="287">
        <f>AJ42*AI40+AL42*0.5+AM42+AO42*AI40+AP42*AI40+AR42*0.5+AS42*0.5</f>
        <v>1135.7396616447231</v>
      </c>
      <c r="I46" s="12"/>
      <c r="J46" s="615" t="s">
        <v>201</v>
      </c>
      <c r="K46" s="616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187</v>
      </c>
      <c r="B47" s="287">
        <f>K44</f>
        <v>144532.89000000001</v>
      </c>
      <c r="C47" s="12"/>
      <c r="D47" s="286" t="s">
        <v>189</v>
      </c>
      <c r="E47" s="287">
        <f>K44*0.5</f>
        <v>72266.445000000007</v>
      </c>
      <c r="F47" s="24"/>
      <c r="G47" s="286" t="s">
        <v>187</v>
      </c>
      <c r="H47" s="287">
        <f>K44*0.5</f>
        <v>72266.445000000007</v>
      </c>
      <c r="I47" s="12"/>
      <c r="J47" s="282" t="s">
        <v>200</v>
      </c>
      <c r="K47" s="283">
        <v>65856.3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82073.464428583742</v>
      </c>
      <c r="U47" s="256">
        <f>T47/40000</f>
        <v>2.0518366107145933</v>
      </c>
    </row>
    <row r="48" spans="1:45" ht="24" thickBot="1" x14ac:dyDescent="0.3">
      <c r="A48" s="286" t="s">
        <v>188</v>
      </c>
      <c r="B48" s="287">
        <f>K47</f>
        <v>65856.3</v>
      </c>
      <c r="C48" s="12"/>
      <c r="D48" s="286" t="s">
        <v>188</v>
      </c>
      <c r="E48" s="287">
        <f>K47*0.5</f>
        <v>32928.15</v>
      </c>
      <c r="F48" s="23"/>
      <c r="G48" s="286" t="s">
        <v>188</v>
      </c>
      <c r="H48" s="287">
        <f>K47*0.5</f>
        <v>32928.15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196</v>
      </c>
      <c r="B49" s="292">
        <f>AF40</f>
        <v>776.27762717604628</v>
      </c>
      <c r="C49" s="12"/>
      <c r="D49" s="291" t="s">
        <v>197</v>
      </c>
      <c r="E49" s="292">
        <f>AH40</f>
        <v>221.07111427307899</v>
      </c>
      <c r="F49" s="375">
        <f>E44/E49</f>
        <v>506.43678029357426</v>
      </c>
      <c r="G49" s="291" t="s">
        <v>198</v>
      </c>
      <c r="H49" s="292">
        <f>AG40</f>
        <v>545.11294369856842</v>
      </c>
      <c r="I49" s="374">
        <f>H44/H49</f>
        <v>126.50987458230452</v>
      </c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2023.5786551554997</v>
      </c>
      <c r="U49" s="256">
        <f>(T49*8.34*1.04)/45000</f>
        <v>0.39003804051903873</v>
      </c>
    </row>
    <row r="50" spans="1:25" ht="48" customHeight="1" thickTop="1" thickBot="1" x14ac:dyDescent="0.3">
      <c r="A50" s="291" t="s">
        <v>238</v>
      </c>
      <c r="B50" s="292">
        <f>SUM(E50+H50)</f>
        <v>815.06937441951595</v>
      </c>
      <c r="C50" s="12"/>
      <c r="D50" s="291" t="s">
        <v>239</v>
      </c>
      <c r="E50" s="292">
        <f>AE40</f>
        <v>234.44041111550627</v>
      </c>
      <c r="F50" s="375"/>
      <c r="G50" s="291" t="s">
        <v>240</v>
      </c>
      <c r="H50" s="292">
        <f>AD40</f>
        <v>580.62896330400974</v>
      </c>
      <c r="I50" s="374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192</v>
      </c>
      <c r="B51" s="293">
        <f>(SUM(B44:B48)/B50)</f>
        <v>524.23906260137812</v>
      </c>
      <c r="C51" s="12"/>
      <c r="D51" s="291" t="s">
        <v>190</v>
      </c>
      <c r="E51" s="294">
        <f>SUM(E44:E48)/E50</f>
        <v>1009.9044591605403</v>
      </c>
      <c r="F51" s="23"/>
      <c r="G51" s="291" t="s">
        <v>191</v>
      </c>
      <c r="H51" s="294">
        <f>SUM(H44:H48)/H50</f>
        <v>326.58096436291362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27325.740996117063</v>
      </c>
      <c r="U51" s="256">
        <f>T51/2000/8</f>
        <v>1.7078588122573164</v>
      </c>
    </row>
    <row r="52" spans="1:25" ht="47.25" customHeight="1" thickTop="1" thickBot="1" x14ac:dyDescent="0.3">
      <c r="A52" s="281" t="s">
        <v>193</v>
      </c>
      <c r="B52" s="294">
        <f>B51/1000</f>
        <v>0.52423906260137809</v>
      </c>
      <c r="C52" s="12"/>
      <c r="D52" s="281" t="s">
        <v>194</v>
      </c>
      <c r="E52" s="294">
        <f>E51/1000</f>
        <v>1.0099044591605404</v>
      </c>
      <c r="F52" s="12"/>
      <c r="G52" s="281" t="s">
        <v>195</v>
      </c>
      <c r="H52" s="294">
        <f>H51/1000</f>
        <v>0.32658096436291362</v>
      </c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25282.684297958989</v>
      </c>
      <c r="U52" s="256">
        <f>(T52*8.34*1.4)/45000</f>
        <v>6.560013819177092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1420.1696853339697</v>
      </c>
      <c r="U53" s="256">
        <f>(T53*8.34*1.135)/45000</f>
        <v>0.29873742720895163</v>
      </c>
    </row>
    <row r="54" spans="1:25" ht="48" customHeight="1" thickTop="1" thickBot="1" x14ac:dyDescent="0.3">
      <c r="A54" s="605" t="s">
        <v>51</v>
      </c>
      <c r="B54" s="606"/>
      <c r="C54" s="606"/>
      <c r="D54" s="606"/>
      <c r="E54" s="60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3033.0794323484101</v>
      </c>
      <c r="U54" s="256">
        <f>(T54*8.34*1.029*0.03)/3300</f>
        <v>0.23663148233903203</v>
      </c>
    </row>
    <row r="55" spans="1:25" ht="51.75" customHeight="1" thickBot="1" x14ac:dyDescent="0.3">
      <c r="A55" s="610" t="s">
        <v>202</v>
      </c>
      <c r="B55" s="611"/>
      <c r="C55" s="611"/>
      <c r="D55" s="611"/>
      <c r="E55" s="61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18" t="s">
        <v>158</v>
      </c>
      <c r="S55" s="619"/>
      <c r="T55" s="258">
        <f>$D$39+$Y$39+$Z$39</f>
        <v>49827.825683657327</v>
      </c>
      <c r="U55" s="259">
        <f>(T55*1.54*8.34)/45000</f>
        <v>14.221525821124917</v>
      </c>
    </row>
    <row r="56" spans="1:25" ht="24" thickTop="1" x14ac:dyDescent="0.25">
      <c r="A56" s="647"/>
      <c r="B56" s="64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49"/>
      <c r="B57" s="65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45"/>
      <c r="B58" s="64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46"/>
      <c r="B59" s="64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45"/>
      <c r="B60" s="64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46"/>
      <c r="B61" s="646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</row>
    <row r="63" spans="1:25" x14ac:dyDescent="0.25">
      <c r="A63" s="12"/>
      <c r="B63" s="12"/>
    </row>
  </sheetData>
  <sheetProtection algorithmName="SHA-512" hashValue="V+tSS/Lr6QLDTLuj6+n6yc/8E4O15VjdtJV4JVSZrO3LZc+H4EMxP+r+rhTBMW2IsWXkkqePSKCfDL0miAWgOw==" saltValue="HXb9VUq2PZn1WFv+Cnr8pg==" spinCount="100000" sheet="1" objects="1" scenarios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6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62"/>
  <sheetViews>
    <sheetView topLeftCell="D47" zoomScale="75" zoomScaleNormal="75" workbookViewId="0">
      <selection activeCell="H52" sqref="H52"/>
    </sheetView>
  </sheetViews>
  <sheetFormatPr defaultRowHeight="15" x14ac:dyDescent="0.25"/>
  <cols>
    <col min="1" max="1" width="35.140625" bestFit="1" customWidth="1"/>
    <col min="2" max="2" width="19.140625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3" bestFit="1" customWidth="1"/>
    <col min="9" max="10" width="25.28515625" bestFit="1" customWidth="1"/>
    <col min="11" max="11" width="23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23" t="s">
        <v>3</v>
      </c>
      <c r="C4" s="624"/>
      <c r="D4" s="624"/>
      <c r="E4" s="624"/>
      <c r="F4" s="624"/>
      <c r="G4" s="624"/>
      <c r="H4" s="625"/>
      <c r="I4" s="623" t="s">
        <v>4</v>
      </c>
      <c r="J4" s="624"/>
      <c r="K4" s="624"/>
      <c r="L4" s="624"/>
      <c r="M4" s="624"/>
      <c r="N4" s="625"/>
      <c r="O4" s="629" t="s">
        <v>5</v>
      </c>
      <c r="P4" s="630"/>
      <c r="Q4" s="631"/>
      <c r="R4" s="631"/>
      <c r="S4" s="631"/>
      <c r="T4" s="632"/>
      <c r="U4" s="623" t="s">
        <v>6</v>
      </c>
      <c r="V4" s="636"/>
      <c r="W4" s="636"/>
      <c r="X4" s="636"/>
      <c r="Y4" s="636"/>
      <c r="Z4" s="636"/>
      <c r="AA4" s="637"/>
      <c r="AB4" s="641" t="s">
        <v>7</v>
      </c>
      <c r="AC4" s="643" t="s">
        <v>8</v>
      </c>
      <c r="AD4" s="608" t="s">
        <v>237</v>
      </c>
      <c r="AE4" s="608" t="s">
        <v>236</v>
      </c>
      <c r="AF4" s="608" t="s">
        <v>27</v>
      </c>
      <c r="AG4" s="608" t="s">
        <v>31</v>
      </c>
      <c r="AH4" s="608" t="s">
        <v>32</v>
      </c>
      <c r="AI4" s="608" t="s">
        <v>33</v>
      </c>
      <c r="AJ4" s="641" t="s">
        <v>175</v>
      </c>
      <c r="AK4" s="641" t="s">
        <v>176</v>
      </c>
      <c r="AL4" s="641" t="s">
        <v>177</v>
      </c>
      <c r="AM4" s="641" t="s">
        <v>178</v>
      </c>
      <c r="AN4" s="641" t="s">
        <v>179</v>
      </c>
      <c r="AO4" s="641" t="s">
        <v>180</v>
      </c>
      <c r="AP4" s="641" t="s">
        <v>181</v>
      </c>
      <c r="AQ4" s="641" t="s">
        <v>184</v>
      </c>
      <c r="AR4" s="641" t="s">
        <v>182</v>
      </c>
      <c r="AS4" s="641" t="s">
        <v>183</v>
      </c>
      <c r="AV4" t="s">
        <v>171</v>
      </c>
      <c r="AW4" s="338" t="s">
        <v>209</v>
      </c>
    </row>
    <row r="5" spans="1:49" ht="30" customHeight="1" thickBot="1" x14ac:dyDescent="0.3">
      <c r="A5" s="13"/>
      <c r="B5" s="626"/>
      <c r="C5" s="627"/>
      <c r="D5" s="627"/>
      <c r="E5" s="627"/>
      <c r="F5" s="627"/>
      <c r="G5" s="627"/>
      <c r="H5" s="628"/>
      <c r="I5" s="626"/>
      <c r="J5" s="627"/>
      <c r="K5" s="627"/>
      <c r="L5" s="627"/>
      <c r="M5" s="627"/>
      <c r="N5" s="628"/>
      <c r="O5" s="633"/>
      <c r="P5" s="634"/>
      <c r="Q5" s="634"/>
      <c r="R5" s="634"/>
      <c r="S5" s="634"/>
      <c r="T5" s="635"/>
      <c r="U5" s="638"/>
      <c r="V5" s="639"/>
      <c r="W5" s="639"/>
      <c r="X5" s="639"/>
      <c r="Y5" s="639"/>
      <c r="Z5" s="639"/>
      <c r="AA5" s="640"/>
      <c r="AB5" s="642"/>
      <c r="AC5" s="644"/>
      <c r="AD5" s="609"/>
      <c r="AE5" s="609"/>
      <c r="AF5" s="622"/>
      <c r="AG5" s="622"/>
      <c r="AH5" s="622"/>
      <c r="AI5" s="622"/>
      <c r="AJ5" s="609"/>
      <c r="AK5" s="609"/>
      <c r="AL5" s="609"/>
      <c r="AM5" s="609"/>
      <c r="AN5" s="609"/>
      <c r="AO5" s="609"/>
      <c r="AP5" s="609"/>
      <c r="AQ5" s="609"/>
      <c r="AR5" s="609"/>
      <c r="AS5" s="609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399" t="s">
        <v>28</v>
      </c>
      <c r="AE7" s="399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  <c r="AR7" s="22" t="s">
        <v>172</v>
      </c>
      <c r="AS7" s="22" t="s">
        <v>172</v>
      </c>
    </row>
    <row r="8" spans="1:49" x14ac:dyDescent="0.25">
      <c r="A8" s="11">
        <v>42948</v>
      </c>
      <c r="B8" s="49"/>
      <c r="C8" s="50">
        <v>98.943931301435256</v>
      </c>
      <c r="D8" s="50">
        <v>1176.1773644129437</v>
      </c>
      <c r="E8" s="50">
        <v>27.6416015197833</v>
      </c>
      <c r="F8" s="50">
        <v>0</v>
      </c>
      <c r="G8" s="50">
        <v>3007.9322153727176</v>
      </c>
      <c r="H8" s="51">
        <v>50.31911953290308</v>
      </c>
      <c r="I8" s="49">
        <v>82.11227947473526</v>
      </c>
      <c r="J8" s="50">
        <v>660.29640862147062</v>
      </c>
      <c r="K8" s="50">
        <v>36.1790252486865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491.83035349533787</v>
      </c>
      <c r="V8" s="54">
        <v>238.48897108283862</v>
      </c>
      <c r="W8" s="54">
        <v>49.164436002879874</v>
      </c>
      <c r="X8" s="54">
        <v>23.839878268729162</v>
      </c>
      <c r="Y8" s="54">
        <v>368.85924086010374</v>
      </c>
      <c r="Z8" s="54">
        <v>178.86017038587869</v>
      </c>
      <c r="AA8" s="55">
        <v>0</v>
      </c>
      <c r="AB8" s="56">
        <v>124.46781659126374</v>
      </c>
      <c r="AC8" s="57">
        <v>0</v>
      </c>
      <c r="AD8" s="400">
        <v>16.984927776193324</v>
      </c>
      <c r="AE8" s="400">
        <v>8.0282803808978525</v>
      </c>
      <c r="AF8" s="57">
        <v>24.74786993530061</v>
      </c>
      <c r="AG8" s="58">
        <v>16.401558312480898</v>
      </c>
      <c r="AH8" s="58">
        <v>7.9531300544992245</v>
      </c>
      <c r="AI8" s="58">
        <v>0.67344562432250177</v>
      </c>
      <c r="AJ8" s="57">
        <v>221.54531908035278</v>
      </c>
      <c r="AK8" s="57">
        <v>997.4409890492758</v>
      </c>
      <c r="AL8" s="57">
        <v>3180.3532362620035</v>
      </c>
      <c r="AM8" s="57">
        <v>487.8771103700002</v>
      </c>
      <c r="AN8" s="57">
        <v>5565.9571666717529</v>
      </c>
      <c r="AO8" s="57">
        <v>2702.7351203918461</v>
      </c>
      <c r="AP8" s="57">
        <v>860.59927368164062</v>
      </c>
      <c r="AQ8" s="57">
        <v>2883.3533935546875</v>
      </c>
      <c r="AR8" s="57">
        <v>383.45845330556227</v>
      </c>
      <c r="AS8" s="57">
        <v>912.94099003473912</v>
      </c>
    </row>
    <row r="9" spans="1:49" x14ac:dyDescent="0.25">
      <c r="A9" s="11">
        <v>42949</v>
      </c>
      <c r="B9" s="59"/>
      <c r="C9" s="60">
        <v>98.007424680391267</v>
      </c>
      <c r="D9" s="60">
        <v>1170.0917348861674</v>
      </c>
      <c r="E9" s="60">
        <v>28.133173909286615</v>
      </c>
      <c r="F9" s="60">
        <v>0</v>
      </c>
      <c r="G9" s="60">
        <v>3072.7674755096277</v>
      </c>
      <c r="H9" s="61">
        <v>50.081710374355502</v>
      </c>
      <c r="I9" s="59">
        <v>93.388909888267392</v>
      </c>
      <c r="J9" s="60">
        <v>660.38073644638143</v>
      </c>
      <c r="K9" s="60">
        <v>36.200483164191262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491.58913664350251</v>
      </c>
      <c r="V9" s="62">
        <v>238.41567784353259</v>
      </c>
      <c r="W9" s="62">
        <v>49.730473630529197</v>
      </c>
      <c r="X9" s="62">
        <v>24.118768492438882</v>
      </c>
      <c r="Y9" s="66">
        <v>365.68237880857993</v>
      </c>
      <c r="Z9" s="66">
        <v>177.35219458746636</v>
      </c>
      <c r="AA9" s="67">
        <v>0</v>
      </c>
      <c r="AB9" s="68">
        <v>126.43526527086898</v>
      </c>
      <c r="AC9" s="69">
        <v>0</v>
      </c>
      <c r="AD9" s="401">
        <v>16.987265695141737</v>
      </c>
      <c r="AE9" s="401">
        <v>7.9855563860291818</v>
      </c>
      <c r="AF9" s="69">
        <v>24.885720214578829</v>
      </c>
      <c r="AG9" s="68">
        <v>16.500429751254199</v>
      </c>
      <c r="AH9" s="68">
        <v>8.0025388085574161</v>
      </c>
      <c r="AI9" s="68">
        <v>0.6734053349893806</v>
      </c>
      <c r="AJ9" s="69">
        <v>232.22538181940715</v>
      </c>
      <c r="AK9" s="69">
        <v>1004.0093320846557</v>
      </c>
      <c r="AL9" s="69">
        <v>3208.8041671752931</v>
      </c>
      <c r="AM9" s="69">
        <v>483.55891133944192</v>
      </c>
      <c r="AN9" s="69">
        <v>5797.7970425923659</v>
      </c>
      <c r="AO9" s="69">
        <v>2652.3832310994467</v>
      </c>
      <c r="AP9" s="69">
        <v>860.59927368164062</v>
      </c>
      <c r="AQ9" s="69">
        <v>2883.3533935546875</v>
      </c>
      <c r="AR9" s="69">
        <v>384.72928705215446</v>
      </c>
      <c r="AS9" s="69">
        <v>898.81424865722647</v>
      </c>
    </row>
    <row r="10" spans="1:49" x14ac:dyDescent="0.25">
      <c r="A10" s="11">
        <v>42950</v>
      </c>
      <c r="B10" s="59"/>
      <c r="C10" s="60">
        <v>98.000009302298437</v>
      </c>
      <c r="D10" s="60">
        <v>1168.7556529362985</v>
      </c>
      <c r="E10" s="60">
        <v>28.046534189085179</v>
      </c>
      <c r="F10" s="60">
        <v>0</v>
      </c>
      <c r="G10" s="60">
        <v>3062.7596871694032</v>
      </c>
      <c r="H10" s="61">
        <v>49.953901716073425</v>
      </c>
      <c r="I10" s="59">
        <v>110.98458151022587</v>
      </c>
      <c r="J10" s="60">
        <v>667.13091373443706</v>
      </c>
      <c r="K10" s="60">
        <v>36.485552045702917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490.49456199916455</v>
      </c>
      <c r="V10" s="62">
        <v>235.19159738906379</v>
      </c>
      <c r="W10" s="62">
        <v>50.608065707982888</v>
      </c>
      <c r="X10" s="62">
        <v>24.266511265932181</v>
      </c>
      <c r="Y10" s="66">
        <v>368.18786863365182</v>
      </c>
      <c r="Z10" s="66">
        <v>176.54567384045907</v>
      </c>
      <c r="AA10" s="67">
        <v>0</v>
      </c>
      <c r="AB10" s="68">
        <v>136.42211580276481</v>
      </c>
      <c r="AC10" s="69">
        <v>0</v>
      </c>
      <c r="AD10" s="401">
        <v>17.160415895933767</v>
      </c>
      <c r="AE10" s="401">
        <v>7.9770611579344282</v>
      </c>
      <c r="AF10" s="69">
        <v>24.939523967107196</v>
      </c>
      <c r="AG10" s="68">
        <v>16.588460776790551</v>
      </c>
      <c r="AH10" s="68">
        <v>7.9541485076155505</v>
      </c>
      <c r="AI10" s="68">
        <v>0.67590452932527167</v>
      </c>
      <c r="AJ10" s="69">
        <v>197.64098324775694</v>
      </c>
      <c r="AK10" s="69">
        <v>940.35428047180164</v>
      </c>
      <c r="AL10" s="69">
        <v>3145.3865376790363</v>
      </c>
      <c r="AM10" s="69">
        <v>476.41508332888282</v>
      </c>
      <c r="AN10" s="69">
        <v>5886.6684588114422</v>
      </c>
      <c r="AO10" s="69">
        <v>2647.5968808492025</v>
      </c>
      <c r="AP10" s="69">
        <v>860.59927368164062</v>
      </c>
      <c r="AQ10" s="69">
        <v>2883.3533935546875</v>
      </c>
      <c r="AR10" s="69">
        <v>374.16649465560909</v>
      </c>
      <c r="AS10" s="69">
        <v>712.92551488876336</v>
      </c>
    </row>
    <row r="11" spans="1:49" x14ac:dyDescent="0.25">
      <c r="A11" s="11">
        <v>42951</v>
      </c>
      <c r="B11" s="59"/>
      <c r="C11" s="60">
        <v>98.580013970534296</v>
      </c>
      <c r="D11" s="60">
        <v>1140.4315706888851</v>
      </c>
      <c r="E11" s="60">
        <v>27.968785672386485</v>
      </c>
      <c r="F11" s="60">
        <v>0</v>
      </c>
      <c r="G11" s="60">
        <v>2964.0553104400733</v>
      </c>
      <c r="H11" s="61">
        <v>50.039439888795435</v>
      </c>
      <c r="I11" s="59">
        <v>124.86303882598874</v>
      </c>
      <c r="J11" s="60">
        <v>679.37751070658453</v>
      </c>
      <c r="K11" s="60">
        <v>37.303793014089308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389.59377694940304</v>
      </c>
      <c r="V11" s="62">
        <v>230.8643578925149</v>
      </c>
      <c r="W11" s="62">
        <v>41.663509792127385</v>
      </c>
      <c r="X11" s="62">
        <v>24.688842596572524</v>
      </c>
      <c r="Y11" s="66">
        <v>305.11757459110788</v>
      </c>
      <c r="Z11" s="66">
        <v>180.8056932820204</v>
      </c>
      <c r="AA11" s="67">
        <v>0</v>
      </c>
      <c r="AB11" s="68">
        <v>140.23110233942626</v>
      </c>
      <c r="AC11" s="69">
        <v>0</v>
      </c>
      <c r="AD11" s="401">
        <v>17.476063109702714</v>
      </c>
      <c r="AE11" s="401">
        <v>7.9769337243506273</v>
      </c>
      <c r="AF11" s="69">
        <v>21.722942148314619</v>
      </c>
      <c r="AG11" s="68">
        <v>13.40941981557142</v>
      </c>
      <c r="AH11" s="68">
        <v>7.9461153606545176</v>
      </c>
      <c r="AI11" s="68">
        <v>0.62791307756592607</v>
      </c>
      <c r="AJ11" s="69">
        <v>197.87935598691303</v>
      </c>
      <c r="AK11" s="69">
        <v>977.87146479288742</v>
      </c>
      <c r="AL11" s="69">
        <v>3131.7341014862059</v>
      </c>
      <c r="AM11" s="69">
        <v>474.30712855656941</v>
      </c>
      <c r="AN11" s="69">
        <v>5956.5208079020185</v>
      </c>
      <c r="AO11" s="69">
        <v>2645.8753326416017</v>
      </c>
      <c r="AP11" s="69">
        <v>860.59927368164062</v>
      </c>
      <c r="AQ11" s="69">
        <v>2883.3533935546875</v>
      </c>
      <c r="AR11" s="69">
        <v>372.35317999521891</v>
      </c>
      <c r="AS11" s="69">
        <v>750.31709295908615</v>
      </c>
    </row>
    <row r="12" spans="1:49" x14ac:dyDescent="0.25">
      <c r="A12" s="11">
        <v>42952</v>
      </c>
      <c r="B12" s="59"/>
      <c r="C12" s="60">
        <v>98.27056997617116</v>
      </c>
      <c r="D12" s="60">
        <v>1136.2802519480404</v>
      </c>
      <c r="E12" s="60">
        <v>27.965209554632487</v>
      </c>
      <c r="F12" s="60">
        <v>0</v>
      </c>
      <c r="G12" s="60">
        <v>2917.8657970428603</v>
      </c>
      <c r="H12" s="61">
        <v>49.807899165153557</v>
      </c>
      <c r="I12" s="59">
        <v>129.95430034001666</v>
      </c>
      <c r="J12" s="60">
        <v>678.89218422571935</v>
      </c>
      <c r="K12" s="60">
        <v>37.280041409532245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467.06916327348614</v>
      </c>
      <c r="V12" s="62">
        <v>219.74626641401161</v>
      </c>
      <c r="W12" s="62">
        <v>52.57703405408617</v>
      </c>
      <c r="X12" s="62">
        <v>24.736394180967839</v>
      </c>
      <c r="Y12" s="66">
        <v>384.86297411450425</v>
      </c>
      <c r="Z12" s="66">
        <v>181.0699748403955</v>
      </c>
      <c r="AA12" s="67">
        <v>0</v>
      </c>
      <c r="AB12" s="68">
        <v>139.85655973222495</v>
      </c>
      <c r="AC12" s="69">
        <v>0</v>
      </c>
      <c r="AD12" s="401">
        <v>17.463555105377765</v>
      </c>
      <c r="AE12" s="401">
        <v>7.9534143304067273</v>
      </c>
      <c r="AF12" s="69">
        <v>25.189398407936093</v>
      </c>
      <c r="AG12" s="68">
        <v>16.873519516419432</v>
      </c>
      <c r="AH12" s="68">
        <v>7.9386378004707208</v>
      </c>
      <c r="AI12" s="68">
        <v>0.68005048093634624</v>
      </c>
      <c r="AJ12" s="69">
        <v>237.67288970947266</v>
      </c>
      <c r="AK12" s="69">
        <v>981.63256886800127</v>
      </c>
      <c r="AL12" s="69">
        <v>3125.4483880360917</v>
      </c>
      <c r="AM12" s="69">
        <v>477.09431562423691</v>
      </c>
      <c r="AN12" s="69">
        <v>6198.4811452229815</v>
      </c>
      <c r="AO12" s="69">
        <v>2600.6235038757327</v>
      </c>
      <c r="AP12" s="69">
        <v>860.59927368164062</v>
      </c>
      <c r="AQ12" s="69">
        <v>2883.3533935546875</v>
      </c>
      <c r="AR12" s="69">
        <v>365.36152253150937</v>
      </c>
      <c r="AS12" s="69">
        <v>798.88531643549595</v>
      </c>
    </row>
    <row r="13" spans="1:49" x14ac:dyDescent="0.25">
      <c r="A13" s="11">
        <v>42953</v>
      </c>
      <c r="B13" s="59"/>
      <c r="C13" s="60">
        <v>99.665525575478327</v>
      </c>
      <c r="D13" s="60">
        <v>1187.3752528508505</v>
      </c>
      <c r="E13" s="60">
        <v>27.984828705092369</v>
      </c>
      <c r="F13" s="60">
        <v>0</v>
      </c>
      <c r="G13" s="60">
        <v>3075.7746378580814</v>
      </c>
      <c r="H13" s="61">
        <v>50.747903966903749</v>
      </c>
      <c r="I13" s="59">
        <v>121.22523222764326</v>
      </c>
      <c r="J13" s="60">
        <v>656.87849464416468</v>
      </c>
      <c r="K13" s="60">
        <v>36.05186315774916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425.14130104811636</v>
      </c>
      <c r="V13" s="62">
        <v>177.82151101531443</v>
      </c>
      <c r="W13" s="62">
        <v>48.899982386870043</v>
      </c>
      <c r="X13" s="62">
        <v>20.45312637285118</v>
      </c>
      <c r="Y13" s="66">
        <v>358.65942301017753</v>
      </c>
      <c r="Z13" s="66">
        <v>150.01450196044925</v>
      </c>
      <c r="AA13" s="67">
        <v>0</v>
      </c>
      <c r="AB13" s="68">
        <v>138.06456680297859</v>
      </c>
      <c r="AC13" s="69">
        <v>0</v>
      </c>
      <c r="AD13" s="401">
        <v>16.897206999735147</v>
      </c>
      <c r="AE13" s="401">
        <v>8.0925046468133317</v>
      </c>
      <c r="AF13" s="69">
        <v>22.780769965383723</v>
      </c>
      <c r="AG13" s="68">
        <v>15.816386327738263</v>
      </c>
      <c r="AH13" s="68">
        <v>6.6154328188454867</v>
      </c>
      <c r="AI13" s="68">
        <v>0.70508710080016035</v>
      </c>
      <c r="AJ13" s="69">
        <v>197.27337869803111</v>
      </c>
      <c r="AK13" s="69">
        <v>955.31873512268066</v>
      </c>
      <c r="AL13" s="69">
        <v>3139.948202514649</v>
      </c>
      <c r="AM13" s="69">
        <v>468.95925866762792</v>
      </c>
      <c r="AN13" s="69">
        <v>4790.9100387573235</v>
      </c>
      <c r="AO13" s="69">
        <v>2618.8098951975508</v>
      </c>
      <c r="AP13" s="69">
        <v>860.59927368164062</v>
      </c>
      <c r="AQ13" s="69">
        <v>2883.3533935546875</v>
      </c>
      <c r="AR13" s="69">
        <v>356.79053780237831</v>
      </c>
      <c r="AS13" s="69">
        <v>705.27257372538259</v>
      </c>
    </row>
    <row r="14" spans="1:49" x14ac:dyDescent="0.25">
      <c r="A14" s="11">
        <v>42954</v>
      </c>
      <c r="B14" s="59"/>
      <c r="C14" s="60">
        <v>99.273818429310097</v>
      </c>
      <c r="D14" s="60">
        <v>1200.1502789815252</v>
      </c>
      <c r="E14" s="60">
        <v>19.393611568212563</v>
      </c>
      <c r="F14" s="60">
        <v>0</v>
      </c>
      <c r="G14" s="60">
        <v>3158.1160738627077</v>
      </c>
      <c r="H14" s="61">
        <v>50.193739409248145</v>
      </c>
      <c r="I14" s="59">
        <v>115.76527827580765</v>
      </c>
      <c r="J14" s="60">
        <v>633.57953031857926</v>
      </c>
      <c r="K14" s="60">
        <v>34.788068100313318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422.9938349481651</v>
      </c>
      <c r="V14" s="62">
        <v>211.48582148325096</v>
      </c>
      <c r="W14" s="62">
        <v>47.65293053054873</v>
      </c>
      <c r="X14" s="62">
        <v>23.825215231735864</v>
      </c>
      <c r="Y14" s="66">
        <v>368.9789545425183</v>
      </c>
      <c r="Z14" s="66">
        <v>184.47979820088415</v>
      </c>
      <c r="AA14" s="67">
        <v>0</v>
      </c>
      <c r="AB14" s="68">
        <v>135.63162884182535</v>
      </c>
      <c r="AC14" s="69">
        <v>0</v>
      </c>
      <c r="AD14" s="401">
        <v>16.340843499279984</v>
      </c>
      <c r="AE14" s="401">
        <v>8.1227509474495303</v>
      </c>
      <c r="AF14" s="69">
        <v>24.074835367335211</v>
      </c>
      <c r="AG14" s="68">
        <v>15.887260740845891</v>
      </c>
      <c r="AH14" s="68">
        <v>7.9432136151774708</v>
      </c>
      <c r="AI14" s="68">
        <v>0.66667832555461692</v>
      </c>
      <c r="AJ14" s="69">
        <v>189.13061148325602</v>
      </c>
      <c r="AK14" s="69">
        <v>933.08608881632472</v>
      </c>
      <c r="AL14" s="69">
        <v>3110.540308507284</v>
      </c>
      <c r="AM14" s="69">
        <v>470.35085555712385</v>
      </c>
      <c r="AN14" s="69">
        <v>4157.3763109842939</v>
      </c>
      <c r="AO14" s="69">
        <v>2575.2022808074953</v>
      </c>
      <c r="AP14" s="69">
        <v>686.48791588147481</v>
      </c>
      <c r="AQ14" s="69">
        <v>2883.3533935546875</v>
      </c>
      <c r="AR14" s="69">
        <v>386.79499236742652</v>
      </c>
      <c r="AS14" s="69">
        <v>635.49673274358111</v>
      </c>
    </row>
    <row r="15" spans="1:49" x14ac:dyDescent="0.25">
      <c r="A15" s="11">
        <v>42955</v>
      </c>
      <c r="B15" s="59"/>
      <c r="C15" s="60">
        <v>100.25424322287238</v>
      </c>
      <c r="D15" s="60">
        <v>1199.8960363388051</v>
      </c>
      <c r="E15" s="60">
        <v>28.263248458007865</v>
      </c>
      <c r="F15" s="60">
        <v>0</v>
      </c>
      <c r="G15" s="60">
        <v>3112.0891878128236</v>
      </c>
      <c r="H15" s="61">
        <v>49.471621617674998</v>
      </c>
      <c r="I15" s="59">
        <v>105.76593094269433</v>
      </c>
      <c r="J15" s="60">
        <v>502.02072960535685</v>
      </c>
      <c r="K15" s="60">
        <v>27.567202371855579</v>
      </c>
      <c r="L15" s="60">
        <v>0</v>
      </c>
      <c r="M15" s="60">
        <v>0</v>
      </c>
      <c r="N15" s="61">
        <v>0</v>
      </c>
      <c r="O15" s="59">
        <v>1.7960002033050215E-4</v>
      </c>
      <c r="P15" s="60">
        <v>0</v>
      </c>
      <c r="Q15" s="60">
        <v>8.2210711557315267E-5</v>
      </c>
      <c r="R15" s="63">
        <v>1.4602605490725712E-5</v>
      </c>
      <c r="S15" s="60">
        <v>0</v>
      </c>
      <c r="T15" s="64">
        <v>0</v>
      </c>
      <c r="U15" s="65">
        <v>326.57671722606312</v>
      </c>
      <c r="V15" s="62">
        <v>149.48831437658291</v>
      </c>
      <c r="W15" s="62">
        <v>38.422424259111068</v>
      </c>
      <c r="X15" s="62">
        <v>17.58760846622306</v>
      </c>
      <c r="Y15" s="66">
        <v>279.05467532418737</v>
      </c>
      <c r="Z15" s="66">
        <v>127.73541661955385</v>
      </c>
      <c r="AA15" s="67">
        <v>0</v>
      </c>
      <c r="AB15" s="68">
        <v>118.30365503629115</v>
      </c>
      <c r="AC15" s="69">
        <v>0</v>
      </c>
      <c r="AD15" s="401">
        <v>12.910697299838388</v>
      </c>
      <c r="AE15" s="401">
        <v>8.1050262382611908</v>
      </c>
      <c r="AF15" s="69">
        <v>18.382111055817827</v>
      </c>
      <c r="AG15" s="68">
        <v>12.459669237915834</v>
      </c>
      <c r="AH15" s="68">
        <v>5.7033305003690433</v>
      </c>
      <c r="AI15" s="68">
        <v>0.68599181949293997</v>
      </c>
      <c r="AJ15" s="69">
        <v>189.40160430272419</v>
      </c>
      <c r="AK15" s="69">
        <v>951.22046604156526</v>
      </c>
      <c r="AL15" s="69">
        <v>3029.3585505167644</v>
      </c>
      <c r="AM15" s="69">
        <v>478.57776773770655</v>
      </c>
      <c r="AN15" s="69">
        <v>3918.6857889811213</v>
      </c>
      <c r="AO15" s="69">
        <v>2473.3138147989907</v>
      </c>
      <c r="AP15" s="69">
        <v>330.888427734375</v>
      </c>
      <c r="AQ15" s="69">
        <v>2883.3533935546875</v>
      </c>
      <c r="AR15" s="69">
        <v>417.94410653114318</v>
      </c>
      <c r="AS15" s="69">
        <v>763.1208716074625</v>
      </c>
    </row>
    <row r="16" spans="1:49" x14ac:dyDescent="0.25">
      <c r="A16" s="11">
        <v>42956</v>
      </c>
      <c r="B16" s="59"/>
      <c r="C16" s="60">
        <v>99.992058865228657</v>
      </c>
      <c r="D16" s="60">
        <v>1181.1786069234231</v>
      </c>
      <c r="E16" s="60">
        <v>27.677078156669989</v>
      </c>
      <c r="F16" s="60">
        <v>0</v>
      </c>
      <c r="G16" s="60">
        <v>3098.0805049896439</v>
      </c>
      <c r="H16" s="61">
        <v>51.698670375347199</v>
      </c>
      <c r="I16" s="59">
        <v>102.91800965070706</v>
      </c>
      <c r="J16" s="60">
        <v>441.54058256149312</v>
      </c>
      <c r="K16" s="60">
        <v>24.159186096986147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285.51150319671353</v>
      </c>
      <c r="V16" s="62">
        <v>207.64932997131268</v>
      </c>
      <c r="W16" s="62">
        <v>33.375613210022088</v>
      </c>
      <c r="X16" s="62">
        <v>24.273711016357232</v>
      </c>
      <c r="Y16" s="66">
        <v>240.4348364194332</v>
      </c>
      <c r="Z16" s="66">
        <v>174.86557327905294</v>
      </c>
      <c r="AA16" s="67">
        <v>0</v>
      </c>
      <c r="AB16" s="68">
        <v>110.21095308727685</v>
      </c>
      <c r="AC16" s="69">
        <v>0</v>
      </c>
      <c r="AD16" s="401">
        <v>11.345079647249438</v>
      </c>
      <c r="AE16" s="401">
        <v>8.0720998385481852</v>
      </c>
      <c r="AF16" s="69">
        <v>19.045185578531701</v>
      </c>
      <c r="AG16" s="68">
        <v>10.903440946558286</v>
      </c>
      <c r="AH16" s="68">
        <v>7.929950918211075</v>
      </c>
      <c r="AI16" s="68">
        <v>0.57894196780107254</v>
      </c>
      <c r="AJ16" s="69">
        <v>182.65453425248467</v>
      </c>
      <c r="AK16" s="69">
        <v>962.57875372568753</v>
      </c>
      <c r="AL16" s="69">
        <v>3049.9780339558915</v>
      </c>
      <c r="AM16" s="69">
        <v>468.80222886403402</v>
      </c>
      <c r="AN16" s="69">
        <v>3952.1546262105303</v>
      </c>
      <c r="AO16" s="69">
        <v>2458.3019500732421</v>
      </c>
      <c r="AP16" s="69">
        <v>460.54101511637373</v>
      </c>
      <c r="AQ16" s="69">
        <v>2883.3533935546875</v>
      </c>
      <c r="AR16" s="69">
        <v>443.27730560302729</v>
      </c>
      <c r="AS16" s="69">
        <v>734.34107974370329</v>
      </c>
    </row>
    <row r="17" spans="1:45" s="382" customFormat="1" ht="15" customHeight="1" x14ac:dyDescent="0.25">
      <c r="A17" s="11">
        <v>42957</v>
      </c>
      <c r="B17" s="376"/>
      <c r="C17" s="377">
        <v>99.372633242607293</v>
      </c>
      <c r="D17" s="377">
        <v>1171.3524625142409</v>
      </c>
      <c r="E17" s="377">
        <v>27.427126429975047</v>
      </c>
      <c r="F17" s="377">
        <v>0</v>
      </c>
      <c r="G17" s="377">
        <v>3098.8321613311959</v>
      </c>
      <c r="H17" s="378">
        <v>50.811320732037238</v>
      </c>
      <c r="I17" s="376">
        <v>95.061176868279688</v>
      </c>
      <c r="J17" s="377">
        <v>410.96771809260093</v>
      </c>
      <c r="K17" s="377">
        <v>22.370325046777715</v>
      </c>
      <c r="L17" s="379">
        <v>0</v>
      </c>
      <c r="M17" s="60">
        <v>0</v>
      </c>
      <c r="N17" s="378">
        <v>0</v>
      </c>
      <c r="O17" s="376">
        <v>0</v>
      </c>
      <c r="P17" s="377">
        <v>0</v>
      </c>
      <c r="Q17" s="377">
        <v>0</v>
      </c>
      <c r="R17" s="377">
        <v>0</v>
      </c>
      <c r="S17" s="377">
        <v>0</v>
      </c>
      <c r="T17" s="378">
        <v>0</v>
      </c>
      <c r="U17" s="376">
        <v>253.52341956674542</v>
      </c>
      <c r="V17" s="377">
        <v>201.78031968428547</v>
      </c>
      <c r="W17" s="377">
        <v>30.692076436515858</v>
      </c>
      <c r="X17" s="377">
        <v>24.42794833596918</v>
      </c>
      <c r="Y17" s="377">
        <v>201.64770730304861</v>
      </c>
      <c r="Z17" s="377">
        <v>160.49222952556562</v>
      </c>
      <c r="AA17" s="378">
        <v>0</v>
      </c>
      <c r="AB17" s="380">
        <v>106.42208363744906</v>
      </c>
      <c r="AC17" s="381">
        <v>0</v>
      </c>
      <c r="AD17" s="401">
        <v>10.589118897932455</v>
      </c>
      <c r="AE17" s="401">
        <v>8.0690762887787333</v>
      </c>
      <c r="AF17" s="381">
        <v>17.775037484036559</v>
      </c>
      <c r="AG17" s="381">
        <v>9.772943396837535</v>
      </c>
      <c r="AH17" s="381">
        <v>7.7783253564514849</v>
      </c>
      <c r="AI17" s="381">
        <v>0.55682261688381551</v>
      </c>
      <c r="AJ17" s="381">
        <v>177.1177149772644</v>
      </c>
      <c r="AK17" s="381">
        <v>953.88918056488046</v>
      </c>
      <c r="AL17" s="381">
        <v>3130.8233998616533</v>
      </c>
      <c r="AM17" s="381">
        <v>471.52120024363205</v>
      </c>
      <c r="AN17" s="381">
        <v>4208.2703755696612</v>
      </c>
      <c r="AO17" s="381">
        <v>2952.0662364959717</v>
      </c>
      <c r="AP17" s="381">
        <v>769.94847520192457</v>
      </c>
      <c r="AQ17" s="381">
        <v>2883.3533935546875</v>
      </c>
      <c r="AR17" s="381">
        <v>455.65586191813156</v>
      </c>
      <c r="AS17" s="381">
        <v>708.67584393819175</v>
      </c>
    </row>
    <row r="18" spans="1:45" x14ac:dyDescent="0.25">
      <c r="A18" s="11">
        <v>42958</v>
      </c>
      <c r="B18" s="59"/>
      <c r="C18" s="60">
        <v>99.311096493404349</v>
      </c>
      <c r="D18" s="60">
        <v>1164.0577920913706</v>
      </c>
      <c r="E18" s="60">
        <v>27.705722093582235</v>
      </c>
      <c r="F18" s="60">
        <v>0</v>
      </c>
      <c r="G18" s="60">
        <v>3131.0719573974779</v>
      </c>
      <c r="H18" s="61">
        <v>50.857271973292136</v>
      </c>
      <c r="I18" s="59">
        <v>93.687007379531892</v>
      </c>
      <c r="J18" s="60">
        <v>402.46192474365284</v>
      </c>
      <c r="K18" s="60">
        <v>21.900442048907308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251.6534311964366</v>
      </c>
      <c r="V18" s="62">
        <v>201.35796046446831</v>
      </c>
      <c r="W18" s="62">
        <v>30.56541954295734</v>
      </c>
      <c r="X18" s="62">
        <v>24.456612853041197</v>
      </c>
      <c r="Y18" s="66">
        <v>207.47028962083428</v>
      </c>
      <c r="Z18" s="66">
        <v>166.00526436857612</v>
      </c>
      <c r="AA18" s="67">
        <v>0</v>
      </c>
      <c r="AB18" s="68">
        <v>104.97037938965632</v>
      </c>
      <c r="AC18" s="69">
        <v>0</v>
      </c>
      <c r="AD18" s="401">
        <v>10.354192203479737</v>
      </c>
      <c r="AE18" s="401">
        <v>8.020080915780321</v>
      </c>
      <c r="AF18" s="69">
        <v>18.228290839989981</v>
      </c>
      <c r="AG18" s="68">
        <v>9.9997806994362826</v>
      </c>
      <c r="AH18" s="68">
        <v>8.0012238941368157</v>
      </c>
      <c r="AI18" s="68">
        <v>0.55551236862672126</v>
      </c>
      <c r="AJ18" s="69">
        <v>188.76560428937276</v>
      </c>
      <c r="AK18" s="69">
        <v>957.67916170756018</v>
      </c>
      <c r="AL18" s="69">
        <v>3124.3175013224291</v>
      </c>
      <c r="AM18" s="69">
        <v>473.43494606018083</v>
      </c>
      <c r="AN18" s="69">
        <v>4365.7297999064131</v>
      </c>
      <c r="AO18" s="69">
        <v>2645.2297086079911</v>
      </c>
      <c r="AP18" s="69">
        <v>939.01126098632812</v>
      </c>
      <c r="AQ18" s="69">
        <v>2883.3533935546875</v>
      </c>
      <c r="AR18" s="69">
        <v>458.75830510457348</v>
      </c>
      <c r="AS18" s="69">
        <v>813.97051156361886</v>
      </c>
    </row>
    <row r="19" spans="1:45" x14ac:dyDescent="0.25">
      <c r="A19" s="11">
        <v>42959</v>
      </c>
      <c r="B19" s="59"/>
      <c r="C19" s="60">
        <v>99.063677867254356</v>
      </c>
      <c r="D19" s="60">
        <v>1141.9646682739267</v>
      </c>
      <c r="E19" s="60">
        <v>27.433938869337286</v>
      </c>
      <c r="F19" s="60">
        <v>0</v>
      </c>
      <c r="G19" s="60">
        <v>2960.9376251220638</v>
      </c>
      <c r="H19" s="61">
        <v>51.006501293182488</v>
      </c>
      <c r="I19" s="59">
        <v>93.956596000989265</v>
      </c>
      <c r="J19" s="60">
        <v>402.86823132832853</v>
      </c>
      <c r="K19" s="60">
        <v>21.898218055566161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248.52850160343891</v>
      </c>
      <c r="V19" s="62">
        <v>198.830889948107</v>
      </c>
      <c r="W19" s="62">
        <v>29.405289056565326</v>
      </c>
      <c r="X19" s="62">
        <v>23.525188276503552</v>
      </c>
      <c r="Y19" s="66">
        <v>207.58983382021364</v>
      </c>
      <c r="Z19" s="66">
        <v>166.07862332229826</v>
      </c>
      <c r="AA19" s="67">
        <v>0</v>
      </c>
      <c r="AB19" s="68">
        <v>104.91377691692938</v>
      </c>
      <c r="AC19" s="69">
        <v>0</v>
      </c>
      <c r="AD19" s="401">
        <v>10.362743726145517</v>
      </c>
      <c r="AE19" s="401">
        <v>7.9932739327966189</v>
      </c>
      <c r="AF19" s="69">
        <v>18.2297393255764</v>
      </c>
      <c r="AG19" s="68">
        <v>10.000394002801718</v>
      </c>
      <c r="AH19" s="68">
        <v>8.0006406773478282</v>
      </c>
      <c r="AI19" s="68">
        <v>0.5555455106049848</v>
      </c>
      <c r="AJ19" s="69">
        <v>186.73155700365703</v>
      </c>
      <c r="AK19" s="69">
        <v>970.80581130981454</v>
      </c>
      <c r="AL19" s="69">
        <v>3207.2273747762047</v>
      </c>
      <c r="AM19" s="69">
        <v>470.18729357719423</v>
      </c>
      <c r="AN19" s="69">
        <v>4094.0653897603352</v>
      </c>
      <c r="AO19" s="69">
        <v>2560.7508867899573</v>
      </c>
      <c r="AP19" s="69">
        <v>939.01126098632812</v>
      </c>
      <c r="AQ19" s="69">
        <v>2883.3533935546875</v>
      </c>
      <c r="AR19" s="69">
        <v>462.58624045054114</v>
      </c>
      <c r="AS19" s="69">
        <v>765.55105835596714</v>
      </c>
    </row>
    <row r="20" spans="1:45" x14ac:dyDescent="0.25">
      <c r="A20" s="11">
        <v>42960</v>
      </c>
      <c r="B20" s="59"/>
      <c r="C20" s="60">
        <v>98.662667719523512</v>
      </c>
      <c r="D20" s="60">
        <v>1140.5234176635761</v>
      </c>
      <c r="E20" s="60">
        <v>27.453581206997313</v>
      </c>
      <c r="F20" s="60">
        <v>0</v>
      </c>
      <c r="G20" s="60">
        <v>2915.3352850596111</v>
      </c>
      <c r="H20" s="61">
        <v>49.690773318211306</v>
      </c>
      <c r="I20" s="59">
        <v>102.51332771778098</v>
      </c>
      <c r="J20" s="60">
        <v>439.08510093688983</v>
      </c>
      <c r="K20" s="60">
        <v>24.088839296499906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273.59024431796718</v>
      </c>
      <c r="V20" s="62">
        <v>200.33679039916834</v>
      </c>
      <c r="W20" s="62">
        <v>32.146837703089901</v>
      </c>
      <c r="X20" s="62">
        <v>23.53956115275512</v>
      </c>
      <c r="Y20" s="66">
        <v>227.06476998846028</v>
      </c>
      <c r="Z20" s="66">
        <v>166.26845502336562</v>
      </c>
      <c r="AA20" s="67">
        <v>0</v>
      </c>
      <c r="AB20" s="68">
        <v>109.31222733391701</v>
      </c>
      <c r="AC20" s="69">
        <v>0</v>
      </c>
      <c r="AD20" s="401">
        <v>11.294278710780301</v>
      </c>
      <c r="AE20" s="401">
        <v>7.9733082586102313</v>
      </c>
      <c r="AF20" s="69">
        <v>19.162696582741191</v>
      </c>
      <c r="AG20" s="68">
        <v>10.925313849334259</v>
      </c>
      <c r="AH20" s="68">
        <v>8.0000744037329294</v>
      </c>
      <c r="AI20" s="68">
        <v>0.57728347251019385</v>
      </c>
      <c r="AJ20" s="69">
        <v>203.94982916514078</v>
      </c>
      <c r="AK20" s="69">
        <v>974.47153911590578</v>
      </c>
      <c r="AL20" s="69">
        <v>3190.4176631927494</v>
      </c>
      <c r="AM20" s="69">
        <v>468.44444266955065</v>
      </c>
      <c r="AN20" s="69">
        <v>3979.3233510335285</v>
      </c>
      <c r="AO20" s="69">
        <v>2539.9546967824299</v>
      </c>
      <c r="AP20" s="69">
        <v>939.01126098632812</v>
      </c>
      <c r="AQ20" s="69">
        <v>2883.3533935546875</v>
      </c>
      <c r="AR20" s="69">
        <v>467.01632302602127</v>
      </c>
      <c r="AS20" s="69">
        <v>757.60549882253019</v>
      </c>
    </row>
    <row r="21" spans="1:45" x14ac:dyDescent="0.25">
      <c r="A21" s="11">
        <v>42961</v>
      </c>
      <c r="B21" s="59"/>
      <c r="C21" s="60">
        <v>98.132385738690473</v>
      </c>
      <c r="D21" s="60">
        <v>1128.3208420435576</v>
      </c>
      <c r="E21" s="60">
        <v>27.494148103892854</v>
      </c>
      <c r="F21" s="60">
        <v>0</v>
      </c>
      <c r="G21" s="60">
        <v>2915.5550159454424</v>
      </c>
      <c r="H21" s="61">
        <v>50.09424940347678</v>
      </c>
      <c r="I21" s="59">
        <v>103.2116943756739</v>
      </c>
      <c r="J21" s="60">
        <v>441.80066878000906</v>
      </c>
      <c r="K21" s="60">
        <v>24.2084497143825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276.14689669737828</v>
      </c>
      <c r="V21" s="62">
        <v>200.80744040148488</v>
      </c>
      <c r="W21" s="62">
        <v>32.460317190416355</v>
      </c>
      <c r="X21" s="62">
        <v>23.604368861588263</v>
      </c>
      <c r="Y21" s="66">
        <v>226.8006240011965</v>
      </c>
      <c r="Z21" s="66">
        <v>164.92400722883892</v>
      </c>
      <c r="AA21" s="67">
        <v>0</v>
      </c>
      <c r="AB21" s="68">
        <v>109.53157713677986</v>
      </c>
      <c r="AC21" s="69">
        <v>0</v>
      </c>
      <c r="AD21" s="401">
        <v>11.364126404495257</v>
      </c>
      <c r="AE21" s="401">
        <v>7.9791122409686279</v>
      </c>
      <c r="AF21" s="69">
        <v>19.101317507690851</v>
      </c>
      <c r="AG21" s="68">
        <v>10.917412567181231</v>
      </c>
      <c r="AH21" s="68">
        <v>7.9388821661289413</v>
      </c>
      <c r="AI21" s="68">
        <v>0.57897973708988104</v>
      </c>
      <c r="AJ21" s="69">
        <v>223.28002166748047</v>
      </c>
      <c r="AK21" s="69">
        <v>982.39510548909516</v>
      </c>
      <c r="AL21" s="69">
        <v>3247.8342843373621</v>
      </c>
      <c r="AM21" s="69">
        <v>468.92255535125719</v>
      </c>
      <c r="AN21" s="69">
        <v>4127.8261334737144</v>
      </c>
      <c r="AO21" s="69">
        <v>2510.4519440968834</v>
      </c>
      <c r="AP21" s="69">
        <v>939.01126098632812</v>
      </c>
      <c r="AQ21" s="69">
        <v>2883.3533935546875</v>
      </c>
      <c r="AR21" s="69">
        <v>471.32353541056312</v>
      </c>
      <c r="AS21" s="69">
        <v>900.7600215276085</v>
      </c>
    </row>
    <row r="22" spans="1:45" x14ac:dyDescent="0.25">
      <c r="A22" s="11">
        <v>42962</v>
      </c>
      <c r="B22" s="59"/>
      <c r="C22" s="60">
        <v>99.185500049590459</v>
      </c>
      <c r="D22" s="60">
        <v>1145.021259625755</v>
      </c>
      <c r="E22" s="60">
        <v>27.712328376869355</v>
      </c>
      <c r="F22" s="60">
        <v>0</v>
      </c>
      <c r="G22" s="60">
        <v>2909.6840268452916</v>
      </c>
      <c r="H22" s="61">
        <v>50.272230134407728</v>
      </c>
      <c r="I22" s="59">
        <v>99.19579101403562</v>
      </c>
      <c r="J22" s="60">
        <v>425.01556037267039</v>
      </c>
      <c r="K22" s="60">
        <v>23.28054704864822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257.90671012941948</v>
      </c>
      <c r="V22" s="62">
        <v>192.4832465144263</v>
      </c>
      <c r="W22" s="62">
        <v>30.22372087708457</v>
      </c>
      <c r="X22" s="62">
        <v>22.556838142163063</v>
      </c>
      <c r="Y22" s="66">
        <v>212.4165189448407</v>
      </c>
      <c r="Z22" s="66">
        <v>158.53259947862105</v>
      </c>
      <c r="AA22" s="67">
        <v>0</v>
      </c>
      <c r="AB22" s="68">
        <v>107.85223497814584</v>
      </c>
      <c r="AC22" s="69">
        <v>0</v>
      </c>
      <c r="AD22" s="401">
        <v>10.93154422370446</v>
      </c>
      <c r="AE22" s="401">
        <v>8.038747217688913</v>
      </c>
      <c r="AF22" s="69">
        <v>18.088563673363801</v>
      </c>
      <c r="AG22" s="68">
        <v>10.225604533612225</v>
      </c>
      <c r="AH22" s="68">
        <v>7.6316647876847812</v>
      </c>
      <c r="AI22" s="68">
        <v>0.57262979852227036</v>
      </c>
      <c r="AJ22" s="69">
        <v>197.10372575918834</v>
      </c>
      <c r="AK22" s="69">
        <v>963.9480702718098</v>
      </c>
      <c r="AL22" s="69">
        <v>3237.8582158406571</v>
      </c>
      <c r="AM22" s="69">
        <v>468.77210323015862</v>
      </c>
      <c r="AN22" s="69">
        <v>3989.1562522888185</v>
      </c>
      <c r="AO22" s="69">
        <v>2547.5894035339356</v>
      </c>
      <c r="AP22" s="69">
        <v>939.01126098632812</v>
      </c>
      <c r="AQ22" s="69">
        <v>2883.3533935546875</v>
      </c>
      <c r="AR22" s="69">
        <v>472.27214215596518</v>
      </c>
      <c r="AS22" s="69">
        <v>797.15603288014734</v>
      </c>
    </row>
    <row r="23" spans="1:45" x14ac:dyDescent="0.25">
      <c r="A23" s="11">
        <v>42963</v>
      </c>
      <c r="B23" s="59"/>
      <c r="C23" s="60">
        <v>99.261190636952165</v>
      </c>
      <c r="D23" s="60">
        <v>1145.4131929397581</v>
      </c>
      <c r="E23" s="60">
        <v>27.805297924081501</v>
      </c>
      <c r="F23" s="60">
        <v>0</v>
      </c>
      <c r="G23" s="60">
        <v>2961.4372867584207</v>
      </c>
      <c r="H23" s="61">
        <v>50.965212019284657</v>
      </c>
      <c r="I23" s="59">
        <v>98.170345985889355</v>
      </c>
      <c r="J23" s="60">
        <v>408.6857683499656</v>
      </c>
      <c r="K23" s="60">
        <v>22.369119061529624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248.51060175256796</v>
      </c>
      <c r="V23" s="62">
        <v>195.56350359496085</v>
      </c>
      <c r="W23" s="62">
        <v>29.082531441409277</v>
      </c>
      <c r="X23" s="62">
        <v>22.886274074356802</v>
      </c>
      <c r="Y23" s="66">
        <v>206.45608917050276</v>
      </c>
      <c r="Z23" s="66">
        <v>162.4690288943778</v>
      </c>
      <c r="AA23" s="67">
        <v>0</v>
      </c>
      <c r="AB23" s="68">
        <v>105.98455456097908</v>
      </c>
      <c r="AC23" s="69">
        <v>0</v>
      </c>
      <c r="AD23" s="401">
        <v>10.514623344561837</v>
      </c>
      <c r="AE23" s="401">
        <v>8.0330279743805164</v>
      </c>
      <c r="AF23" s="69">
        <v>17.818099806706137</v>
      </c>
      <c r="AG23" s="68">
        <v>9.8371192574487409</v>
      </c>
      <c r="AH23" s="68">
        <v>7.7412452173109605</v>
      </c>
      <c r="AI23" s="68">
        <v>0.55961516053291505</v>
      </c>
      <c r="AJ23" s="69">
        <v>192.96850250562031</v>
      </c>
      <c r="AK23" s="69">
        <v>957.59246667226159</v>
      </c>
      <c r="AL23" s="69">
        <v>3192.5927552541102</v>
      </c>
      <c r="AM23" s="69">
        <v>449.47398433685305</v>
      </c>
      <c r="AN23" s="69">
        <v>3958.0160128275556</v>
      </c>
      <c r="AO23" s="69">
        <v>2625.7519050598148</v>
      </c>
      <c r="AP23" s="69">
        <v>939.01126098632812</v>
      </c>
      <c r="AQ23" s="69">
        <v>2883.3533935546875</v>
      </c>
      <c r="AR23" s="69">
        <v>486.52256587346392</v>
      </c>
      <c r="AS23" s="69">
        <v>811.83176021575923</v>
      </c>
    </row>
    <row r="24" spans="1:45" x14ac:dyDescent="0.25">
      <c r="A24" s="11">
        <v>42964</v>
      </c>
      <c r="B24" s="59"/>
      <c r="C24" s="60">
        <v>99.564896798134569</v>
      </c>
      <c r="D24" s="60">
        <v>1145.6118403752655</v>
      </c>
      <c r="E24" s="60">
        <v>27.850208093225984</v>
      </c>
      <c r="F24" s="60">
        <v>0</v>
      </c>
      <c r="G24" s="60">
        <v>2951.2780621846464</v>
      </c>
      <c r="H24" s="61">
        <v>49.765343761444164</v>
      </c>
      <c r="I24" s="59">
        <v>109.81642537117</v>
      </c>
      <c r="J24" s="60">
        <v>441.66437616348298</v>
      </c>
      <c r="K24" s="60">
        <v>24.204140624403959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278.03592363052672</v>
      </c>
      <c r="V24" s="62">
        <v>202.2125713230497</v>
      </c>
      <c r="W24" s="62">
        <v>32.335576382387991</v>
      </c>
      <c r="X24" s="62">
        <v>23.517320927868926</v>
      </c>
      <c r="Y24" s="66">
        <v>229.38938187983638</v>
      </c>
      <c r="Z24" s="66">
        <v>166.83245869252073</v>
      </c>
      <c r="AA24" s="67">
        <v>0</v>
      </c>
      <c r="AB24" s="68">
        <v>109.99450995127279</v>
      </c>
      <c r="AC24" s="69">
        <v>0</v>
      </c>
      <c r="AD24" s="401">
        <v>11.360484100881592</v>
      </c>
      <c r="AE24" s="401">
        <v>8.0340074628291287</v>
      </c>
      <c r="AF24" s="69">
        <v>19.240079260534749</v>
      </c>
      <c r="AG24" s="68">
        <v>11.000250019274123</v>
      </c>
      <c r="AH24" s="68">
        <v>8.0003648900771811</v>
      </c>
      <c r="AI24" s="68">
        <v>0.57894179066069384</v>
      </c>
      <c r="AJ24" s="69">
        <v>201.86768422126769</v>
      </c>
      <c r="AK24" s="69">
        <v>978.33613999684644</v>
      </c>
      <c r="AL24" s="69">
        <v>3198.0161774953208</v>
      </c>
      <c r="AM24" s="69">
        <v>452.40553784370422</v>
      </c>
      <c r="AN24" s="69">
        <v>3874.7510125478111</v>
      </c>
      <c r="AO24" s="69">
        <v>2588.3923942565916</v>
      </c>
      <c r="AP24" s="69">
        <v>939.01126098632812</v>
      </c>
      <c r="AQ24" s="69">
        <v>2883.3533935546875</v>
      </c>
      <c r="AR24" s="69">
        <v>502.01445604960122</v>
      </c>
      <c r="AS24" s="69">
        <v>784.77866334915177</v>
      </c>
    </row>
    <row r="25" spans="1:45" x14ac:dyDescent="0.25">
      <c r="A25" s="11">
        <v>42965</v>
      </c>
      <c r="B25" s="59"/>
      <c r="C25" s="60">
        <v>99.509682389100334</v>
      </c>
      <c r="D25" s="60">
        <v>1118.0561661084478</v>
      </c>
      <c r="E25" s="60">
        <v>27.812375062704071</v>
      </c>
      <c r="F25" s="60">
        <v>0</v>
      </c>
      <c r="G25" s="60">
        <v>2652.2374019622771</v>
      </c>
      <c r="H25" s="61">
        <v>50.239626473188551</v>
      </c>
      <c r="I25" s="59">
        <v>111.70709207852693</v>
      </c>
      <c r="J25" s="60">
        <v>448.57289390563983</v>
      </c>
      <c r="K25" s="60">
        <v>24.485692140459989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280.19464110911787</v>
      </c>
      <c r="V25" s="62">
        <v>200.11647489752002</v>
      </c>
      <c r="W25" s="62">
        <v>33.026562697675445</v>
      </c>
      <c r="X25" s="62">
        <v>23.58774343034953</v>
      </c>
      <c r="Y25" s="66">
        <v>231.13837916045134</v>
      </c>
      <c r="Z25" s="66">
        <v>165.08023660988835</v>
      </c>
      <c r="AA25" s="67">
        <v>0</v>
      </c>
      <c r="AB25" s="68">
        <v>110.75766282611309</v>
      </c>
      <c r="AC25" s="69">
        <v>0</v>
      </c>
      <c r="AD25" s="401">
        <v>11.540322749708416</v>
      </c>
      <c r="AE25" s="401">
        <v>8.0103138214507492</v>
      </c>
      <c r="AF25" s="69">
        <v>19.344359597894861</v>
      </c>
      <c r="AG25" s="68">
        <v>11.034956733969837</v>
      </c>
      <c r="AH25" s="68">
        <v>7.8812236861757512</v>
      </c>
      <c r="AI25" s="68">
        <v>0.5833607255203429</v>
      </c>
      <c r="AJ25" s="69">
        <v>223.24142107963561</v>
      </c>
      <c r="AK25" s="69">
        <v>991.1335706075032</v>
      </c>
      <c r="AL25" s="69">
        <v>3188.4793457667033</v>
      </c>
      <c r="AM25" s="69">
        <v>457.06037419637039</v>
      </c>
      <c r="AN25" s="69">
        <v>3812.6240336100263</v>
      </c>
      <c r="AO25" s="69">
        <v>2556.2721981048589</v>
      </c>
      <c r="AP25" s="69">
        <v>897.68351888656616</v>
      </c>
      <c r="AQ25" s="69">
        <v>2727.3267838160195</v>
      </c>
      <c r="AR25" s="69">
        <v>516.26730035146079</v>
      </c>
      <c r="AS25" s="69">
        <v>795.02010552088404</v>
      </c>
    </row>
    <row r="26" spans="1:45" x14ac:dyDescent="0.25">
      <c r="A26" s="11">
        <v>42966</v>
      </c>
      <c r="B26" s="59"/>
      <c r="C26" s="60">
        <v>99.274282876650886</v>
      </c>
      <c r="D26" s="60">
        <v>1133.5489137649531</v>
      </c>
      <c r="E26" s="60">
        <v>27.477313090364184</v>
      </c>
      <c r="F26" s="60">
        <v>0</v>
      </c>
      <c r="G26" s="60">
        <v>2850.4696531931631</v>
      </c>
      <c r="H26" s="61">
        <v>49.479422332843235</v>
      </c>
      <c r="I26" s="59">
        <v>125.74773828188586</v>
      </c>
      <c r="J26" s="60">
        <v>529.24896014531475</v>
      </c>
      <c r="K26" s="60">
        <v>29.026679043968457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345.43968198194119</v>
      </c>
      <c r="V26" s="62">
        <v>211.4307667663283</v>
      </c>
      <c r="W26" s="62">
        <v>40.571360009760802</v>
      </c>
      <c r="X26" s="62">
        <v>24.832218772320768</v>
      </c>
      <c r="Y26" s="66">
        <v>268.84972459317675</v>
      </c>
      <c r="Z26" s="66">
        <v>164.55290570416628</v>
      </c>
      <c r="AA26" s="67">
        <v>0</v>
      </c>
      <c r="AB26" s="68">
        <v>121.36521216498534</v>
      </c>
      <c r="AC26" s="69">
        <v>0</v>
      </c>
      <c r="AD26" s="401">
        <v>13.615445540281106</v>
      </c>
      <c r="AE26" s="401">
        <v>8.0592077837555784</v>
      </c>
      <c r="AF26" s="69">
        <v>21.118390559487871</v>
      </c>
      <c r="AG26" s="68">
        <v>12.96538301493743</v>
      </c>
      <c r="AH26" s="68">
        <v>7.9356281725926845</v>
      </c>
      <c r="AI26" s="68">
        <v>0.62032324171343389</v>
      </c>
      <c r="AJ26" s="69">
        <v>206.25955618222554</v>
      </c>
      <c r="AK26" s="69">
        <v>1029.9029777526855</v>
      </c>
      <c r="AL26" s="69">
        <v>3263.4952256520587</v>
      </c>
      <c r="AM26" s="69">
        <v>468.33534911473583</v>
      </c>
      <c r="AN26" s="69">
        <v>4348.7474413553873</v>
      </c>
      <c r="AO26" s="69">
        <v>2528.1737421671551</v>
      </c>
      <c r="AP26" s="69">
        <v>523.39247131347656</v>
      </c>
      <c r="AQ26" s="69">
        <v>2235.6131029129028</v>
      </c>
      <c r="AR26" s="69">
        <v>532.19182593027756</v>
      </c>
      <c r="AS26" s="69">
        <v>911.53897873560595</v>
      </c>
    </row>
    <row r="27" spans="1:45" x14ac:dyDescent="0.25">
      <c r="A27" s="11">
        <v>42967</v>
      </c>
      <c r="B27" s="59"/>
      <c r="C27" s="60">
        <v>99.050731078784281</v>
      </c>
      <c r="D27" s="60">
        <v>1132.7034786860145</v>
      </c>
      <c r="E27" s="60">
        <v>28.018173932035705</v>
      </c>
      <c r="F27" s="60">
        <v>0</v>
      </c>
      <c r="G27" s="60">
        <v>2977.2602060953832</v>
      </c>
      <c r="H27" s="61">
        <v>50.548609566688597</v>
      </c>
      <c r="I27" s="59">
        <v>129.20173911253613</v>
      </c>
      <c r="J27" s="60">
        <v>594.98200378417994</v>
      </c>
      <c r="K27" s="60">
        <v>32.625075240929881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391.23450273993393</v>
      </c>
      <c r="V27" s="62">
        <v>209.28818640122833</v>
      </c>
      <c r="W27" s="62">
        <v>46.170595024414524</v>
      </c>
      <c r="X27" s="62">
        <v>24.69863989513361</v>
      </c>
      <c r="Y27" s="62">
        <v>338.56261306013903</v>
      </c>
      <c r="Z27" s="62">
        <v>181.11172397726469</v>
      </c>
      <c r="AA27" s="72">
        <v>0</v>
      </c>
      <c r="AB27" s="69">
        <v>129.88232744004929</v>
      </c>
      <c r="AC27" s="69">
        <v>0</v>
      </c>
      <c r="AD27" s="401">
        <v>15.305367592264245</v>
      </c>
      <c r="AE27" s="401">
        <v>8.0545203895854574</v>
      </c>
      <c r="AF27" s="69">
        <v>23.222700619697587</v>
      </c>
      <c r="AG27" s="69">
        <v>14.950887611862875</v>
      </c>
      <c r="AH27" s="69">
        <v>7.9978737341970767</v>
      </c>
      <c r="AI27" s="69">
        <v>0.65148996002042503</v>
      </c>
      <c r="AJ27" s="69">
        <v>214.03527860641481</v>
      </c>
      <c r="AK27" s="69">
        <v>1030.1273751576741</v>
      </c>
      <c r="AL27" s="69">
        <v>3236.223327128092</v>
      </c>
      <c r="AM27" s="69">
        <v>473.13174276351924</v>
      </c>
      <c r="AN27" s="69">
        <v>4585.0033208211271</v>
      </c>
      <c r="AO27" s="69">
        <v>2651.5088963826497</v>
      </c>
      <c r="AP27" s="69">
        <v>523.39247131347656</v>
      </c>
      <c r="AQ27" s="69">
        <v>2837.8297119140625</v>
      </c>
      <c r="AR27" s="69">
        <v>496.3496906280518</v>
      </c>
      <c r="AS27" s="69">
        <v>884.78481235504148</v>
      </c>
    </row>
    <row r="28" spans="1:45" x14ac:dyDescent="0.25">
      <c r="A28" s="11">
        <v>42968</v>
      </c>
      <c r="B28" s="59"/>
      <c r="C28" s="60">
        <v>99.263866428534541</v>
      </c>
      <c r="D28" s="60">
        <v>1131.3263450304669</v>
      </c>
      <c r="E28" s="60">
        <v>28.035201604664312</v>
      </c>
      <c r="F28" s="60">
        <v>0</v>
      </c>
      <c r="G28" s="60">
        <v>2835.0042326609428</v>
      </c>
      <c r="H28" s="61">
        <v>50.723201616605337</v>
      </c>
      <c r="I28" s="59">
        <v>130.32537834644324</v>
      </c>
      <c r="J28" s="60">
        <v>601.5971323331197</v>
      </c>
      <c r="K28" s="60">
        <v>33.048530111710164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392.67959112687578</v>
      </c>
      <c r="V28" s="62">
        <v>208.2145004156819</v>
      </c>
      <c r="W28" s="62">
        <v>46.42980940980533</v>
      </c>
      <c r="X28" s="62">
        <v>24.618950893056205</v>
      </c>
      <c r="Y28" s="66">
        <v>340.61034761196231</v>
      </c>
      <c r="Z28" s="66">
        <v>180.60529491975061</v>
      </c>
      <c r="AA28" s="67">
        <v>0</v>
      </c>
      <c r="AB28" s="68">
        <v>130.83244332207497</v>
      </c>
      <c r="AC28" s="69">
        <v>0</v>
      </c>
      <c r="AD28" s="401">
        <v>15.476403696726031</v>
      </c>
      <c r="AE28" s="401">
        <v>8.061306056478438</v>
      </c>
      <c r="AF28" s="69">
        <v>23.223297305901877</v>
      </c>
      <c r="AG28" s="68">
        <v>15.004587795240289</v>
      </c>
      <c r="AH28" s="68">
        <v>7.9560354607779109</v>
      </c>
      <c r="AI28" s="68">
        <v>0.65349218215613736</v>
      </c>
      <c r="AJ28" s="69">
        <v>208.98093627293906</v>
      </c>
      <c r="AK28" s="69">
        <v>973.29723574320462</v>
      </c>
      <c r="AL28" s="69">
        <v>3129.7850149790452</v>
      </c>
      <c r="AM28" s="69">
        <v>471.29285132090246</v>
      </c>
      <c r="AN28" s="69">
        <v>4835.1765085856123</v>
      </c>
      <c r="AO28" s="69">
        <v>2640.8431594848635</v>
      </c>
      <c r="AP28" s="69">
        <v>523.39247131347656</v>
      </c>
      <c r="AQ28" s="69">
        <v>2837.8297119140625</v>
      </c>
      <c r="AR28" s="69">
        <v>402.90059175491331</v>
      </c>
      <c r="AS28" s="69">
        <v>936.66660795211806</v>
      </c>
    </row>
    <row r="29" spans="1:45" x14ac:dyDescent="0.25">
      <c r="A29" s="11">
        <v>42969</v>
      </c>
      <c r="B29" s="59"/>
      <c r="C29" s="60">
        <v>98.842130343119464</v>
      </c>
      <c r="D29" s="60">
        <v>1160.7800689061489</v>
      </c>
      <c r="E29" s="60">
        <v>28.146008296807594</v>
      </c>
      <c r="F29" s="60">
        <v>0</v>
      </c>
      <c r="G29" s="60">
        <v>2798.5425722757959</v>
      </c>
      <c r="H29" s="61">
        <v>50.555796968936974</v>
      </c>
      <c r="I29" s="59">
        <v>145.97888755003629</v>
      </c>
      <c r="J29" s="60">
        <v>674.388123575848</v>
      </c>
      <c r="K29" s="60">
        <v>36.889286236961667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444.99327224808422</v>
      </c>
      <c r="V29" s="62">
        <v>209.66695414996408</v>
      </c>
      <c r="W29" s="62">
        <v>51.326840130078089</v>
      </c>
      <c r="X29" s="62">
        <v>24.18360660117137</v>
      </c>
      <c r="Y29" s="66">
        <v>396.15383215046353</v>
      </c>
      <c r="Z29" s="66">
        <v>186.65533288224088</v>
      </c>
      <c r="AA29" s="67">
        <v>0</v>
      </c>
      <c r="AB29" s="68">
        <v>139.93847213321132</v>
      </c>
      <c r="AC29" s="69">
        <v>0</v>
      </c>
      <c r="AD29" s="401">
        <v>17.348553827151029</v>
      </c>
      <c r="AE29" s="401">
        <v>8.0342025310262031</v>
      </c>
      <c r="AF29" s="69">
        <v>25.262656046284516</v>
      </c>
      <c r="AG29" s="68">
        <v>16.97520578540318</v>
      </c>
      <c r="AH29" s="68">
        <v>7.9981876470035909</v>
      </c>
      <c r="AI29" s="68">
        <v>0.67973164445386391</v>
      </c>
      <c r="AJ29" s="69">
        <v>198.63897482554117</v>
      </c>
      <c r="AK29" s="69">
        <v>963.86106955210369</v>
      </c>
      <c r="AL29" s="69">
        <v>3157.9860154469811</v>
      </c>
      <c r="AM29" s="69">
        <v>473.35272882779429</v>
      </c>
      <c r="AN29" s="69">
        <v>4718.8769203186039</v>
      </c>
      <c r="AO29" s="69">
        <v>2712.6142463684077</v>
      </c>
      <c r="AP29" s="69">
        <v>523.39247131347656</v>
      </c>
      <c r="AQ29" s="69">
        <v>2837.8297119140625</v>
      </c>
      <c r="AR29" s="69">
        <v>350.25516444842026</v>
      </c>
      <c r="AS29" s="69">
        <v>928.81383752822865</v>
      </c>
    </row>
    <row r="30" spans="1:45" x14ac:dyDescent="0.25">
      <c r="A30" s="11">
        <v>42970</v>
      </c>
      <c r="B30" s="59"/>
      <c r="C30" s="60">
        <v>98.626501862208457</v>
      </c>
      <c r="D30" s="60">
        <v>1169.4427213033046</v>
      </c>
      <c r="E30" s="60">
        <v>28.15527748564875</v>
      </c>
      <c r="F30" s="60">
        <v>0</v>
      </c>
      <c r="G30" s="60">
        <v>2888.0000705718967</v>
      </c>
      <c r="H30" s="61">
        <v>50.402607854207368</v>
      </c>
      <c r="I30" s="59">
        <v>146.23036909898127</v>
      </c>
      <c r="J30" s="60">
        <v>675.83922214508209</v>
      </c>
      <c r="K30" s="60">
        <v>37.074445837736128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440.08595858938742</v>
      </c>
      <c r="V30" s="62">
        <v>207.12895619874922</v>
      </c>
      <c r="W30" s="62">
        <v>52.98828267952775</v>
      </c>
      <c r="X30" s="62">
        <v>24.939236228655069</v>
      </c>
      <c r="Y30" s="66">
        <v>396.167788975983</v>
      </c>
      <c r="Z30" s="66">
        <v>186.45862020497674</v>
      </c>
      <c r="AA30" s="67">
        <v>0</v>
      </c>
      <c r="AB30" s="68">
        <v>140.03622993893015</v>
      </c>
      <c r="AC30" s="69">
        <v>0</v>
      </c>
      <c r="AD30" s="401">
        <v>17.384565647514474</v>
      </c>
      <c r="AE30" s="401">
        <v>8.0244944720703621</v>
      </c>
      <c r="AF30" s="69">
        <v>25.284667029645682</v>
      </c>
      <c r="AG30" s="68">
        <v>17.001412474645317</v>
      </c>
      <c r="AH30" s="68">
        <v>8.0018113530936894</v>
      </c>
      <c r="AI30" s="68">
        <v>0.67996881489272831</v>
      </c>
      <c r="AJ30" s="69">
        <v>191.0319839000702</v>
      </c>
      <c r="AK30" s="69">
        <v>969.47215684254968</v>
      </c>
      <c r="AL30" s="69">
        <v>3196.6160569508875</v>
      </c>
      <c r="AM30" s="69">
        <v>482.07310541470849</v>
      </c>
      <c r="AN30" s="69">
        <v>4835.7532333374038</v>
      </c>
      <c r="AO30" s="69">
        <v>2679.800255711873</v>
      </c>
      <c r="AP30" s="69">
        <v>506.75858313242594</v>
      </c>
      <c r="AQ30" s="69">
        <v>2837.8297119140625</v>
      </c>
      <c r="AR30" s="69">
        <v>348.92332738240549</v>
      </c>
      <c r="AS30" s="69">
        <v>879.92974112828563</v>
      </c>
    </row>
    <row r="31" spans="1:45" x14ac:dyDescent="0.25">
      <c r="A31" s="11">
        <v>42971</v>
      </c>
      <c r="B31" s="59"/>
      <c r="C31" s="60">
        <v>99.643015193938595</v>
      </c>
      <c r="D31" s="60">
        <v>1192.6753756841031</v>
      </c>
      <c r="E31" s="60">
        <v>28.130864274501789</v>
      </c>
      <c r="F31" s="60">
        <v>0</v>
      </c>
      <c r="G31" s="60">
        <v>2918.1165473937872</v>
      </c>
      <c r="H31" s="61">
        <v>50.691561420758653</v>
      </c>
      <c r="I31" s="59">
        <v>162.16532340049724</v>
      </c>
      <c r="J31" s="60">
        <v>749.14931891759227</v>
      </c>
      <c r="K31" s="60">
        <v>41.025111721952769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477.29813050725818</v>
      </c>
      <c r="V31" s="62">
        <v>203.96848110061259</v>
      </c>
      <c r="W31" s="62">
        <v>58.058761580622921</v>
      </c>
      <c r="X31" s="62">
        <v>24.810818767709751</v>
      </c>
      <c r="Y31" s="66">
        <v>439.66895005322732</v>
      </c>
      <c r="Z31" s="66">
        <v>187.88803516609238</v>
      </c>
      <c r="AA31" s="67">
        <v>0</v>
      </c>
      <c r="AB31" s="68">
        <v>149.93484820259795</v>
      </c>
      <c r="AC31" s="69">
        <v>0</v>
      </c>
      <c r="AD31" s="401">
        <v>19.272491144928587</v>
      </c>
      <c r="AE31" s="401">
        <v>8.0866494415444645</v>
      </c>
      <c r="AF31" s="69">
        <v>26.723293238215973</v>
      </c>
      <c r="AG31" s="68">
        <v>18.506041079794027</v>
      </c>
      <c r="AH31" s="68">
        <v>7.9083676406181285</v>
      </c>
      <c r="AI31" s="68">
        <v>0.70060402546482858</v>
      </c>
      <c r="AJ31" s="69">
        <v>182.63525257110595</v>
      </c>
      <c r="AK31" s="69">
        <v>977.54937019348142</v>
      </c>
      <c r="AL31" s="69">
        <v>3207.8193990071609</v>
      </c>
      <c r="AM31" s="69">
        <v>475.29277133941639</v>
      </c>
      <c r="AN31" s="69">
        <v>5482.4384473164882</v>
      </c>
      <c r="AO31" s="69">
        <v>2611.9451633453373</v>
      </c>
      <c r="AP31" s="69">
        <v>515.14399013519289</v>
      </c>
      <c r="AQ31" s="69">
        <v>2837.8297119140625</v>
      </c>
      <c r="AR31" s="69">
        <v>348.32361644109091</v>
      </c>
      <c r="AS31" s="69">
        <v>850.66593055725104</v>
      </c>
    </row>
    <row r="32" spans="1:45" x14ac:dyDescent="0.25">
      <c r="A32" s="11">
        <v>42972</v>
      </c>
      <c r="B32" s="59"/>
      <c r="C32" s="60">
        <v>99.896604053179658</v>
      </c>
      <c r="D32" s="60">
        <v>1197.9056940714502</v>
      </c>
      <c r="E32" s="60">
        <v>28.242159673074791</v>
      </c>
      <c r="F32" s="60">
        <v>0</v>
      </c>
      <c r="G32" s="60">
        <v>2974.6955566406182</v>
      </c>
      <c r="H32" s="61">
        <v>50.746566013495283</v>
      </c>
      <c r="I32" s="59">
        <v>163.25677147706347</v>
      </c>
      <c r="J32" s="60">
        <v>753.36753066380709</v>
      </c>
      <c r="K32" s="60">
        <v>41.383982475598657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489.54480593041268</v>
      </c>
      <c r="V32" s="62">
        <v>206.08475818532528</v>
      </c>
      <c r="W32" s="62">
        <v>58.167827499244865</v>
      </c>
      <c r="X32" s="62">
        <v>24.487038814689374</v>
      </c>
      <c r="Y32" s="66">
        <v>456.62845367273252</v>
      </c>
      <c r="Z32" s="66">
        <v>192.22788867473088</v>
      </c>
      <c r="AA32" s="67">
        <v>0</v>
      </c>
      <c r="AB32" s="68">
        <v>150.59275032679295</v>
      </c>
      <c r="AC32" s="69">
        <v>0</v>
      </c>
      <c r="AD32" s="401">
        <v>19.382198690377944</v>
      </c>
      <c r="AE32" s="401">
        <v>8.0997536762558617</v>
      </c>
      <c r="AF32" s="69">
        <v>27.297664150926796</v>
      </c>
      <c r="AG32" s="68">
        <v>19.00188302747139</v>
      </c>
      <c r="AH32" s="68">
        <v>7.9992646665705323</v>
      </c>
      <c r="AI32" s="68">
        <v>0.70374353130420264</v>
      </c>
      <c r="AJ32" s="69">
        <v>184.37396353085836</v>
      </c>
      <c r="AK32" s="69">
        <v>977.92700697580972</v>
      </c>
      <c r="AL32" s="69">
        <v>3236.8838278452549</v>
      </c>
      <c r="AM32" s="69">
        <v>486.86621465682987</v>
      </c>
      <c r="AN32" s="69">
        <v>6264.7645929972314</v>
      </c>
      <c r="AO32" s="69">
        <v>2678.9002614339197</v>
      </c>
      <c r="AP32" s="69">
        <v>562.2821044921875</v>
      </c>
      <c r="AQ32" s="69">
        <v>2837.8297119140625</v>
      </c>
      <c r="AR32" s="69">
        <v>352.67494910558065</v>
      </c>
      <c r="AS32" s="69">
        <v>840.45034033457443</v>
      </c>
    </row>
    <row r="33" spans="1:45" x14ac:dyDescent="0.25">
      <c r="A33" s="11">
        <v>42973</v>
      </c>
      <c r="B33" s="59"/>
      <c r="C33" s="60">
        <v>99.732730865478501</v>
      </c>
      <c r="D33" s="60">
        <v>1196.4341765721633</v>
      </c>
      <c r="E33" s="60">
        <v>28.292639653881302</v>
      </c>
      <c r="F33" s="60">
        <v>0</v>
      </c>
      <c r="G33" s="60">
        <v>3050.7073771158916</v>
      </c>
      <c r="H33" s="61">
        <v>50.760549223423148</v>
      </c>
      <c r="I33" s="59">
        <v>163.22847789923341</v>
      </c>
      <c r="J33" s="60">
        <v>753.52667865753131</v>
      </c>
      <c r="K33" s="60">
        <v>41.408154861132289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486.80728753155631</v>
      </c>
      <c r="V33" s="62">
        <v>205.0090390760399</v>
      </c>
      <c r="W33" s="62">
        <v>57.64806118422311</v>
      </c>
      <c r="X33" s="62">
        <v>24.277314515773824</v>
      </c>
      <c r="Y33" s="66">
        <v>463.00674566887864</v>
      </c>
      <c r="Z33" s="66">
        <v>194.98592245118797</v>
      </c>
      <c r="AA33" s="67">
        <v>0</v>
      </c>
      <c r="AB33" s="68">
        <v>150.63441645304209</v>
      </c>
      <c r="AC33" s="69">
        <v>0</v>
      </c>
      <c r="AD33" s="401">
        <v>19.383002769771188</v>
      </c>
      <c r="AE33" s="401">
        <v>8.0936888457731531</v>
      </c>
      <c r="AF33" s="69">
        <v>27.161702248785268</v>
      </c>
      <c r="AG33" s="68">
        <v>18.902086534027855</v>
      </c>
      <c r="AH33" s="68">
        <v>7.9602312786289326</v>
      </c>
      <c r="AI33" s="68">
        <v>0.70366550890562796</v>
      </c>
      <c r="AJ33" s="69">
        <v>190.96859645843506</v>
      </c>
      <c r="AK33" s="69">
        <v>994.84942722320557</v>
      </c>
      <c r="AL33" s="69">
        <v>3243.4451722462968</v>
      </c>
      <c r="AM33" s="69">
        <v>473.83696559270231</v>
      </c>
      <c r="AN33" s="69">
        <v>7348.6727244059239</v>
      </c>
      <c r="AO33" s="69">
        <v>2788.2590207417807</v>
      </c>
      <c r="AP33" s="69">
        <v>562.2821044921875</v>
      </c>
      <c r="AQ33" s="69">
        <v>2837.8297119140625</v>
      </c>
      <c r="AR33" s="69">
        <v>371.23075852394101</v>
      </c>
      <c r="AS33" s="69">
        <v>867.05512361526485</v>
      </c>
    </row>
    <row r="34" spans="1:45" x14ac:dyDescent="0.25">
      <c r="A34" s="11">
        <v>42974</v>
      </c>
      <c r="B34" s="59"/>
      <c r="C34" s="60">
        <v>100.02794837951677</v>
      </c>
      <c r="D34" s="60">
        <v>1178.8146095275865</v>
      </c>
      <c r="E34" s="60">
        <v>28.27658765763039</v>
      </c>
      <c r="F34" s="60">
        <v>0</v>
      </c>
      <c r="G34" s="60">
        <v>3036.1984521230024</v>
      </c>
      <c r="H34" s="61">
        <v>50.842254098256554</v>
      </c>
      <c r="I34" s="59">
        <v>163.12095059553781</v>
      </c>
      <c r="J34" s="60">
        <v>753.44642047882019</v>
      </c>
      <c r="K34" s="60">
        <v>41.317113349835054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481.57726703750757</v>
      </c>
      <c r="V34" s="62">
        <v>202.76118691231412</v>
      </c>
      <c r="W34" s="62">
        <v>57.07835784022614</v>
      </c>
      <c r="X34" s="62">
        <v>24.032022221241309</v>
      </c>
      <c r="Y34" s="66">
        <v>467.24314668429002</v>
      </c>
      <c r="Z34" s="66">
        <v>196.72601155189582</v>
      </c>
      <c r="AA34" s="67">
        <v>0</v>
      </c>
      <c r="AB34" s="68">
        <v>150.70662079916906</v>
      </c>
      <c r="AC34" s="69">
        <v>0</v>
      </c>
      <c r="AD34" s="401">
        <v>19.384382930992015</v>
      </c>
      <c r="AE34" s="401">
        <v>8.1070498126033534</v>
      </c>
      <c r="AF34" s="69">
        <v>27.118015501234275</v>
      </c>
      <c r="AG34" s="68">
        <v>18.86969799343165</v>
      </c>
      <c r="AH34" s="68">
        <v>7.9448151391397017</v>
      </c>
      <c r="AI34" s="68">
        <v>0.70371212410755257</v>
      </c>
      <c r="AJ34" s="69">
        <v>200.08893458048502</v>
      </c>
      <c r="AK34" s="69">
        <v>994.71219120025637</v>
      </c>
      <c r="AL34" s="69">
        <v>3219.0980707804365</v>
      </c>
      <c r="AM34" s="69">
        <v>471.06229106585175</v>
      </c>
      <c r="AN34" s="69">
        <v>8461.2310366312649</v>
      </c>
      <c r="AO34" s="69">
        <v>2742.569165420532</v>
      </c>
      <c r="AP34" s="69">
        <v>562.2821044921875</v>
      </c>
      <c r="AQ34" s="69">
        <v>2837.8297119140625</v>
      </c>
      <c r="AR34" s="69">
        <v>368.52296365102131</v>
      </c>
      <c r="AS34" s="69">
        <v>847.06704540252701</v>
      </c>
    </row>
    <row r="35" spans="1:45" x14ac:dyDescent="0.25">
      <c r="A35" s="11">
        <v>42975</v>
      </c>
      <c r="B35" s="59"/>
      <c r="C35" s="60">
        <v>99.802430601915205</v>
      </c>
      <c r="D35" s="60">
        <v>1171.6706670125334</v>
      </c>
      <c r="E35" s="60">
        <v>28.049594797690769</v>
      </c>
      <c r="F35" s="60">
        <v>0</v>
      </c>
      <c r="G35" s="60">
        <v>2803.9188709259097</v>
      </c>
      <c r="H35" s="61">
        <v>50.617222404480053</v>
      </c>
      <c r="I35" s="59">
        <v>164.26141157944997</v>
      </c>
      <c r="J35" s="60">
        <v>758.80307251612271</v>
      </c>
      <c r="K35" s="60">
        <v>41.574018184344006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500.91038738116987</v>
      </c>
      <c r="V35" s="62">
        <v>206.31015787894336</v>
      </c>
      <c r="W35" s="62">
        <v>57.20614167407269</v>
      </c>
      <c r="X35" s="62">
        <v>23.561516027101668</v>
      </c>
      <c r="Y35" s="66">
        <v>480.60821680552118</v>
      </c>
      <c r="Z35" s="66">
        <v>197.94829491450054</v>
      </c>
      <c r="AA35" s="67">
        <v>0</v>
      </c>
      <c r="AB35" s="68">
        <v>150.97759421666328</v>
      </c>
      <c r="AC35" s="69">
        <v>0</v>
      </c>
      <c r="AD35" s="401">
        <v>19.52186463396399</v>
      </c>
      <c r="AE35" s="401">
        <v>8.0760633747030468</v>
      </c>
      <c r="AF35" s="69">
        <v>27.326388941870828</v>
      </c>
      <c r="AG35" s="68">
        <v>19.137596570634663</v>
      </c>
      <c r="AH35" s="68">
        <v>7.8822094118537454</v>
      </c>
      <c r="AI35" s="68">
        <v>0.70828031048919371</v>
      </c>
      <c r="AJ35" s="69">
        <v>190.5696173429489</v>
      </c>
      <c r="AK35" s="69">
        <v>986.67618287404377</v>
      </c>
      <c r="AL35" s="69">
        <v>3190.4176975250243</v>
      </c>
      <c r="AM35" s="69">
        <v>469.83533221880595</v>
      </c>
      <c r="AN35" s="69">
        <v>5090.0168998718264</v>
      </c>
      <c r="AO35" s="69">
        <v>2706.6721048990885</v>
      </c>
      <c r="AP35" s="69">
        <v>562.2821044921875</v>
      </c>
      <c r="AQ35" s="69">
        <v>2837.8297119140625</v>
      </c>
      <c r="AR35" s="69">
        <v>367.52516606648771</v>
      </c>
      <c r="AS35" s="69">
        <v>885.48529106775925</v>
      </c>
    </row>
    <row r="36" spans="1:45" x14ac:dyDescent="0.25">
      <c r="A36" s="11">
        <v>42976</v>
      </c>
      <c r="B36" s="59"/>
      <c r="C36" s="60">
        <v>99.364673058192963</v>
      </c>
      <c r="D36" s="60">
        <v>1173.1436801910381</v>
      </c>
      <c r="E36" s="60">
        <v>27.983007661501468</v>
      </c>
      <c r="F36" s="60">
        <v>0</v>
      </c>
      <c r="G36" s="60">
        <v>2870.2412708282395</v>
      </c>
      <c r="H36" s="61">
        <v>50.421798302730004</v>
      </c>
      <c r="I36" s="59">
        <v>171.78915012677476</v>
      </c>
      <c r="J36" s="60">
        <v>792.84773508707644</v>
      </c>
      <c r="K36" s="60">
        <v>43.501370906829806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524.73249493833907</v>
      </c>
      <c r="V36" s="62">
        <v>211.88480924901114</v>
      </c>
      <c r="W36" s="62">
        <v>60.109659627635324</v>
      </c>
      <c r="X36" s="62">
        <v>24.272031724890855</v>
      </c>
      <c r="Y36" s="66">
        <v>500.171784348296</v>
      </c>
      <c r="Z36" s="66">
        <v>201.9672959854139</v>
      </c>
      <c r="AA36" s="67">
        <v>0</v>
      </c>
      <c r="AB36" s="68">
        <v>155.3270847320581</v>
      </c>
      <c r="AC36" s="69">
        <v>0</v>
      </c>
      <c r="AD36" s="401">
        <v>20.394527939703693</v>
      </c>
      <c r="AE36" s="401">
        <v>8.0490014368009994</v>
      </c>
      <c r="AF36" s="69">
        <v>27.37561814387638</v>
      </c>
      <c r="AG36" s="68">
        <v>19.265215212842421</v>
      </c>
      <c r="AH36" s="68">
        <v>7.7792141517630533</v>
      </c>
      <c r="AI36" s="68">
        <v>0.71235428757302088</v>
      </c>
      <c r="AJ36" s="69">
        <v>188.3525276184082</v>
      </c>
      <c r="AK36" s="69">
        <v>996.02097218831375</v>
      </c>
      <c r="AL36" s="69">
        <v>3200.8378688812259</v>
      </c>
      <c r="AM36" s="69">
        <v>489.10024677912395</v>
      </c>
      <c r="AN36" s="69">
        <v>4831.948108164469</v>
      </c>
      <c r="AO36" s="69">
        <v>3011.9759571075433</v>
      </c>
      <c r="AP36" s="69">
        <v>401.67119922637937</v>
      </c>
      <c r="AQ36" s="69">
        <v>2837.8297119140625</v>
      </c>
      <c r="AR36" s="69">
        <v>368.50048131942748</v>
      </c>
      <c r="AS36" s="69">
        <v>916.77648712793984</v>
      </c>
    </row>
    <row r="37" spans="1:45" x14ac:dyDescent="0.25">
      <c r="A37" s="11">
        <v>42977</v>
      </c>
      <c r="B37" s="59"/>
      <c r="C37" s="60">
        <v>98.673257215817685</v>
      </c>
      <c r="D37" s="60">
        <v>1178.1651545842462</v>
      </c>
      <c r="E37" s="60">
        <v>28.265711522102311</v>
      </c>
      <c r="F37" s="60">
        <v>0</v>
      </c>
      <c r="G37" s="60">
        <v>2877.4206322987857</v>
      </c>
      <c r="H37" s="61">
        <v>50.416287589073228</v>
      </c>
      <c r="I37" s="59">
        <v>171.86705566247281</v>
      </c>
      <c r="J37" s="60">
        <v>792.31789226531896</v>
      </c>
      <c r="K37" s="60">
        <v>43.536086105306964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531.99809908030682</v>
      </c>
      <c r="V37" s="62">
        <v>212.83026298193036</v>
      </c>
      <c r="W37" s="62">
        <v>61.975371011733152</v>
      </c>
      <c r="X37" s="62">
        <v>24.793762484551216</v>
      </c>
      <c r="Y37" s="66">
        <v>516.68915528106527</v>
      </c>
      <c r="Z37" s="66">
        <v>206.70579272461026</v>
      </c>
      <c r="AA37" s="67">
        <v>0</v>
      </c>
      <c r="AB37" s="68">
        <v>155.19155086941052</v>
      </c>
      <c r="AC37" s="69">
        <v>0</v>
      </c>
      <c r="AD37" s="401">
        <v>20.381207524634075</v>
      </c>
      <c r="AE37" s="401">
        <v>8.0402152812904522</v>
      </c>
      <c r="AF37" s="69">
        <v>28.183869848648733</v>
      </c>
      <c r="AG37" s="68">
        <v>19.898196012987405</v>
      </c>
      <c r="AH37" s="68">
        <v>7.9604387640318057</v>
      </c>
      <c r="AI37" s="68">
        <v>0.71425596308838402</v>
      </c>
      <c r="AJ37" s="69">
        <v>188.3525276184082</v>
      </c>
      <c r="AK37" s="69">
        <v>993.74840806325267</v>
      </c>
      <c r="AL37" s="69">
        <v>3200.3761395772303</v>
      </c>
      <c r="AM37" s="69">
        <v>469.59197525978084</v>
      </c>
      <c r="AN37" s="69">
        <v>4836.2919408162434</v>
      </c>
      <c r="AO37" s="69">
        <v>2672.8963333129877</v>
      </c>
      <c r="AP37" s="69">
        <v>409.53697719573972</v>
      </c>
      <c r="AQ37" s="69">
        <v>2837.8297119140625</v>
      </c>
      <c r="AR37" s="69">
        <v>375.71406989097596</v>
      </c>
      <c r="AS37" s="69">
        <v>881.79410991668703</v>
      </c>
    </row>
    <row r="38" spans="1:45" ht="15.75" thickBot="1" x14ac:dyDescent="0.3">
      <c r="A38" s="11">
        <v>42978</v>
      </c>
      <c r="B38" s="73"/>
      <c r="C38" s="74">
        <v>98.538204367955885</v>
      </c>
      <c r="D38" s="74">
        <v>1157.4553003311157</v>
      </c>
      <c r="E38" s="74">
        <v>28.212896962463805</v>
      </c>
      <c r="F38" s="74">
        <v>0</v>
      </c>
      <c r="G38" s="74">
        <v>2805.3805814107309</v>
      </c>
      <c r="H38" s="75">
        <v>50.366508793830967</v>
      </c>
      <c r="I38" s="76">
        <v>171.51558012167584</v>
      </c>
      <c r="J38" s="74">
        <v>787.92577120462943</v>
      </c>
      <c r="K38" s="74">
        <v>43.237151688337363</v>
      </c>
      <c r="L38" s="74">
        <v>0</v>
      </c>
      <c r="M38" s="60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517.33785279947733</v>
      </c>
      <c r="V38" s="80">
        <v>209.85861644388342</v>
      </c>
      <c r="W38" s="81">
        <v>60.730503934980668</v>
      </c>
      <c r="X38" s="81">
        <v>24.635389548181415</v>
      </c>
      <c r="Y38" s="80">
        <v>513.45225763592714</v>
      </c>
      <c r="Z38" s="80">
        <v>208.28242088681918</v>
      </c>
      <c r="AA38" s="82">
        <v>0</v>
      </c>
      <c r="AB38" s="83">
        <v>154.65668772591545</v>
      </c>
      <c r="AC38" s="84">
        <v>0</v>
      </c>
      <c r="AD38" s="401">
        <v>20.269104195755219</v>
      </c>
      <c r="AE38" s="401">
        <v>8.0341445562772229</v>
      </c>
      <c r="AF38" s="85">
        <v>28.035916565524222</v>
      </c>
      <c r="AG38" s="83">
        <v>19.719245422133788</v>
      </c>
      <c r="AH38" s="83">
        <v>7.9991315911120564</v>
      </c>
      <c r="AI38" s="83">
        <v>0.71141414278009518</v>
      </c>
      <c r="AJ38" s="84">
        <v>188.3525276184082</v>
      </c>
      <c r="AK38" s="84">
        <v>976.15443929036462</v>
      </c>
      <c r="AL38" s="84">
        <v>3263.3008899688716</v>
      </c>
      <c r="AM38" s="84">
        <v>451.2716310024262</v>
      </c>
      <c r="AN38" s="84">
        <v>4867.1829973856602</v>
      </c>
      <c r="AO38" s="84">
        <v>2730.8096337636312</v>
      </c>
      <c r="AP38" s="84">
        <v>559.49441528320312</v>
      </c>
      <c r="AQ38" s="84">
        <v>2837.8297119140625</v>
      </c>
      <c r="AR38" s="84">
        <v>384.21572550137842</v>
      </c>
      <c r="AS38" s="84">
        <v>876.4039480209351</v>
      </c>
    </row>
    <row r="39" spans="1:45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3073.7877025842704</v>
      </c>
      <c r="D39" s="30">
        <f t="shared" si="0"/>
        <v>36034.72457726796</v>
      </c>
      <c r="E39" s="30">
        <f t="shared" si="0"/>
        <v>857.05423450618957</v>
      </c>
      <c r="F39" s="30">
        <f t="shared" si="0"/>
        <v>0</v>
      </c>
      <c r="G39" s="30">
        <f t="shared" si="0"/>
        <v>91651.765736198518</v>
      </c>
      <c r="H39" s="31">
        <f t="shared" si="0"/>
        <v>1562.5889213403093</v>
      </c>
      <c r="I39" s="29">
        <f t="shared" si="0"/>
        <v>3902.9858511805514</v>
      </c>
      <c r="J39" s="30">
        <f t="shared" si="0"/>
        <v>18618.659195311873</v>
      </c>
      <c r="K39" s="30">
        <f t="shared" si="0"/>
        <v>1020.4679934109249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1.7960002033050215E-4</v>
      </c>
      <c r="P39" s="262">
        <f t="shared" si="0"/>
        <v>0</v>
      </c>
      <c r="Q39" s="262">
        <f t="shared" si="0"/>
        <v>8.2210711557315267E-5</v>
      </c>
      <c r="R39" s="262">
        <f t="shared" si="0"/>
        <v>1.4602605490725712E-5</v>
      </c>
      <c r="S39" s="262">
        <f t="shared" si="0"/>
        <v>0</v>
      </c>
      <c r="T39" s="263">
        <f t="shared" si="0"/>
        <v>0</v>
      </c>
      <c r="U39" s="261">
        <f t="shared" si="0"/>
        <v>12183.530050675799</v>
      </c>
      <c r="V39" s="262">
        <f t="shared" si="0"/>
        <v>6407.0777204559054</v>
      </c>
      <c r="W39" s="262">
        <f t="shared" si="0"/>
        <v>1400.494372508585</v>
      </c>
      <c r="X39" s="262">
        <f t="shared" si="0"/>
        <v>738.03445844087992</v>
      </c>
      <c r="Y39" s="262">
        <f t="shared" si="0"/>
        <v>10567.624536735311</v>
      </c>
      <c r="Z39" s="262">
        <f t="shared" si="0"/>
        <v>5494.5274401838633</v>
      </c>
      <c r="AA39" s="270">
        <f t="shared" si="0"/>
        <v>0</v>
      </c>
      <c r="AB39" s="273">
        <f t="shared" si="0"/>
        <v>4019.4389085610642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6173.0907963752752</v>
      </c>
      <c r="AK39" s="273">
        <f t="shared" si="1"/>
        <v>30298.062537765501</v>
      </c>
      <c r="AL39" s="273">
        <f t="shared" si="1"/>
        <v>98585.402949968979</v>
      </c>
      <c r="AM39" s="273">
        <f t="shared" si="1"/>
        <v>14621.208302911122</v>
      </c>
      <c r="AN39" s="273">
        <f t="shared" si="1"/>
        <v>153140.41791915894</v>
      </c>
      <c r="AO39" s="273">
        <f t="shared" si="1"/>
        <v>82058.269323603323</v>
      </c>
      <c r="AP39" s="273">
        <f t="shared" si="1"/>
        <v>21617.527290010454</v>
      </c>
      <c r="AQ39" s="273">
        <f t="shared" si="1"/>
        <v>88033.90412012735</v>
      </c>
      <c r="AR39" s="273">
        <f t="shared" si="1"/>
        <v>12844.620940828323</v>
      </c>
      <c r="AS39" s="273">
        <f t="shared" si="1"/>
        <v>25554.896170711512</v>
      </c>
    </row>
    <row r="40" spans="1:45" ht="15.75" thickBot="1" x14ac:dyDescent="0.3">
      <c r="A40" s="47" t="s">
        <v>174</v>
      </c>
      <c r="B40" s="32">
        <f>Projection!$AC$30</f>
        <v>0.82128400199999985</v>
      </c>
      <c r="C40" s="33">
        <f>Projection!$AC$28</f>
        <v>1.16246256</v>
      </c>
      <c r="D40" s="33">
        <f>Projection!$AC$31</f>
        <v>2.504502</v>
      </c>
      <c r="E40" s="33">
        <f>Projection!$AC$26</f>
        <v>3.9898560000000005</v>
      </c>
      <c r="F40" s="33">
        <f>Projection!$AC$23</f>
        <v>0</v>
      </c>
      <c r="G40" s="33">
        <f>Projection!$AC$24</f>
        <v>5.5265000000000002E-2</v>
      </c>
      <c r="H40" s="34">
        <f>Projection!$AC$29</f>
        <v>3.1332129000000002</v>
      </c>
      <c r="I40" s="32">
        <f>Projection!$AC$30</f>
        <v>0.82128400199999985</v>
      </c>
      <c r="J40" s="33">
        <f>Projection!$AC$28</f>
        <v>1.16246256</v>
      </c>
      <c r="K40" s="33">
        <f>Projection!$AC$26</f>
        <v>3.9898560000000005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1.16246256</v>
      </c>
      <c r="T40" s="38">
        <f>Projection!$AC$28</f>
        <v>1.16246256</v>
      </c>
      <c r="U40" s="26">
        <f>Projection!$AC$27</f>
        <v>0.2321</v>
      </c>
      <c r="V40" s="27">
        <f>Projection!$AC$27</f>
        <v>0.2321</v>
      </c>
      <c r="W40" s="27">
        <f>Projection!$AC$22</f>
        <v>0.74349432000000004</v>
      </c>
      <c r="X40" s="27">
        <f>Projection!$AC$22</f>
        <v>0.74349432000000004</v>
      </c>
      <c r="Y40" s="27">
        <f>Projection!$AC$31</f>
        <v>2.504502</v>
      </c>
      <c r="Z40" s="27">
        <f>Projection!$AC$31</f>
        <v>2.504502</v>
      </c>
      <c r="AA40" s="28">
        <v>0</v>
      </c>
      <c r="AB40" s="41">
        <f>Projection!$AC$27</f>
        <v>0.2321</v>
      </c>
      <c r="AC40" s="41">
        <f>Projection!$AC$30</f>
        <v>0.82128400199999985</v>
      </c>
      <c r="AD40" s="403">
        <f>SUM(AD8:AD38)</f>
        <v>478.99660552420545</v>
      </c>
      <c r="AE40" s="403">
        <f>SUM(AE8:AE38)</f>
        <v>249.28487342213947</v>
      </c>
      <c r="AF40" s="43">
        <f>SUM(AF8:AF38)</f>
        <v>710.09072091894041</v>
      </c>
      <c r="AG40" s="43">
        <f>SUM(AG8:AG38)</f>
        <v>458.751359020883</v>
      </c>
      <c r="AH40" s="43">
        <f>SUM(AH8:AH38)</f>
        <v>242.28335247483011</v>
      </c>
      <c r="AI40" s="43">
        <f>IF(SUM(AG40:AH40)&gt;0, AG40/(AG40+AH40), 0)</f>
        <v>0.65439178902011952</v>
      </c>
      <c r="AJ40" s="313">
        <v>6.5000000000000002E-2</v>
      </c>
      <c r="AK40" s="313">
        <f t="shared" ref="AK40:AS40" si="2">$AJ$40</f>
        <v>6.5000000000000002E-2</v>
      </c>
      <c r="AL40" s="313">
        <f t="shared" si="2"/>
        <v>6.5000000000000002E-2</v>
      </c>
      <c r="AM40" s="313">
        <f t="shared" si="2"/>
        <v>6.5000000000000002E-2</v>
      </c>
      <c r="AN40" s="313">
        <f t="shared" si="2"/>
        <v>6.5000000000000002E-2</v>
      </c>
      <c r="AO40" s="313">
        <f t="shared" si="2"/>
        <v>6.5000000000000002E-2</v>
      </c>
      <c r="AP40" s="313">
        <f t="shared" si="2"/>
        <v>6.5000000000000002E-2</v>
      </c>
      <c r="AQ40" s="313">
        <f t="shared" si="2"/>
        <v>6.5000000000000002E-2</v>
      </c>
      <c r="AR40" s="313">
        <f t="shared" si="2"/>
        <v>6.5000000000000002E-2</v>
      </c>
      <c r="AS40" s="313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3573.1631216426299</v>
      </c>
      <c r="D41" s="36">
        <f t="shared" si="3"/>
        <v>90249.039773216762</v>
      </c>
      <c r="E41" s="36">
        <f t="shared" si="3"/>
        <v>3419.5229798699279</v>
      </c>
      <c r="F41" s="36">
        <f t="shared" si="3"/>
        <v>0</v>
      </c>
      <c r="G41" s="36">
        <f t="shared" si="3"/>
        <v>5065.1348334110116</v>
      </c>
      <c r="H41" s="37">
        <f t="shared" si="3"/>
        <v>4895.9237657405429</v>
      </c>
      <c r="I41" s="35">
        <f t="shared" si="3"/>
        <v>3205.4598396069391</v>
      </c>
      <c r="J41" s="36">
        <f t="shared" si="3"/>
        <v>21643.494231949782</v>
      </c>
      <c r="K41" s="36">
        <f t="shared" si="3"/>
        <v>4071.5203463185399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2.8322923206120188E-3</v>
      </c>
      <c r="P41" s="268">
        <f t="shared" si="3"/>
        <v>0</v>
      </c>
      <c r="Q41" s="268">
        <f t="shared" si="3"/>
        <v>1.2964629212588617E-3</v>
      </c>
      <c r="R41" s="268">
        <f t="shared" si="3"/>
        <v>2.3028308858874448E-4</v>
      </c>
      <c r="S41" s="268">
        <f t="shared" si="3"/>
        <v>0</v>
      </c>
      <c r="T41" s="269">
        <f t="shared" si="3"/>
        <v>0</v>
      </c>
      <c r="U41" s="267">
        <f t="shared" si="3"/>
        <v>2827.7973247618529</v>
      </c>
      <c r="V41" s="268">
        <f t="shared" si="3"/>
        <v>1487.0827389178157</v>
      </c>
      <c r="W41" s="268">
        <f t="shared" si="3"/>
        <v>1041.2596111520972</v>
      </c>
      <c r="X41" s="268">
        <f t="shared" si="3"/>
        <v>548.72442781507027</v>
      </c>
      <c r="Y41" s="268">
        <f t="shared" si="3"/>
        <v>26466.636787502659</v>
      </c>
      <c r="Z41" s="268">
        <f t="shared" si="3"/>
        <v>13761.054962995366</v>
      </c>
      <c r="AA41" s="272">
        <f t="shared" si="3"/>
        <v>0</v>
      </c>
      <c r="AB41" s="275">
        <f t="shared" si="3"/>
        <v>932.91177067702301</v>
      </c>
      <c r="AC41" s="275">
        <f t="shared" si="3"/>
        <v>0</v>
      </c>
      <c r="AJ41" s="278">
        <f t="shared" ref="AJ41:AS41" si="4">AJ40*AJ39</f>
        <v>401.25090176439289</v>
      </c>
      <c r="AK41" s="278">
        <f t="shared" si="4"/>
        <v>1969.3740649547576</v>
      </c>
      <c r="AL41" s="278">
        <f t="shared" si="4"/>
        <v>6408.0511917479835</v>
      </c>
      <c r="AM41" s="278">
        <f t="shared" si="4"/>
        <v>950.37853968922298</v>
      </c>
      <c r="AN41" s="278">
        <f t="shared" si="4"/>
        <v>9954.1271647453304</v>
      </c>
      <c r="AO41" s="278">
        <f t="shared" si="4"/>
        <v>5333.7875060342158</v>
      </c>
      <c r="AP41" s="278">
        <f t="shared" si="4"/>
        <v>1405.1392738506795</v>
      </c>
      <c r="AQ41" s="278">
        <f t="shared" si="4"/>
        <v>5722.2037678082779</v>
      </c>
      <c r="AR41" s="278">
        <f t="shared" si="4"/>
        <v>834.900361153841</v>
      </c>
      <c r="AS41" s="278">
        <f t="shared" si="4"/>
        <v>1661.0682510962483</v>
      </c>
    </row>
    <row r="42" spans="1:45" ht="49.5" customHeight="1" thickTop="1" thickBot="1" x14ac:dyDescent="0.3">
      <c r="A42" s="620" t="s">
        <v>231</v>
      </c>
      <c r="B42" s="621"/>
      <c r="C42" s="621"/>
      <c r="D42" s="621"/>
      <c r="E42" s="621"/>
      <c r="F42" s="621"/>
      <c r="G42" s="621"/>
      <c r="H42" s="621"/>
      <c r="I42" s="621"/>
      <c r="J42" s="621"/>
      <c r="K42" s="614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186</v>
      </c>
      <c r="AJ42" s="295">
        <v>58.27</v>
      </c>
      <c r="AK42" s="278" t="s">
        <v>199</v>
      </c>
      <c r="AL42" s="278">
        <v>58.78</v>
      </c>
      <c r="AM42" s="278">
        <v>145.76</v>
      </c>
      <c r="AN42" s="278">
        <v>40.33</v>
      </c>
      <c r="AO42" s="278">
        <v>1007.46</v>
      </c>
      <c r="AP42" s="278">
        <v>152.07</v>
      </c>
      <c r="AQ42" s="278" t="s">
        <v>199</v>
      </c>
      <c r="AR42" s="278">
        <v>42.89</v>
      </c>
      <c r="AS42" s="278">
        <v>45.56</v>
      </c>
    </row>
    <row r="43" spans="1:45" ht="38.25" customHeight="1" thickTop="1" thickBot="1" x14ac:dyDescent="0.3">
      <c r="A43" s="617" t="s">
        <v>49</v>
      </c>
      <c r="B43" s="613"/>
      <c r="C43" s="289"/>
      <c r="D43" s="613" t="s">
        <v>47</v>
      </c>
      <c r="E43" s="613"/>
      <c r="F43" s="289"/>
      <c r="G43" s="613" t="s">
        <v>48</v>
      </c>
      <c r="H43" s="613"/>
      <c r="I43" s="290"/>
      <c r="J43" s="613" t="s">
        <v>50</v>
      </c>
      <c r="K43" s="614"/>
      <c r="L43" s="44"/>
      <c r="M43" s="44"/>
      <c r="N43" s="44"/>
      <c r="O43" s="45"/>
      <c r="P43" s="45"/>
      <c r="Q43" s="45"/>
      <c r="R43" s="602" t="s">
        <v>168</v>
      </c>
      <c r="S43" s="603"/>
      <c r="T43" s="603"/>
      <c r="U43" s="604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183188.73087461636</v>
      </c>
      <c r="C44" s="12"/>
      <c r="D44" s="282" t="s">
        <v>135</v>
      </c>
      <c r="E44" s="283">
        <f>SUM(B41:H41)+P41+R41+T41+V41+X41+Z41</f>
        <v>122999.64683389221</v>
      </c>
      <c r="F44" s="12"/>
      <c r="G44" s="282" t="s">
        <v>135</v>
      </c>
      <c r="H44" s="283">
        <f>SUM(I41:N41)+O41+Q41+S41+U41+W41+Y41</f>
        <v>59256.172270047115</v>
      </c>
      <c r="I44" s="12"/>
      <c r="J44" s="282" t="s">
        <v>200</v>
      </c>
      <c r="K44" s="283">
        <v>145052.23000000001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5" ht="24" thickBot="1" x14ac:dyDescent="0.4">
      <c r="A45" s="284" t="s">
        <v>185</v>
      </c>
      <c r="B45" s="285">
        <f>SUM(AJ41:AS41)</f>
        <v>34640.281022844953</v>
      </c>
      <c r="C45" s="12"/>
      <c r="D45" s="284" t="s">
        <v>185</v>
      </c>
      <c r="E45" s="285">
        <f>AJ41*(1-$AI$40)+AK41+AL41*0.5+AN41+AO41*(1-$AI$40)+AP41*(1-$AI$40)+AQ41*(1-$AI$40)+AR41*0.5+AS41*0.5</f>
        <v>20820.855773386957</v>
      </c>
      <c r="F45" s="24"/>
      <c r="G45" s="284" t="s">
        <v>185</v>
      </c>
      <c r="H45" s="285">
        <f>AJ41*AI40+AL41*0.5+AM41+AO41*AI40+AP41*AI40+AQ41*AI40+AR41*0.5+AS41*0.5</f>
        <v>13819.425249457991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2138.5288309494649</v>
      </c>
      <c r="U45" s="256">
        <f>(T45*8.34*0.895)/27000</f>
        <v>0.59120817603170706</v>
      </c>
    </row>
    <row r="46" spans="1:45" ht="32.25" thickBot="1" x14ac:dyDescent="0.3">
      <c r="A46" s="286" t="s">
        <v>186</v>
      </c>
      <c r="B46" s="287">
        <f>SUM(AJ42:AS42)</f>
        <v>1551.12</v>
      </c>
      <c r="C46" s="12"/>
      <c r="D46" s="286" t="s">
        <v>186</v>
      </c>
      <c r="E46" s="287">
        <f>AJ42*(1-$AI$40)+AL42*0.5+AN42+AO42*(1-$AI$40)+AP42*(1-$AI$40)+AR42*0.5+AS42*0.5</f>
        <v>534.82667933129846</v>
      </c>
      <c r="F46" s="23"/>
      <c r="G46" s="286" t="s">
        <v>186</v>
      </c>
      <c r="H46" s="287">
        <f>AJ42*AI40+AL42*0.5+AM42+AO42*AI40+AP42*AI40+AR42*0.5+AS42*0.5</f>
        <v>1016.2933206687015</v>
      </c>
      <c r="I46" s="12"/>
      <c r="J46" s="615" t="s">
        <v>201</v>
      </c>
      <c r="K46" s="616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187</v>
      </c>
      <c r="B47" s="287">
        <f>K44</f>
        <v>145052.23000000001</v>
      </c>
      <c r="C47" s="12"/>
      <c r="D47" s="286" t="s">
        <v>189</v>
      </c>
      <c r="E47" s="287">
        <f>K44*0.5</f>
        <v>72526.115000000005</v>
      </c>
      <c r="F47" s="24"/>
      <c r="G47" s="286" t="s">
        <v>187</v>
      </c>
      <c r="H47" s="287">
        <f>K44*0.5</f>
        <v>72526.115000000005</v>
      </c>
      <c r="I47" s="12"/>
      <c r="J47" s="282" t="s">
        <v>200</v>
      </c>
      <c r="K47" s="283">
        <v>67113.7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91651.765736198518</v>
      </c>
      <c r="U47" s="256">
        <f>T47/40000</f>
        <v>2.2912941434049632</v>
      </c>
    </row>
    <row r="48" spans="1:45" ht="24" thickBot="1" x14ac:dyDescent="0.3">
      <c r="A48" s="286" t="s">
        <v>188</v>
      </c>
      <c r="B48" s="287">
        <f>K47</f>
        <v>67113.7</v>
      </c>
      <c r="C48" s="12"/>
      <c r="D48" s="286" t="s">
        <v>188</v>
      </c>
      <c r="E48" s="287">
        <f>K47*0.5</f>
        <v>33556.85</v>
      </c>
      <c r="F48" s="23"/>
      <c r="G48" s="286" t="s">
        <v>188</v>
      </c>
      <c r="H48" s="287">
        <f>K47*0.5</f>
        <v>33556.85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196</v>
      </c>
      <c r="B49" s="292">
        <f>AF40</f>
        <v>710.09072091894041</v>
      </c>
      <c r="C49" s="12"/>
      <c r="D49" s="291" t="s">
        <v>197</v>
      </c>
      <c r="E49" s="292">
        <f>AH40</f>
        <v>242.28335247483011</v>
      </c>
      <c r="F49" s="23"/>
      <c r="G49" s="291" t="s">
        <v>198</v>
      </c>
      <c r="H49" s="292">
        <f>AG40</f>
        <v>458.751359020883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1877.5222279171144</v>
      </c>
      <c r="U49" s="256">
        <f>(T49*8.34*1.04)/45000</f>
        <v>0.36188615102359739</v>
      </c>
    </row>
    <row r="50" spans="1:25" ht="48" customHeight="1" thickTop="1" thickBot="1" x14ac:dyDescent="0.3">
      <c r="A50" s="291" t="s">
        <v>238</v>
      </c>
      <c r="B50" s="292">
        <f>SUM(E50+H50)</f>
        <v>728.28147894634492</v>
      </c>
      <c r="C50" s="12"/>
      <c r="D50" s="291" t="s">
        <v>239</v>
      </c>
      <c r="E50" s="292">
        <f>AE40</f>
        <v>249.28487342213947</v>
      </c>
      <c r="F50" s="23"/>
      <c r="G50" s="291" t="s">
        <v>240</v>
      </c>
      <c r="H50" s="292">
        <f>AD40</f>
        <v>478.99660552420545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192</v>
      </c>
      <c r="B51" s="293">
        <f>(SUM(B44:B48)/B50)</f>
        <v>592.55394290928393</v>
      </c>
      <c r="C51" s="12"/>
      <c r="D51" s="291" t="s">
        <v>190</v>
      </c>
      <c r="E51" s="294">
        <f>SUM(E44:E48)/E50</f>
        <v>1004.6269187882804</v>
      </c>
      <c r="F51" s="23"/>
      <c r="G51" s="291" t="s">
        <v>191</v>
      </c>
      <c r="H51" s="294">
        <f>SUM(H44:H48)/H50</f>
        <v>376.15059013412764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22610.046679692769</v>
      </c>
      <c r="U51" s="256">
        <f>T51/2000/8</f>
        <v>1.413127917480798</v>
      </c>
    </row>
    <row r="52" spans="1:25" ht="47.25" customHeight="1" thickTop="1" thickBot="1" x14ac:dyDescent="0.3">
      <c r="A52" s="281" t="s">
        <v>193</v>
      </c>
      <c r="B52" s="294">
        <f>B51/1000</f>
        <v>0.59255394290928398</v>
      </c>
      <c r="C52" s="12"/>
      <c r="D52" s="281" t="s">
        <v>194</v>
      </c>
      <c r="E52" s="294">
        <f>E51/1000</f>
        <v>1.0046269187882804</v>
      </c>
      <c r="F52" s="374">
        <f>E44/E49</f>
        <v>507.66858547027152</v>
      </c>
      <c r="G52" s="281" t="s">
        <v>195</v>
      </c>
      <c r="H52" s="294">
        <f>H51/1000</f>
        <v>0.37615059013412766</v>
      </c>
      <c r="I52" s="374">
        <f>H44/H49</f>
        <v>129.16838523708807</v>
      </c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21692.446897896145</v>
      </c>
      <c r="U52" s="256">
        <f>(T52*8.34*1.4)/45000</f>
        <v>5.6284668884407862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1562.5889213403093</v>
      </c>
      <c r="U53" s="256">
        <f>(T53*8.34*1.135)/45000</f>
        <v>0.3286957882336719</v>
      </c>
    </row>
    <row r="54" spans="1:25" ht="48" customHeight="1" thickTop="1" thickBot="1" x14ac:dyDescent="0.3">
      <c r="A54" s="605" t="s">
        <v>51</v>
      </c>
      <c r="B54" s="606"/>
      <c r="C54" s="606"/>
      <c r="D54" s="606"/>
      <c r="E54" s="60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3902.9858511805514</v>
      </c>
      <c r="U54" s="256">
        <f>(T54*8.34*1.029*0.03)/3300</f>
        <v>0.30449889233465749</v>
      </c>
    </row>
    <row r="55" spans="1:25" ht="42.75" customHeight="1" thickBot="1" x14ac:dyDescent="0.3">
      <c r="A55" s="610" t="s">
        <v>202</v>
      </c>
      <c r="B55" s="611"/>
      <c r="C55" s="611"/>
      <c r="D55" s="611"/>
      <c r="E55" s="61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18" t="s">
        <v>158</v>
      </c>
      <c r="S55" s="619"/>
      <c r="T55" s="258">
        <f>$D$39+$Y$39+$Z$39</f>
        <v>52096.876554187133</v>
      </c>
      <c r="U55" s="259">
        <f>(T55*1.54*8.34)/45000</f>
        <v>14.869143193585732</v>
      </c>
    </row>
    <row r="56" spans="1:25" ht="24" thickTop="1" x14ac:dyDescent="0.25">
      <c r="A56" s="647"/>
      <c r="B56" s="64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49"/>
      <c r="B57" s="65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45"/>
      <c r="B58" s="64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46"/>
      <c r="B59" s="64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45"/>
      <c r="B60" s="64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46"/>
      <c r="B61" s="646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</row>
  </sheetData>
  <sheetProtection algorithmName="SHA-512" hashValue="1soflLR21QCZyJG5Fsed0pAWNgX1LPs+qI2qvhkNEtZ6+fUyppA7ffxwpnJU5ZtW3cqccrNCmxT+CY7n/udfMg==" saltValue="Fq/EWwQAInwAXYEvCzklzw==" spinCount="100000" sheet="1" objects="1" scenarios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7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H76"/>
  <sheetViews>
    <sheetView topLeftCell="E46" zoomScale="75" zoomScaleNormal="75" workbookViewId="0">
      <selection activeCell="AE18" sqref="AE18:AE20"/>
    </sheetView>
  </sheetViews>
  <sheetFormatPr defaultRowHeight="15" x14ac:dyDescent="0.25"/>
  <cols>
    <col min="1" max="1" width="38.7109375" customWidth="1"/>
    <col min="2" max="2" width="28.7109375" bestFit="1" customWidth="1"/>
    <col min="3" max="3" width="25.28515625" customWidth="1"/>
    <col min="4" max="4" width="29.5703125" customWidth="1"/>
    <col min="5" max="5" width="26.42578125" bestFit="1" customWidth="1"/>
    <col min="6" max="6" width="16.7109375" customWidth="1"/>
    <col min="7" max="7" width="35.5703125" customWidth="1"/>
    <col min="8" max="8" width="26.42578125" bestFit="1" customWidth="1"/>
    <col min="9" max="9" width="16.7109375" customWidth="1"/>
    <col min="10" max="10" width="25.28515625" bestFit="1" customWidth="1"/>
    <col min="11" max="11" width="28.7109375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23" bestFit="1" customWidth="1"/>
    <col min="22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3.42578125" bestFit="1" customWidth="1"/>
    <col min="37" max="40" width="18.85546875" bestFit="1" customWidth="1"/>
    <col min="41" max="41" width="23.42578125" bestFit="1" customWidth="1"/>
    <col min="42" max="45" width="18.85546875" bestFit="1" customWidth="1"/>
    <col min="46" max="47" width="20.42578125" customWidth="1"/>
  </cols>
  <sheetData>
    <row r="1" spans="1:60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60" ht="15" customHeight="1" x14ac:dyDescent="0.25">
      <c r="A2" s="1" t="s">
        <v>2</v>
      </c>
      <c r="B2" s="5"/>
      <c r="O2" s="4"/>
      <c r="P2" s="4"/>
      <c r="Q2" s="4"/>
      <c r="R2" s="4"/>
    </row>
    <row r="3" spans="1:60" ht="15.75" thickBot="1" x14ac:dyDescent="0.3">
      <c r="A3" s="6"/>
      <c r="BG3" t="s">
        <v>171</v>
      </c>
      <c r="BH3" s="260" t="s">
        <v>208</v>
      </c>
    </row>
    <row r="4" spans="1:60" ht="30" customHeight="1" thickTop="1" x14ac:dyDescent="0.25">
      <c r="A4" s="13"/>
      <c r="B4" s="623" t="s">
        <v>3</v>
      </c>
      <c r="C4" s="624"/>
      <c r="D4" s="624"/>
      <c r="E4" s="624"/>
      <c r="F4" s="624"/>
      <c r="G4" s="624"/>
      <c r="H4" s="625"/>
      <c r="I4" s="623" t="s">
        <v>4</v>
      </c>
      <c r="J4" s="624"/>
      <c r="K4" s="624"/>
      <c r="L4" s="624"/>
      <c r="M4" s="624"/>
      <c r="N4" s="625"/>
      <c r="O4" s="629" t="s">
        <v>5</v>
      </c>
      <c r="P4" s="630"/>
      <c r="Q4" s="631"/>
      <c r="R4" s="631"/>
      <c r="S4" s="631"/>
      <c r="T4" s="632"/>
      <c r="U4" s="623" t="s">
        <v>6</v>
      </c>
      <c r="V4" s="636"/>
      <c r="W4" s="636"/>
      <c r="X4" s="636"/>
      <c r="Y4" s="636"/>
      <c r="Z4" s="636"/>
      <c r="AA4" s="637"/>
      <c r="AB4" s="641" t="s">
        <v>7</v>
      </c>
      <c r="AC4" s="643" t="s">
        <v>8</v>
      </c>
      <c r="AD4" s="608" t="s">
        <v>237</v>
      </c>
      <c r="AE4" s="608" t="s">
        <v>236</v>
      </c>
      <c r="AF4" s="608" t="s">
        <v>27</v>
      </c>
      <c r="AG4" s="608" t="s">
        <v>31</v>
      </c>
      <c r="AH4" s="608" t="s">
        <v>32</v>
      </c>
      <c r="AI4" s="608" t="s">
        <v>33</v>
      </c>
      <c r="AJ4" s="641" t="s">
        <v>175</v>
      </c>
      <c r="AK4" s="641" t="s">
        <v>176</v>
      </c>
      <c r="AL4" s="641" t="s">
        <v>177</v>
      </c>
      <c r="AM4" s="641" t="s">
        <v>178</v>
      </c>
      <c r="AN4" s="641" t="s">
        <v>179</v>
      </c>
      <c r="AO4" s="641" t="s">
        <v>180</v>
      </c>
      <c r="AP4" s="641" t="s">
        <v>181</v>
      </c>
      <c r="AQ4" s="641" t="s">
        <v>184</v>
      </c>
      <c r="AR4" s="641" t="s">
        <v>182</v>
      </c>
      <c r="AS4" s="641" t="s">
        <v>183</v>
      </c>
    </row>
    <row r="5" spans="1:60" ht="30" customHeight="1" thickBot="1" x14ac:dyDescent="0.3">
      <c r="A5" s="13"/>
      <c r="B5" s="626"/>
      <c r="C5" s="627"/>
      <c r="D5" s="627"/>
      <c r="E5" s="627"/>
      <c r="F5" s="627"/>
      <c r="G5" s="627"/>
      <c r="H5" s="628"/>
      <c r="I5" s="626"/>
      <c r="J5" s="627"/>
      <c r="K5" s="627"/>
      <c r="L5" s="627"/>
      <c r="M5" s="627"/>
      <c r="N5" s="628"/>
      <c r="O5" s="633"/>
      <c r="P5" s="634"/>
      <c r="Q5" s="634"/>
      <c r="R5" s="634"/>
      <c r="S5" s="634"/>
      <c r="T5" s="635"/>
      <c r="U5" s="638"/>
      <c r="V5" s="639"/>
      <c r="W5" s="639"/>
      <c r="X5" s="639"/>
      <c r="Y5" s="639"/>
      <c r="Z5" s="639"/>
      <c r="AA5" s="640"/>
      <c r="AB5" s="642"/>
      <c r="AC5" s="644"/>
      <c r="AD5" s="609"/>
      <c r="AE5" s="609"/>
      <c r="AF5" s="622"/>
      <c r="AG5" s="622"/>
      <c r="AH5" s="622"/>
      <c r="AI5" s="622"/>
      <c r="AJ5" s="609"/>
      <c r="AK5" s="609"/>
      <c r="AL5" s="609"/>
      <c r="AM5" s="609"/>
      <c r="AN5" s="609"/>
      <c r="AO5" s="609"/>
      <c r="AP5" s="609"/>
      <c r="AQ5" s="609"/>
      <c r="AR5" s="609"/>
      <c r="AS5" s="609"/>
    </row>
    <row r="6" spans="1:60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60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5" t="s">
        <v>23</v>
      </c>
      <c r="AD7" s="399" t="s">
        <v>28</v>
      </c>
      <c r="AE7" s="399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  <c r="AR7" s="22" t="s">
        <v>172</v>
      </c>
      <c r="AS7" s="22" t="s">
        <v>172</v>
      </c>
    </row>
    <row r="8" spans="1:60" x14ac:dyDescent="0.25">
      <c r="A8" s="11">
        <v>42979</v>
      </c>
      <c r="B8" s="49"/>
      <c r="C8" s="50">
        <v>98.84322993755363</v>
      </c>
      <c r="D8" s="50">
        <v>1154.9149726867677</v>
      </c>
      <c r="E8" s="50">
        <v>28.174172426263436</v>
      </c>
      <c r="F8" s="50">
        <v>0</v>
      </c>
      <c r="G8" s="50">
        <v>2806.4872257232614</v>
      </c>
      <c r="H8" s="51">
        <v>50.348173534870227</v>
      </c>
      <c r="I8" s="49">
        <v>169.56438741683945</v>
      </c>
      <c r="J8" s="50">
        <v>753.23988542556719</v>
      </c>
      <c r="K8" s="50">
        <v>41.378744017084458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494.71192623206213</v>
      </c>
      <c r="V8" s="54">
        <v>208.31744469045194</v>
      </c>
      <c r="W8" s="54">
        <v>58.192081395615595</v>
      </c>
      <c r="X8" s="54">
        <v>24.504009413888632</v>
      </c>
      <c r="Y8" s="54">
        <v>484.27661447405274</v>
      </c>
      <c r="Z8" s="54">
        <v>203.9232561441321</v>
      </c>
      <c r="AA8" s="55">
        <v>0</v>
      </c>
      <c r="AB8" s="56">
        <v>148.24860213597589</v>
      </c>
      <c r="AC8" s="57">
        <v>0</v>
      </c>
      <c r="AD8" s="400">
        <v>19.375796967327258</v>
      </c>
      <c r="AE8" s="400">
        <v>8.0257373931503722</v>
      </c>
      <c r="AF8" s="57">
        <v>27.119294728173184</v>
      </c>
      <c r="AG8" s="58">
        <v>18.868461498456131</v>
      </c>
      <c r="AH8" s="58">
        <v>7.9452899276876447</v>
      </c>
      <c r="AI8" s="58">
        <v>0.7036860004624016</v>
      </c>
      <c r="AJ8" s="57">
        <v>188.83686122099559</v>
      </c>
      <c r="AK8" s="57">
        <v>975.03441212972007</v>
      </c>
      <c r="AL8" s="57">
        <v>3224.832070922851</v>
      </c>
      <c r="AM8" s="57">
        <v>448.73521695137021</v>
      </c>
      <c r="AN8" s="57">
        <v>4812.403531392416</v>
      </c>
      <c r="AO8" s="57">
        <v>2724.2020727793374</v>
      </c>
      <c r="AP8" s="57">
        <v>552.26763474146526</v>
      </c>
      <c r="AQ8" s="57">
        <v>2837.8297119140625</v>
      </c>
      <c r="AR8" s="57">
        <v>382.73072166442876</v>
      </c>
      <c r="AS8" s="57">
        <v>842.10657250086456</v>
      </c>
    </row>
    <row r="9" spans="1:60" x14ac:dyDescent="0.25">
      <c r="A9" s="11">
        <v>42980</v>
      </c>
      <c r="B9" s="59"/>
      <c r="C9" s="60">
        <v>98.448175231616005</v>
      </c>
      <c r="D9" s="60">
        <v>1155.6625759760541</v>
      </c>
      <c r="E9" s="60">
        <v>28.150310312708154</v>
      </c>
      <c r="F9" s="60">
        <v>0</v>
      </c>
      <c r="G9" s="60">
        <v>2893.2081698099719</v>
      </c>
      <c r="H9" s="61">
        <v>50.372643458843406</v>
      </c>
      <c r="I9" s="59">
        <v>169.41499757766698</v>
      </c>
      <c r="J9" s="60">
        <v>752.9946139971405</v>
      </c>
      <c r="K9" s="60">
        <v>41.256674145658813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498.36599605093204</v>
      </c>
      <c r="V9" s="62">
        <v>209.82861352752261</v>
      </c>
      <c r="W9" s="62">
        <v>58.849275196868099</v>
      </c>
      <c r="X9" s="62">
        <v>24.777496698222745</v>
      </c>
      <c r="Y9" s="66">
        <v>475.89719841136042</v>
      </c>
      <c r="Z9" s="66">
        <v>200.36850450383238</v>
      </c>
      <c r="AA9" s="67">
        <v>0</v>
      </c>
      <c r="AB9" s="68">
        <v>146.48274327384041</v>
      </c>
      <c r="AC9" s="69">
        <v>0</v>
      </c>
      <c r="AD9" s="401">
        <v>19.36926356455124</v>
      </c>
      <c r="AE9" s="401">
        <v>8.031045642877249</v>
      </c>
      <c r="AF9" s="69">
        <v>27.292436483171279</v>
      </c>
      <c r="AG9" s="68">
        <v>19.000546265439219</v>
      </c>
      <c r="AH9" s="68">
        <v>7.9998601644868437</v>
      </c>
      <c r="AI9" s="68">
        <v>0.70371334278804965</v>
      </c>
      <c r="AJ9" s="69">
        <v>186.71261511643729</v>
      </c>
      <c r="AK9" s="69">
        <v>980.67709662119535</v>
      </c>
      <c r="AL9" s="69">
        <v>3184.4214167277014</v>
      </c>
      <c r="AM9" s="69">
        <v>450.69022095998127</v>
      </c>
      <c r="AN9" s="69">
        <v>4647.3195622762041</v>
      </c>
      <c r="AO9" s="69">
        <v>2720.432817459106</v>
      </c>
      <c r="AP9" s="69">
        <v>541.31068754196167</v>
      </c>
      <c r="AQ9" s="69">
        <v>2837.8297119140625</v>
      </c>
      <c r="AR9" s="69">
        <v>383.09597245852149</v>
      </c>
      <c r="AS9" s="69">
        <v>845.97596041361487</v>
      </c>
    </row>
    <row r="10" spans="1:60" x14ac:dyDescent="0.25">
      <c r="A10" s="11">
        <v>42981</v>
      </c>
      <c r="B10" s="59"/>
      <c r="C10" s="60">
        <v>98.885224159559598</v>
      </c>
      <c r="D10" s="60">
        <v>1174.5199107487981</v>
      </c>
      <c r="E10" s="60">
        <v>28.216351690888352</v>
      </c>
      <c r="F10" s="60">
        <v>0</v>
      </c>
      <c r="G10" s="60">
        <v>2904.4834111531604</v>
      </c>
      <c r="H10" s="61">
        <v>50.218081204096606</v>
      </c>
      <c r="I10" s="59">
        <v>172.73955678145074</v>
      </c>
      <c r="J10" s="60">
        <v>767.03593991597393</v>
      </c>
      <c r="K10" s="60">
        <v>42.045031546553005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505.34350600952251</v>
      </c>
      <c r="V10" s="62">
        <v>208.76546170796627</v>
      </c>
      <c r="W10" s="62">
        <v>59.969147770195548</v>
      </c>
      <c r="X10" s="62">
        <v>24.774211350491196</v>
      </c>
      <c r="Y10" s="66">
        <v>489.97466640880953</v>
      </c>
      <c r="Z10" s="66">
        <v>202.41634896187693</v>
      </c>
      <c r="AA10" s="67">
        <v>0</v>
      </c>
      <c r="AB10" s="68">
        <v>148.43590665393455</v>
      </c>
      <c r="AC10" s="69">
        <v>0</v>
      </c>
      <c r="AD10" s="401">
        <v>19.732897770034441</v>
      </c>
      <c r="AE10" s="401">
        <v>8.0298290946969324</v>
      </c>
      <c r="AF10" s="69">
        <v>27.521294811036832</v>
      </c>
      <c r="AG10" s="68">
        <v>19.261895569485432</v>
      </c>
      <c r="AH10" s="68">
        <v>7.9573962544568273</v>
      </c>
      <c r="AI10" s="68">
        <v>0.70765601449419591</v>
      </c>
      <c r="AJ10" s="69">
        <v>183.77858734130859</v>
      </c>
      <c r="AK10" s="69">
        <v>992.11236368815116</v>
      </c>
      <c r="AL10" s="69">
        <v>3219.8822411855058</v>
      </c>
      <c r="AM10" s="69">
        <v>458.97947735786448</v>
      </c>
      <c r="AN10" s="69">
        <v>4609.8941599527989</v>
      </c>
      <c r="AO10" s="69">
        <v>2631.3133167266842</v>
      </c>
      <c r="AP10" s="69">
        <v>622.56854689915974</v>
      </c>
      <c r="AQ10" s="69">
        <v>2837.8297119140625</v>
      </c>
      <c r="AR10" s="69">
        <v>398.10128461519878</v>
      </c>
      <c r="AS10" s="69">
        <v>868.85617065429676</v>
      </c>
    </row>
    <row r="11" spans="1:60" x14ac:dyDescent="0.25">
      <c r="A11" s="11">
        <v>42982</v>
      </c>
      <c r="B11" s="59"/>
      <c r="C11" s="60">
        <v>99.541317041715175</v>
      </c>
      <c r="D11" s="60">
        <v>1191.1066249847422</v>
      </c>
      <c r="E11" s="60">
        <v>28.17135631342726</v>
      </c>
      <c r="F11" s="60">
        <v>0</v>
      </c>
      <c r="G11" s="60">
        <v>3063.997911326092</v>
      </c>
      <c r="H11" s="61">
        <v>50.960557528336864</v>
      </c>
      <c r="I11" s="59">
        <v>178.15083075364404</v>
      </c>
      <c r="J11" s="60">
        <v>791.71031354268348</v>
      </c>
      <c r="K11" s="60">
        <v>43.420276267329832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502.69349428427876</v>
      </c>
      <c r="V11" s="62">
        <v>202.75763872319479</v>
      </c>
      <c r="W11" s="62">
        <v>60.038997947291655</v>
      </c>
      <c r="X11" s="62">
        <v>24.216278096918082</v>
      </c>
      <c r="Y11" s="66">
        <v>512.99900373197931</v>
      </c>
      <c r="Z11" s="66">
        <v>206.91428842169614</v>
      </c>
      <c r="AA11" s="67">
        <v>0</v>
      </c>
      <c r="AB11" s="68">
        <v>152.39037040074518</v>
      </c>
      <c r="AC11" s="69">
        <v>0</v>
      </c>
      <c r="AD11" s="401">
        <v>20.365439566454892</v>
      </c>
      <c r="AE11" s="401">
        <v>8.1297420099715865</v>
      </c>
      <c r="AF11" s="69">
        <v>27.805557409922297</v>
      </c>
      <c r="AG11" s="68">
        <v>19.604981343145354</v>
      </c>
      <c r="AH11" s="68">
        <v>7.9075217195878382</v>
      </c>
      <c r="AI11" s="68">
        <v>0.71258443110183967</v>
      </c>
      <c r="AJ11" s="69">
        <v>193.06201810836791</v>
      </c>
      <c r="AK11" s="69">
        <v>992.17182070414219</v>
      </c>
      <c r="AL11" s="69">
        <v>3228.7847601572666</v>
      </c>
      <c r="AM11" s="69">
        <v>455.47546261151626</v>
      </c>
      <c r="AN11" s="69">
        <v>4951.3994956970209</v>
      </c>
      <c r="AO11" s="69">
        <v>2707.6282117207847</v>
      </c>
      <c r="AP11" s="69">
        <v>551.67129681905112</v>
      </c>
      <c r="AQ11" s="69">
        <v>2837.8297119140625</v>
      </c>
      <c r="AR11" s="69">
        <v>394.14179571469623</v>
      </c>
      <c r="AS11" s="69">
        <v>824.65616674423234</v>
      </c>
    </row>
    <row r="12" spans="1:60" x14ac:dyDescent="0.25">
      <c r="A12" s="11">
        <v>42983</v>
      </c>
      <c r="B12" s="59"/>
      <c r="C12" s="60">
        <v>101.63538813591072</v>
      </c>
      <c r="D12" s="60">
        <v>1195.7193917592358</v>
      </c>
      <c r="E12" s="60">
        <v>28.017615720132966</v>
      </c>
      <c r="F12" s="60">
        <v>0</v>
      </c>
      <c r="G12" s="60">
        <v>3112.5764052073037</v>
      </c>
      <c r="H12" s="61">
        <v>51.803375895818107</v>
      </c>
      <c r="I12" s="59">
        <v>170.53615338802325</v>
      </c>
      <c r="J12" s="60">
        <v>894.06863384246765</v>
      </c>
      <c r="K12" s="60">
        <v>49.024162790179346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569.24813358685401</v>
      </c>
      <c r="V12" s="62">
        <v>202.50727001659561</v>
      </c>
      <c r="W12" s="62">
        <v>68.089725299471255</v>
      </c>
      <c r="X12" s="62">
        <v>24.222590418861724</v>
      </c>
      <c r="Y12" s="66">
        <v>593.28602172899127</v>
      </c>
      <c r="Z12" s="66">
        <v>211.05863244962816</v>
      </c>
      <c r="AA12" s="67">
        <v>0</v>
      </c>
      <c r="AB12" s="68">
        <v>166.33760641945622</v>
      </c>
      <c r="AC12" s="69">
        <v>0</v>
      </c>
      <c r="AD12" s="401">
        <v>23.002305777031481</v>
      </c>
      <c r="AE12" s="401">
        <v>8.265023728194457</v>
      </c>
      <c r="AF12" s="69">
        <v>30.655387238661429</v>
      </c>
      <c r="AG12" s="68">
        <v>22.396543408601282</v>
      </c>
      <c r="AH12" s="68">
        <v>7.9674619834164435</v>
      </c>
      <c r="AI12" s="68">
        <v>0.73760174652350119</v>
      </c>
      <c r="AJ12" s="69">
        <v>197.68105316162109</v>
      </c>
      <c r="AK12" s="69">
        <v>982.60225906372045</v>
      </c>
      <c r="AL12" s="69">
        <v>3200.7548224131269</v>
      </c>
      <c r="AM12" s="69">
        <v>439.43059674898774</v>
      </c>
      <c r="AN12" s="69">
        <v>5538.8986282348633</v>
      </c>
      <c r="AO12" s="69">
        <v>2715.1707041422524</v>
      </c>
      <c r="AP12" s="69">
        <v>549.96107482910156</v>
      </c>
      <c r="AQ12" s="69">
        <v>2837.8297119140625</v>
      </c>
      <c r="AR12" s="69">
        <v>368.81859292984018</v>
      </c>
      <c r="AS12" s="69">
        <v>745.72697722117096</v>
      </c>
    </row>
    <row r="13" spans="1:60" x14ac:dyDescent="0.25">
      <c r="A13" s="11">
        <v>42984</v>
      </c>
      <c r="B13" s="59"/>
      <c r="C13" s="60">
        <v>101.67338007291212</v>
      </c>
      <c r="D13" s="60">
        <v>1195.4943614323922</v>
      </c>
      <c r="E13" s="60">
        <v>28.615949797630222</v>
      </c>
      <c r="F13" s="60">
        <v>0</v>
      </c>
      <c r="G13" s="60">
        <v>2668.7950780232727</v>
      </c>
      <c r="H13" s="61">
        <v>51.794065145651679</v>
      </c>
      <c r="I13" s="59">
        <v>164.52243720690399</v>
      </c>
      <c r="J13" s="60">
        <v>986.03253949483314</v>
      </c>
      <c r="K13" s="60">
        <v>54.098819041252199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633.21147383112918</v>
      </c>
      <c r="V13" s="62">
        <v>202.65626849539805</v>
      </c>
      <c r="W13" s="62">
        <v>75.979332256072837</v>
      </c>
      <c r="X13" s="62">
        <v>24.316817673291489</v>
      </c>
      <c r="Y13" s="66">
        <v>682.94140018200028</v>
      </c>
      <c r="Z13" s="66">
        <v>218.57209081277162</v>
      </c>
      <c r="AA13" s="67">
        <v>0</v>
      </c>
      <c r="AB13" s="68">
        <v>178.09609697130176</v>
      </c>
      <c r="AC13" s="69">
        <v>0</v>
      </c>
      <c r="AD13" s="401">
        <v>25.364072756793483</v>
      </c>
      <c r="AE13" s="401">
        <v>8.2701409992389934</v>
      </c>
      <c r="AF13" s="69">
        <v>33.178339380688158</v>
      </c>
      <c r="AG13" s="68">
        <v>24.890037096270643</v>
      </c>
      <c r="AH13" s="68">
        <v>7.9659359457334391</v>
      </c>
      <c r="AI13" s="68">
        <v>0.75754983924689911</v>
      </c>
      <c r="AJ13" s="69">
        <v>186.93378806908925</v>
      </c>
      <c r="AK13" s="69">
        <v>974.88939660390213</v>
      </c>
      <c r="AL13" s="69">
        <v>3179.986571121216</v>
      </c>
      <c r="AM13" s="69">
        <v>446.46249518394472</v>
      </c>
      <c r="AN13" s="69">
        <v>5296.7706034342436</v>
      </c>
      <c r="AO13" s="69">
        <v>2634.3103355407716</v>
      </c>
      <c r="AP13" s="69">
        <v>363.89962425231931</v>
      </c>
      <c r="AQ13" s="69">
        <v>2837.8297119140625</v>
      </c>
      <c r="AR13" s="69">
        <v>356.60561456680296</v>
      </c>
      <c r="AS13" s="69">
        <v>760.0231370290121</v>
      </c>
    </row>
    <row r="14" spans="1:60" x14ac:dyDescent="0.25">
      <c r="A14" s="11">
        <v>42985</v>
      </c>
      <c r="B14" s="59"/>
      <c r="C14" s="60">
        <v>46.708420826991308</v>
      </c>
      <c r="D14" s="60">
        <v>547.16097776095035</v>
      </c>
      <c r="E14" s="60">
        <v>13.444269339243608</v>
      </c>
      <c r="F14" s="60">
        <v>0</v>
      </c>
      <c r="G14" s="60">
        <v>1264.1868849436469</v>
      </c>
      <c r="H14" s="61">
        <v>23.793299971024158</v>
      </c>
      <c r="I14" s="59">
        <v>116.60547256072354</v>
      </c>
      <c r="J14" s="60">
        <v>1181.8192625045781</v>
      </c>
      <c r="K14" s="60">
        <v>65.04591264128689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741.96727906964793</v>
      </c>
      <c r="V14" s="62">
        <v>91.193078850687016</v>
      </c>
      <c r="W14" s="62">
        <v>89.927569007582605</v>
      </c>
      <c r="X14" s="62">
        <v>11.052740629805156</v>
      </c>
      <c r="Y14" s="66">
        <v>911.40782739436031</v>
      </c>
      <c r="Z14" s="66">
        <v>112.01853264058208</v>
      </c>
      <c r="AA14" s="67">
        <v>0</v>
      </c>
      <c r="AB14" s="68">
        <v>174.66870925691288</v>
      </c>
      <c r="AC14" s="69">
        <v>0</v>
      </c>
      <c r="AD14" s="401">
        <v>30.095140932953985</v>
      </c>
      <c r="AE14" s="401">
        <v>3.7775432904961095</v>
      </c>
      <c r="AF14" s="69">
        <v>33.134603522883552</v>
      </c>
      <c r="AG14" s="68">
        <v>29.182639571811325</v>
      </c>
      <c r="AH14" s="68">
        <v>3.5867548699456293</v>
      </c>
      <c r="AI14" s="68">
        <v>0.89054558587218968</v>
      </c>
      <c r="AJ14" s="69">
        <v>181.85459015369418</v>
      </c>
      <c r="AK14" s="69">
        <v>980.83851788838717</v>
      </c>
      <c r="AL14" s="69">
        <v>2143.4240565617879</v>
      </c>
      <c r="AM14" s="69">
        <v>456.94956857363383</v>
      </c>
      <c r="AN14" s="69">
        <v>3130.9308739980061</v>
      </c>
      <c r="AO14" s="69">
        <v>2320.3425875345865</v>
      </c>
      <c r="AP14" s="69">
        <v>360.74604034423828</v>
      </c>
      <c r="AQ14" s="69">
        <v>2837.8297119140625</v>
      </c>
      <c r="AR14" s="69">
        <v>340.16646641095485</v>
      </c>
      <c r="AS14" s="69">
        <v>845.7444078763325</v>
      </c>
    </row>
    <row r="15" spans="1:60" x14ac:dyDescent="0.25">
      <c r="A15" s="11">
        <v>42986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107.7112611373265</v>
      </c>
      <c r="J15" s="60">
        <v>1297.961521212261</v>
      </c>
      <c r="K15" s="60">
        <v>71.602931731939336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836.0266446431508</v>
      </c>
      <c r="V15" s="62">
        <v>0</v>
      </c>
      <c r="W15" s="62">
        <v>101.74875861008957</v>
      </c>
      <c r="X15" s="62">
        <v>0</v>
      </c>
      <c r="Y15" s="66">
        <v>1157.0795578320804</v>
      </c>
      <c r="Z15" s="66">
        <v>0</v>
      </c>
      <c r="AA15" s="67">
        <v>0</v>
      </c>
      <c r="AB15" s="68">
        <v>166.56818053987197</v>
      </c>
      <c r="AC15" s="69">
        <v>0</v>
      </c>
      <c r="AD15" s="401">
        <v>32.871655540283882</v>
      </c>
      <c r="AE15" s="401">
        <v>0</v>
      </c>
      <c r="AF15" s="69">
        <v>33.22862727377148</v>
      </c>
      <c r="AG15" s="68">
        <v>32.860025269749222</v>
      </c>
      <c r="AH15" s="68">
        <v>0</v>
      </c>
      <c r="AI15" s="68">
        <v>1</v>
      </c>
      <c r="AJ15" s="69">
        <v>174.52043511072793</v>
      </c>
      <c r="AK15" s="69">
        <v>960.9310271581013</v>
      </c>
      <c r="AL15" s="69">
        <v>1251.5850934346518</v>
      </c>
      <c r="AM15" s="69">
        <v>460.26840384801227</v>
      </c>
      <c r="AN15" s="69">
        <v>1610.6892255783082</v>
      </c>
      <c r="AO15" s="69">
        <v>1864.9965105692547</v>
      </c>
      <c r="AP15" s="69">
        <v>360.74604034423828</v>
      </c>
      <c r="AQ15" s="69">
        <v>2837.8297119140625</v>
      </c>
      <c r="AR15" s="69">
        <v>327.02845044136046</v>
      </c>
      <c r="AS15" s="69">
        <v>869.13054103851323</v>
      </c>
    </row>
    <row r="16" spans="1:60" x14ac:dyDescent="0.25">
      <c r="A16" s="11">
        <v>42987</v>
      </c>
      <c r="B16" s="49"/>
      <c r="C16" s="50">
        <v>0</v>
      </c>
      <c r="D16" s="50">
        <v>0</v>
      </c>
      <c r="E16" s="60">
        <v>0</v>
      </c>
      <c r="F16" s="50">
        <v>0</v>
      </c>
      <c r="G16" s="50">
        <v>0</v>
      </c>
      <c r="H16" s="51">
        <v>0</v>
      </c>
      <c r="I16" s="49">
        <v>107.59735780556981</v>
      </c>
      <c r="J16" s="50">
        <v>1297.3900258382159</v>
      </c>
      <c r="K16" s="50">
        <v>71.565004376570428</v>
      </c>
      <c r="L16" s="5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807.2185684204087</v>
      </c>
      <c r="V16" s="66">
        <v>0</v>
      </c>
      <c r="W16" s="62">
        <v>98.471109024683685</v>
      </c>
      <c r="X16" s="62">
        <v>0</v>
      </c>
      <c r="Y16" s="66">
        <v>1146.0511034965511</v>
      </c>
      <c r="Z16" s="66">
        <v>0</v>
      </c>
      <c r="AA16" s="67">
        <v>0</v>
      </c>
      <c r="AB16" s="68">
        <v>166.51249882380159</v>
      </c>
      <c r="AC16" s="69">
        <v>0</v>
      </c>
      <c r="AD16" s="401">
        <v>32.827681864549504</v>
      </c>
      <c r="AE16" s="401">
        <v>0</v>
      </c>
      <c r="AF16" s="69">
        <v>32.952463185787259</v>
      </c>
      <c r="AG16" s="68">
        <v>32.585008504686755</v>
      </c>
      <c r="AH16" s="68">
        <v>0</v>
      </c>
      <c r="AI16" s="68">
        <v>1</v>
      </c>
      <c r="AJ16" s="69">
        <v>169.61161422729492</v>
      </c>
      <c r="AK16" s="69">
        <v>965.50449956258137</v>
      </c>
      <c r="AL16" s="69">
        <v>1280.3823533376055</v>
      </c>
      <c r="AM16" s="69">
        <v>461.49567225774126</v>
      </c>
      <c r="AN16" s="69">
        <v>1595.6242962519332</v>
      </c>
      <c r="AO16" s="69">
        <v>1836.301884206136</v>
      </c>
      <c r="AP16" s="69">
        <v>532.81318640708923</v>
      </c>
      <c r="AQ16" s="69">
        <v>2837.8297119140625</v>
      </c>
      <c r="AR16" s="69">
        <v>326.45603949228922</v>
      </c>
      <c r="AS16" s="69">
        <v>841.08631534576409</v>
      </c>
    </row>
    <row r="17" spans="1:45" x14ac:dyDescent="0.25">
      <c r="A17" s="11">
        <v>42988</v>
      </c>
      <c r="B17" s="59"/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1">
        <v>0</v>
      </c>
      <c r="I17" s="59">
        <v>107.5728719790775</v>
      </c>
      <c r="J17" s="60">
        <v>1297.1484298070284</v>
      </c>
      <c r="K17" s="60">
        <v>71.568990649779749</v>
      </c>
      <c r="L17" s="50">
        <v>0</v>
      </c>
      <c r="M17" s="5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808.28900650871492</v>
      </c>
      <c r="V17" s="62">
        <v>0</v>
      </c>
      <c r="W17" s="62">
        <v>98.022575012842807</v>
      </c>
      <c r="X17" s="62">
        <v>0</v>
      </c>
      <c r="Y17" s="66">
        <v>1162.8438228925061</v>
      </c>
      <c r="Z17" s="66">
        <v>0</v>
      </c>
      <c r="AA17" s="67">
        <v>0</v>
      </c>
      <c r="AB17" s="68">
        <v>166.50330577426436</v>
      </c>
      <c r="AC17" s="69">
        <v>0</v>
      </c>
      <c r="AD17" s="401">
        <v>32.871164618378621</v>
      </c>
      <c r="AE17" s="401">
        <v>0</v>
      </c>
      <c r="AF17" s="69">
        <v>33.202976975176064</v>
      </c>
      <c r="AG17" s="68">
        <v>32.858429929936662</v>
      </c>
      <c r="AH17" s="68">
        <v>0</v>
      </c>
      <c r="AI17" s="68">
        <v>1</v>
      </c>
      <c r="AJ17" s="69">
        <v>173.8878471215566</v>
      </c>
      <c r="AK17" s="69">
        <v>626.92375068664546</v>
      </c>
      <c r="AL17" s="69">
        <v>1345.8740560531614</v>
      </c>
      <c r="AM17" s="69">
        <v>466.68899614016215</v>
      </c>
      <c r="AN17" s="69">
        <v>1602.8270351409908</v>
      </c>
      <c r="AO17" s="69">
        <v>1839.4766471862793</v>
      </c>
      <c r="AP17" s="69">
        <v>631.54023742675781</v>
      </c>
      <c r="AQ17" s="69">
        <v>2837.8297119140625</v>
      </c>
      <c r="AR17" s="69">
        <v>358.19144577980046</v>
      </c>
      <c r="AS17" s="69">
        <v>831.89678036371879</v>
      </c>
    </row>
    <row r="18" spans="1:45" x14ac:dyDescent="0.25">
      <c r="A18" s="11">
        <v>42989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107.67911461989073</v>
      </c>
      <c r="J18" s="60">
        <v>1297.592281977333</v>
      </c>
      <c r="K18" s="60">
        <v>71.604356793562715</v>
      </c>
      <c r="L18" s="50">
        <v>0</v>
      </c>
      <c r="M18" s="5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801.46196729872111</v>
      </c>
      <c r="V18" s="62">
        <v>0</v>
      </c>
      <c r="W18" s="62">
        <v>96.49024604956297</v>
      </c>
      <c r="X18" s="62">
        <v>0</v>
      </c>
      <c r="Y18" s="66">
        <v>1181.6096113204949</v>
      </c>
      <c r="Z18" s="66">
        <v>0</v>
      </c>
      <c r="AA18" s="67">
        <v>0</v>
      </c>
      <c r="AB18" s="68">
        <v>166.54539000193137</v>
      </c>
      <c r="AC18" s="69">
        <v>0</v>
      </c>
      <c r="AD18" s="401">
        <v>32.878482428491928</v>
      </c>
      <c r="AE18" s="401">
        <v>0</v>
      </c>
      <c r="AF18" s="69">
        <v>32.928807542059154</v>
      </c>
      <c r="AG18" s="68">
        <v>32.598710745285565</v>
      </c>
      <c r="AH18" s="68">
        <v>0</v>
      </c>
      <c r="AI18" s="68">
        <v>1</v>
      </c>
      <c r="AJ18" s="69">
        <v>172.00760650634766</v>
      </c>
      <c r="AK18" s="69">
        <v>401.32405150731398</v>
      </c>
      <c r="AL18" s="69">
        <v>1290.8474957784017</v>
      </c>
      <c r="AM18" s="69">
        <v>462.84446942011516</v>
      </c>
      <c r="AN18" s="69">
        <v>1582.5833139419556</v>
      </c>
      <c r="AO18" s="69">
        <v>1824.1555604298912</v>
      </c>
      <c r="AP18" s="69">
        <v>608.02603340148926</v>
      </c>
      <c r="AQ18" s="69">
        <v>2837.8297119140625</v>
      </c>
      <c r="AR18" s="69">
        <v>356.05783619880685</v>
      </c>
      <c r="AS18" s="69">
        <v>861.61948184967036</v>
      </c>
    </row>
    <row r="19" spans="1:45" x14ac:dyDescent="0.25">
      <c r="A19" s="11">
        <v>42990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107.69396839936574</v>
      </c>
      <c r="J19" s="60">
        <v>1297.1550696055092</v>
      </c>
      <c r="K19" s="60">
        <v>71.562257820367876</v>
      </c>
      <c r="L19" s="50">
        <v>0</v>
      </c>
      <c r="M19" s="5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808.54586584302945</v>
      </c>
      <c r="V19" s="62">
        <v>0</v>
      </c>
      <c r="W19" s="62">
        <v>97.353431971867835</v>
      </c>
      <c r="X19" s="62">
        <v>0</v>
      </c>
      <c r="Y19" s="66">
        <v>1197.4582051595044</v>
      </c>
      <c r="Z19" s="66">
        <v>0</v>
      </c>
      <c r="AA19" s="67">
        <v>0</v>
      </c>
      <c r="AB19" s="68">
        <v>166.50729358461226</v>
      </c>
      <c r="AC19" s="69">
        <v>0</v>
      </c>
      <c r="AD19" s="401">
        <v>32.867383109339201</v>
      </c>
      <c r="AE19" s="401">
        <v>0</v>
      </c>
      <c r="AF19" s="69">
        <v>33.191235595279316</v>
      </c>
      <c r="AG19" s="68">
        <v>32.856643108401329</v>
      </c>
      <c r="AH19" s="68">
        <v>0</v>
      </c>
      <c r="AI19" s="68">
        <v>1</v>
      </c>
      <c r="AJ19" s="69">
        <v>179.35627508163452</v>
      </c>
      <c r="AK19" s="69">
        <v>361.92325132687893</v>
      </c>
      <c r="AL19" s="69">
        <v>1293.6077218373616</v>
      </c>
      <c r="AM19" s="69">
        <v>460.4399733702341</v>
      </c>
      <c r="AN19" s="69">
        <v>1590.5932502110797</v>
      </c>
      <c r="AO19" s="69">
        <v>1887.5658883412677</v>
      </c>
      <c r="AP19" s="69">
        <v>690.06833553314209</v>
      </c>
      <c r="AQ19" s="69">
        <v>2837.8297119140625</v>
      </c>
      <c r="AR19" s="69">
        <v>349.79204289118439</v>
      </c>
      <c r="AS19" s="69">
        <v>852.20385665893559</v>
      </c>
    </row>
    <row r="20" spans="1:45" x14ac:dyDescent="0.25">
      <c r="A20" s="11">
        <v>42991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120.60027490456915</v>
      </c>
      <c r="J20" s="60">
        <v>1298.5604522069273</v>
      </c>
      <c r="K20" s="60">
        <v>71.649279272556385</v>
      </c>
      <c r="L20" s="50">
        <v>0</v>
      </c>
      <c r="M20" s="5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805.01893742878497</v>
      </c>
      <c r="V20" s="62">
        <v>0</v>
      </c>
      <c r="W20" s="62">
        <v>97.240012041727667</v>
      </c>
      <c r="X20" s="62">
        <v>0</v>
      </c>
      <c r="Y20" s="66">
        <v>1234.628221321105</v>
      </c>
      <c r="Z20" s="66">
        <v>0</v>
      </c>
      <c r="AA20" s="67">
        <v>0</v>
      </c>
      <c r="AB20" s="68">
        <v>166.72512875662926</v>
      </c>
      <c r="AC20" s="69">
        <v>0</v>
      </c>
      <c r="AD20" s="401">
        <v>32.81507715495642</v>
      </c>
      <c r="AE20" s="401">
        <v>0</v>
      </c>
      <c r="AF20" s="69">
        <v>33.100064244535247</v>
      </c>
      <c r="AG20" s="68">
        <v>32.755188347254553</v>
      </c>
      <c r="AH20" s="68">
        <v>0</v>
      </c>
      <c r="AI20" s="68">
        <v>1</v>
      </c>
      <c r="AJ20" s="69">
        <v>179.89438944657644</v>
      </c>
      <c r="AK20" s="69">
        <v>363.19740746816001</v>
      </c>
      <c r="AL20" s="69">
        <v>1287.9835021972656</v>
      </c>
      <c r="AM20" s="69">
        <v>460.20508735974624</v>
      </c>
      <c r="AN20" s="69">
        <v>1601.3362440109252</v>
      </c>
      <c r="AO20" s="69">
        <v>1833.0676083882652</v>
      </c>
      <c r="AP20" s="69">
        <v>820.78500366210937</v>
      </c>
      <c r="AQ20" s="69">
        <v>2837.8297119140625</v>
      </c>
      <c r="AR20" s="69">
        <v>356.47699750264491</v>
      </c>
      <c r="AS20" s="69">
        <v>853.84669488271072</v>
      </c>
    </row>
    <row r="21" spans="1:45" x14ac:dyDescent="0.25">
      <c r="A21" s="11">
        <v>42992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129.90747148990636</v>
      </c>
      <c r="J21" s="60">
        <v>1298.5317305246983</v>
      </c>
      <c r="K21" s="60">
        <v>71.630154258012809</v>
      </c>
      <c r="L21" s="50">
        <v>0</v>
      </c>
      <c r="M21" s="5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800.19959081014395</v>
      </c>
      <c r="V21" s="62">
        <v>0</v>
      </c>
      <c r="W21" s="62">
        <v>96.256443738937392</v>
      </c>
      <c r="X21" s="62">
        <v>0</v>
      </c>
      <c r="Y21" s="66">
        <v>1205.7122155825298</v>
      </c>
      <c r="Z21" s="66">
        <v>0</v>
      </c>
      <c r="AA21" s="67">
        <v>0</v>
      </c>
      <c r="AB21" s="68">
        <v>166.72312568028744</v>
      </c>
      <c r="AC21" s="69">
        <v>0</v>
      </c>
      <c r="AD21" s="401">
        <v>32.76205904883566</v>
      </c>
      <c r="AE21" s="401">
        <v>0</v>
      </c>
      <c r="AF21" s="69">
        <v>32.89228169123335</v>
      </c>
      <c r="AG21" s="68">
        <v>32.530005596455304</v>
      </c>
      <c r="AH21" s="68">
        <v>0</v>
      </c>
      <c r="AI21" s="68">
        <v>1</v>
      </c>
      <c r="AJ21" s="69">
        <v>179.22401733398436</v>
      </c>
      <c r="AK21" s="69">
        <v>345.85635549227402</v>
      </c>
      <c r="AL21" s="69">
        <v>1274.7078649520872</v>
      </c>
      <c r="AM21" s="69">
        <v>460.37427293459564</v>
      </c>
      <c r="AN21" s="69">
        <v>1589.0678709665935</v>
      </c>
      <c r="AO21" s="69">
        <v>1873.7194492340088</v>
      </c>
      <c r="AP21" s="69">
        <v>846.43812484741215</v>
      </c>
      <c r="AQ21" s="69">
        <v>2837.8297119140625</v>
      </c>
      <c r="AR21" s="69">
        <v>339.67938998540245</v>
      </c>
      <c r="AS21" s="69">
        <v>834.61451574961336</v>
      </c>
    </row>
    <row r="22" spans="1:45" x14ac:dyDescent="0.25">
      <c r="A22" s="11">
        <v>42993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140.53996295134229</v>
      </c>
      <c r="J22" s="60">
        <v>1297.7936390558887</v>
      </c>
      <c r="K22" s="60">
        <v>71.626073352495823</v>
      </c>
      <c r="L22" s="50">
        <v>0</v>
      </c>
      <c r="M22" s="5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797.94753201802985</v>
      </c>
      <c r="V22" s="62">
        <v>0</v>
      </c>
      <c r="W22" s="62">
        <v>95.864090259869968</v>
      </c>
      <c r="X22" s="62">
        <v>0</v>
      </c>
      <c r="Y22" s="66">
        <v>1194.9446324030559</v>
      </c>
      <c r="Z22" s="66">
        <v>0</v>
      </c>
      <c r="AA22" s="67">
        <v>0</v>
      </c>
      <c r="AB22" s="68">
        <v>166.55420774883783</v>
      </c>
      <c r="AC22" s="69">
        <v>0</v>
      </c>
      <c r="AD22" s="401">
        <v>32.884154601982473</v>
      </c>
      <c r="AE22" s="401">
        <v>0</v>
      </c>
      <c r="AF22" s="69">
        <v>32.799920716550631</v>
      </c>
      <c r="AG22" s="68">
        <v>32.439949780381973</v>
      </c>
      <c r="AH22" s="68">
        <v>0</v>
      </c>
      <c r="AI22" s="68">
        <v>1</v>
      </c>
      <c r="AJ22" s="69">
        <v>171.92773818969727</v>
      </c>
      <c r="AK22" s="69">
        <v>339.67816994984946</v>
      </c>
      <c r="AL22" s="69">
        <v>1220.5426074981688</v>
      </c>
      <c r="AM22" s="69">
        <v>451.60472874641431</v>
      </c>
      <c r="AN22" s="69">
        <v>1576.7599188486734</v>
      </c>
      <c r="AO22" s="69">
        <v>2073.3374903361</v>
      </c>
      <c r="AP22" s="69">
        <v>777.01457103093469</v>
      </c>
      <c r="AQ22" s="69">
        <v>2837.8297119140625</v>
      </c>
      <c r="AR22" s="69">
        <v>318.39387485186256</v>
      </c>
      <c r="AS22" s="69">
        <v>861.40449463526397</v>
      </c>
    </row>
    <row r="23" spans="1:45" x14ac:dyDescent="0.25">
      <c r="A23" s="11">
        <v>42994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140.37717414697008</v>
      </c>
      <c r="J23" s="60">
        <v>1296.9526838302602</v>
      </c>
      <c r="K23" s="60">
        <v>71.564936665693963</v>
      </c>
      <c r="L23" s="50">
        <v>0</v>
      </c>
      <c r="M23" s="5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806.93814548916657</v>
      </c>
      <c r="V23" s="62">
        <v>0</v>
      </c>
      <c r="W23" s="62">
        <v>97.222227740287778</v>
      </c>
      <c r="X23" s="62">
        <v>0</v>
      </c>
      <c r="Y23" s="66">
        <v>1227.948907470703</v>
      </c>
      <c r="Z23" s="66">
        <v>0</v>
      </c>
      <c r="AA23" s="67">
        <v>0</v>
      </c>
      <c r="AB23" s="68">
        <v>166.45940374798383</v>
      </c>
      <c r="AC23" s="69">
        <v>0</v>
      </c>
      <c r="AD23" s="401">
        <v>32.864608793141073</v>
      </c>
      <c r="AE23" s="401">
        <v>0</v>
      </c>
      <c r="AF23" s="69">
        <v>33.152855854564272</v>
      </c>
      <c r="AG23" s="68">
        <v>32.81391462955451</v>
      </c>
      <c r="AH23" s="68">
        <v>0</v>
      </c>
      <c r="AI23" s="68">
        <v>1</v>
      </c>
      <c r="AJ23" s="69">
        <v>166.12800828615823</v>
      </c>
      <c r="AK23" s="69">
        <v>312.20775036811824</v>
      </c>
      <c r="AL23" s="69">
        <v>1154.4796311060588</v>
      </c>
      <c r="AM23" s="69">
        <v>440.53474419911703</v>
      </c>
      <c r="AN23" s="69">
        <v>1562.6739545186363</v>
      </c>
      <c r="AO23" s="69">
        <v>1823.0593468983968</v>
      </c>
      <c r="AP23" s="69">
        <v>550.96430969238281</v>
      </c>
      <c r="AQ23" s="69">
        <v>2837.8297119140625</v>
      </c>
      <c r="AR23" s="69">
        <v>300.26801435152692</v>
      </c>
      <c r="AS23" s="69">
        <v>670.88032124837241</v>
      </c>
    </row>
    <row r="24" spans="1:45" x14ac:dyDescent="0.25">
      <c r="A24" s="11">
        <v>42995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140.46963250637074</v>
      </c>
      <c r="J24" s="60">
        <v>1297.2317729949971</v>
      </c>
      <c r="K24" s="60">
        <v>71.558157324790955</v>
      </c>
      <c r="L24" s="50">
        <v>0</v>
      </c>
      <c r="M24" s="5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844.66977064344792</v>
      </c>
      <c r="V24" s="62">
        <v>0</v>
      </c>
      <c r="W24" s="62">
        <v>98.318262902895682</v>
      </c>
      <c r="X24" s="62">
        <v>0</v>
      </c>
      <c r="Y24" s="66">
        <v>1235.8805795033768</v>
      </c>
      <c r="Z24" s="66">
        <v>0</v>
      </c>
      <c r="AA24" s="67">
        <v>0</v>
      </c>
      <c r="AB24" s="68">
        <v>166.60312530729604</v>
      </c>
      <c r="AC24" s="69">
        <v>0</v>
      </c>
      <c r="AD24" s="401">
        <v>32.870158940810178</v>
      </c>
      <c r="AE24" s="401">
        <v>0</v>
      </c>
      <c r="AF24" s="69">
        <v>33.026799078782417</v>
      </c>
      <c r="AG24" s="68">
        <v>32.706468416278199</v>
      </c>
      <c r="AH24" s="68">
        <v>0</v>
      </c>
      <c r="AI24" s="68">
        <v>1</v>
      </c>
      <c r="AJ24" s="69">
        <v>162.60541691780091</v>
      </c>
      <c r="AK24" s="69">
        <v>305.78938166300458</v>
      </c>
      <c r="AL24" s="69">
        <v>1074.5946099599205</v>
      </c>
      <c r="AM24" s="69">
        <v>446.29500390688577</v>
      </c>
      <c r="AN24" s="69">
        <v>1560.6908336639406</v>
      </c>
      <c r="AO24" s="69">
        <v>1812.0665985107423</v>
      </c>
      <c r="AP24" s="69">
        <v>376.55198465983074</v>
      </c>
      <c r="AQ24" s="69">
        <v>2837.8297119140625</v>
      </c>
      <c r="AR24" s="69">
        <v>304.25355300903317</v>
      </c>
      <c r="AS24" s="69">
        <v>650.25565385818481</v>
      </c>
    </row>
    <row r="25" spans="1:45" s="382" customFormat="1" ht="15" customHeight="1" x14ac:dyDescent="0.25">
      <c r="A25" s="11">
        <v>42996</v>
      </c>
      <c r="B25" s="376"/>
      <c r="C25" s="377">
        <v>0</v>
      </c>
      <c r="D25" s="377">
        <v>0</v>
      </c>
      <c r="E25" s="60">
        <v>0</v>
      </c>
      <c r="F25" s="377">
        <v>0</v>
      </c>
      <c r="G25" s="377">
        <v>0</v>
      </c>
      <c r="H25" s="378">
        <v>0</v>
      </c>
      <c r="I25" s="376">
        <v>155.20060056845324</v>
      </c>
      <c r="J25" s="377">
        <v>1058.483479690552</v>
      </c>
      <c r="K25" s="377">
        <v>58.25882386565209</v>
      </c>
      <c r="L25" s="379">
        <v>0</v>
      </c>
      <c r="M25" s="50">
        <v>0</v>
      </c>
      <c r="N25" s="378">
        <v>0</v>
      </c>
      <c r="O25" s="376">
        <v>0</v>
      </c>
      <c r="P25" s="377">
        <v>0</v>
      </c>
      <c r="Q25" s="377">
        <v>0</v>
      </c>
      <c r="R25" s="377">
        <v>0</v>
      </c>
      <c r="S25" s="377">
        <v>0</v>
      </c>
      <c r="T25" s="378">
        <v>0</v>
      </c>
      <c r="U25" s="376">
        <v>687.23509765201106</v>
      </c>
      <c r="V25" s="377">
        <v>0</v>
      </c>
      <c r="W25" s="377">
        <v>81.556802090009043</v>
      </c>
      <c r="X25" s="377">
        <v>0</v>
      </c>
      <c r="Y25" s="377">
        <v>985.22840998967399</v>
      </c>
      <c r="Z25" s="377">
        <v>0</v>
      </c>
      <c r="AA25" s="378">
        <v>0</v>
      </c>
      <c r="AB25" s="380">
        <v>135.75557881461313</v>
      </c>
      <c r="AC25" s="381">
        <v>0</v>
      </c>
      <c r="AD25" s="401">
        <v>26.713900000428104</v>
      </c>
      <c r="AE25" s="401">
        <v>0</v>
      </c>
      <c r="AF25" s="381">
        <v>26.961478002866095</v>
      </c>
      <c r="AG25" s="381">
        <v>26.678696600701173</v>
      </c>
      <c r="AH25" s="381">
        <v>0</v>
      </c>
      <c r="AI25" s="381">
        <v>1</v>
      </c>
      <c r="AJ25" s="381">
        <v>165.24262174765266</v>
      </c>
      <c r="AK25" s="381">
        <v>312.75898655255639</v>
      </c>
      <c r="AL25" s="381">
        <v>1059.5942981084188</v>
      </c>
      <c r="AM25" s="381">
        <v>444.01566088994349</v>
      </c>
      <c r="AN25" s="381">
        <v>1562.8108020146688</v>
      </c>
      <c r="AO25" s="381">
        <v>1894.8446940104168</v>
      </c>
      <c r="AP25" s="381">
        <v>494.4245867729187</v>
      </c>
      <c r="AQ25" s="381">
        <v>2837.8297119140625</v>
      </c>
      <c r="AR25" s="381">
        <v>321.50556451479594</v>
      </c>
      <c r="AS25" s="381">
        <v>761.11632181803384</v>
      </c>
    </row>
    <row r="26" spans="1:45" x14ac:dyDescent="0.25">
      <c r="A26" s="11">
        <v>42997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165.3766163825988</v>
      </c>
      <c r="J26" s="60">
        <v>946.5116946538285</v>
      </c>
      <c r="K26" s="60">
        <v>52.008017730712893</v>
      </c>
      <c r="L26" s="50">
        <v>0</v>
      </c>
      <c r="M26" s="5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606.59138141207961</v>
      </c>
      <c r="V26" s="62">
        <v>0</v>
      </c>
      <c r="W26" s="62">
        <v>70.820950603485031</v>
      </c>
      <c r="X26" s="62">
        <v>0</v>
      </c>
      <c r="Y26" s="62">
        <v>816.17432896296123</v>
      </c>
      <c r="Z26" s="62">
        <v>0</v>
      </c>
      <c r="AA26" s="72">
        <v>0</v>
      </c>
      <c r="AB26" s="69">
        <v>121.50893676015936</v>
      </c>
      <c r="AC26" s="69">
        <v>0</v>
      </c>
      <c r="AD26" s="401">
        <v>23.839618376339622</v>
      </c>
      <c r="AE26" s="401">
        <v>0</v>
      </c>
      <c r="AF26" s="69">
        <v>24.125983196496943</v>
      </c>
      <c r="AG26" s="69">
        <v>23.867967587975937</v>
      </c>
      <c r="AH26" s="69">
        <v>0</v>
      </c>
      <c r="AI26" s="69">
        <v>1</v>
      </c>
      <c r="AJ26" s="69">
        <v>162.29397348562875</v>
      </c>
      <c r="AK26" s="69">
        <v>323.90256557464602</v>
      </c>
      <c r="AL26" s="69">
        <v>1182.9867726643879</v>
      </c>
      <c r="AM26" s="69">
        <v>447.30532960891725</v>
      </c>
      <c r="AN26" s="69">
        <v>1583.7194455464678</v>
      </c>
      <c r="AO26" s="69">
        <v>1854.2676333109537</v>
      </c>
      <c r="AP26" s="69">
        <v>688.19833374023437</v>
      </c>
      <c r="AQ26" s="69">
        <v>2837.8297119140625</v>
      </c>
      <c r="AR26" s="69">
        <v>336.69049677848807</v>
      </c>
      <c r="AS26" s="69">
        <v>810.20860551198314</v>
      </c>
    </row>
    <row r="27" spans="1:45" x14ac:dyDescent="0.25">
      <c r="A27" s="11">
        <v>42998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165.38444934686021</v>
      </c>
      <c r="J27" s="60">
        <v>946.76287180582756</v>
      </c>
      <c r="K27" s="60">
        <v>51.921748993794125</v>
      </c>
      <c r="L27" s="50">
        <v>0</v>
      </c>
      <c r="M27" s="5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605.42815695868069</v>
      </c>
      <c r="V27" s="62">
        <v>0</v>
      </c>
      <c r="W27" s="62">
        <v>71.705204979578767</v>
      </c>
      <c r="X27" s="62">
        <v>0</v>
      </c>
      <c r="Y27" s="66">
        <v>805.82651189168269</v>
      </c>
      <c r="Z27" s="66">
        <v>0</v>
      </c>
      <c r="AA27" s="67">
        <v>0</v>
      </c>
      <c r="AB27" s="68">
        <v>121.54340667724837</v>
      </c>
      <c r="AC27" s="69">
        <v>0</v>
      </c>
      <c r="AD27" s="401">
        <v>23.839381487804584</v>
      </c>
      <c r="AE27" s="401">
        <v>0</v>
      </c>
      <c r="AF27" s="69">
        <v>24.103553667333404</v>
      </c>
      <c r="AG27" s="68">
        <v>23.852354747253891</v>
      </c>
      <c r="AH27" s="68">
        <v>0</v>
      </c>
      <c r="AI27" s="68">
        <v>1</v>
      </c>
      <c r="AJ27" s="69">
        <v>168.46128060022988</v>
      </c>
      <c r="AK27" s="69">
        <v>312.26770091056829</v>
      </c>
      <c r="AL27" s="69">
        <v>1017.0684169769287</v>
      </c>
      <c r="AM27" s="69">
        <v>437.74428687095639</v>
      </c>
      <c r="AN27" s="69">
        <v>1402.9706414540608</v>
      </c>
      <c r="AO27" s="69">
        <v>1814.6515075683596</v>
      </c>
      <c r="AP27" s="69">
        <v>688.19833374023437</v>
      </c>
      <c r="AQ27" s="69">
        <v>2837.8297119140625</v>
      </c>
      <c r="AR27" s="69">
        <v>331.08784373601281</v>
      </c>
      <c r="AS27" s="69">
        <v>777.68608598709102</v>
      </c>
    </row>
    <row r="28" spans="1:45" x14ac:dyDescent="0.25">
      <c r="A28" s="11">
        <v>42999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171.24817523956298</v>
      </c>
      <c r="J28" s="60">
        <v>946.83517201741495</v>
      </c>
      <c r="K28" s="60">
        <v>51.94387573401135</v>
      </c>
      <c r="L28" s="50">
        <v>0</v>
      </c>
      <c r="M28" s="5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608.32374979655253</v>
      </c>
      <c r="V28" s="62">
        <v>0</v>
      </c>
      <c r="W28" s="62">
        <v>73.545318643252031</v>
      </c>
      <c r="X28" s="62">
        <v>0</v>
      </c>
      <c r="Y28" s="66">
        <v>811.2511800765983</v>
      </c>
      <c r="Z28" s="66">
        <v>0</v>
      </c>
      <c r="AA28" s="67">
        <v>0</v>
      </c>
      <c r="AB28" s="68">
        <v>121.46296102205839</v>
      </c>
      <c r="AC28" s="69">
        <v>0</v>
      </c>
      <c r="AD28" s="401">
        <v>23.840151971585989</v>
      </c>
      <c r="AE28" s="401">
        <v>0</v>
      </c>
      <c r="AF28" s="69">
        <v>24.248933618598542</v>
      </c>
      <c r="AG28" s="68">
        <v>23.998310924307837</v>
      </c>
      <c r="AH28" s="68">
        <v>0</v>
      </c>
      <c r="AI28" s="68">
        <v>1</v>
      </c>
      <c r="AJ28" s="69">
        <v>173.06023011207577</v>
      </c>
      <c r="AK28" s="69">
        <v>322.21652649243669</v>
      </c>
      <c r="AL28" s="69">
        <v>1169.1947530110676</v>
      </c>
      <c r="AM28" s="69">
        <v>396.14204851786292</v>
      </c>
      <c r="AN28" s="69">
        <v>1323.8548529942832</v>
      </c>
      <c r="AO28" s="69">
        <v>1776.2293907165524</v>
      </c>
      <c r="AP28" s="69">
        <v>634.60420673688247</v>
      </c>
      <c r="AQ28" s="69">
        <v>2920.6093077341711</v>
      </c>
      <c r="AR28" s="69">
        <v>342.43432148297632</v>
      </c>
      <c r="AS28" s="69">
        <v>900.8558658599851</v>
      </c>
    </row>
    <row r="29" spans="1:45" x14ac:dyDescent="0.25">
      <c r="A29" s="11">
        <v>43000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181.29089508056609</v>
      </c>
      <c r="J29" s="60">
        <v>947.09988295237235</v>
      </c>
      <c r="K29" s="60">
        <v>51.950913761059489</v>
      </c>
      <c r="L29" s="50">
        <v>0</v>
      </c>
      <c r="M29" s="5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610.24992400275096</v>
      </c>
      <c r="V29" s="62">
        <v>0</v>
      </c>
      <c r="W29" s="62">
        <v>76.662688104311599</v>
      </c>
      <c r="X29" s="62">
        <v>0</v>
      </c>
      <c r="Y29" s="66">
        <v>804.65720087687077</v>
      </c>
      <c r="Z29" s="66">
        <v>0</v>
      </c>
      <c r="AA29" s="67">
        <v>0</v>
      </c>
      <c r="AB29" s="68">
        <v>121.63139135043025</v>
      </c>
      <c r="AC29" s="69">
        <v>0</v>
      </c>
      <c r="AD29" s="401">
        <v>23.849397564374222</v>
      </c>
      <c r="AE29" s="401">
        <v>0</v>
      </c>
      <c r="AF29" s="69">
        <v>24.257935455110328</v>
      </c>
      <c r="AG29" s="68">
        <v>24.000082478579312</v>
      </c>
      <c r="AH29" s="68">
        <v>0</v>
      </c>
      <c r="AI29" s="68">
        <v>1</v>
      </c>
      <c r="AJ29" s="69">
        <v>159.50377911726633</v>
      </c>
      <c r="AK29" s="69">
        <v>333.70948847134906</v>
      </c>
      <c r="AL29" s="69">
        <v>1153.0912671407063</v>
      </c>
      <c r="AM29" s="69">
        <v>337.51570129394531</v>
      </c>
      <c r="AN29" s="69">
        <v>1256.4969177246094</v>
      </c>
      <c r="AO29" s="69">
        <v>1850.608715566</v>
      </c>
      <c r="AP29" s="69">
        <v>542.73712007204688</v>
      </c>
      <c r="AQ29" s="69">
        <v>3050.806954065959</v>
      </c>
      <c r="AR29" s="69">
        <v>350.19231268564863</v>
      </c>
      <c r="AS29" s="69">
        <v>825.45910396575948</v>
      </c>
    </row>
    <row r="30" spans="1:45" x14ac:dyDescent="0.25">
      <c r="A30" s="11">
        <v>43001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181.48762849171948</v>
      </c>
      <c r="J30" s="60">
        <v>946.56948105494212</v>
      </c>
      <c r="K30" s="60">
        <v>51.929778472582527</v>
      </c>
      <c r="L30" s="50">
        <v>0</v>
      </c>
      <c r="M30" s="5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610.25268533495398</v>
      </c>
      <c r="V30" s="62">
        <v>0</v>
      </c>
      <c r="W30" s="62">
        <v>77.673129550615997</v>
      </c>
      <c r="X30" s="62">
        <v>0</v>
      </c>
      <c r="Y30" s="66">
        <v>801.92208938598537</v>
      </c>
      <c r="Z30" s="66">
        <v>0</v>
      </c>
      <c r="AA30" s="67">
        <v>0</v>
      </c>
      <c r="AB30" s="68">
        <v>121.43692264027042</v>
      </c>
      <c r="AC30" s="69">
        <v>0</v>
      </c>
      <c r="AD30" s="401">
        <v>23.846283503875238</v>
      </c>
      <c r="AE30" s="401">
        <v>0</v>
      </c>
      <c r="AF30" s="69">
        <v>24.263403521643717</v>
      </c>
      <c r="AG30" s="68">
        <v>24.000296746634106</v>
      </c>
      <c r="AH30" s="68">
        <v>0</v>
      </c>
      <c r="AI30" s="68">
        <v>1</v>
      </c>
      <c r="AJ30" s="69">
        <v>174.53819083372755</v>
      </c>
      <c r="AK30" s="69">
        <v>320.84136230150858</v>
      </c>
      <c r="AL30" s="69">
        <v>1004.7843360265094</v>
      </c>
      <c r="AM30" s="69">
        <v>337.51570129394531</v>
      </c>
      <c r="AN30" s="69">
        <v>1256.4969177246094</v>
      </c>
      <c r="AO30" s="69">
        <v>1793.8856529235838</v>
      </c>
      <c r="AP30" s="69">
        <v>471.97272575696314</v>
      </c>
      <c r="AQ30" s="69">
        <v>2986.4348472595216</v>
      </c>
      <c r="AR30" s="69">
        <v>326.24043261210119</v>
      </c>
      <c r="AS30" s="69">
        <v>507.58593886693313</v>
      </c>
    </row>
    <row r="31" spans="1:45" x14ac:dyDescent="0.25">
      <c r="A31" s="11">
        <v>43002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186.82583261330922</v>
      </c>
      <c r="J31" s="60">
        <v>795.32281732558999</v>
      </c>
      <c r="K31" s="60">
        <v>43.528252690037036</v>
      </c>
      <c r="L31" s="50">
        <v>0</v>
      </c>
      <c r="M31" s="5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502.69198735555392</v>
      </c>
      <c r="V31" s="62">
        <v>0</v>
      </c>
      <c r="W31" s="62">
        <v>66.635289545853951</v>
      </c>
      <c r="X31" s="62">
        <v>0</v>
      </c>
      <c r="Y31" s="66">
        <v>654.92275540033984</v>
      </c>
      <c r="Z31" s="66">
        <v>0</v>
      </c>
      <c r="AA31" s="67">
        <v>0</v>
      </c>
      <c r="AB31" s="68">
        <v>101.87163185013688</v>
      </c>
      <c r="AC31" s="69">
        <v>0</v>
      </c>
      <c r="AD31" s="401">
        <v>19.956295528400823</v>
      </c>
      <c r="AE31" s="401">
        <v>0</v>
      </c>
      <c r="AF31" s="69">
        <v>20.035692165957556</v>
      </c>
      <c r="AG31" s="68">
        <v>19.798916652002951</v>
      </c>
      <c r="AH31" s="68">
        <v>0</v>
      </c>
      <c r="AI31" s="68">
        <v>1</v>
      </c>
      <c r="AJ31" s="69">
        <v>194.8560837268829</v>
      </c>
      <c r="AK31" s="69">
        <v>393.29205787976576</v>
      </c>
      <c r="AL31" s="69">
        <v>1040.709385808309</v>
      </c>
      <c r="AM31" s="69">
        <v>337.51570129394531</v>
      </c>
      <c r="AN31" s="69">
        <v>1256.4969177246094</v>
      </c>
      <c r="AO31" s="69">
        <v>1803.8355754852291</v>
      </c>
      <c r="AP31" s="69">
        <v>459.02437524795533</v>
      </c>
      <c r="AQ31" s="69">
        <v>2576.702418899536</v>
      </c>
      <c r="AR31" s="69">
        <v>325.38154223759966</v>
      </c>
      <c r="AS31" s="69">
        <v>506.33568223317479</v>
      </c>
    </row>
    <row r="32" spans="1:45" x14ac:dyDescent="0.25">
      <c r="A32" s="11">
        <v>43003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184.73911777337366</v>
      </c>
      <c r="J32" s="60">
        <v>769.2702404657997</v>
      </c>
      <c r="K32" s="60">
        <v>42.167158708969801</v>
      </c>
      <c r="L32" s="50">
        <v>0</v>
      </c>
      <c r="M32" s="5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488.34379030863448</v>
      </c>
      <c r="V32" s="62">
        <v>0</v>
      </c>
      <c r="W32" s="62">
        <v>65.768217094739256</v>
      </c>
      <c r="X32" s="62">
        <v>0</v>
      </c>
      <c r="Y32" s="66">
        <v>598.47304286956773</v>
      </c>
      <c r="Z32" s="66">
        <v>0</v>
      </c>
      <c r="AA32" s="67">
        <v>0</v>
      </c>
      <c r="AB32" s="68">
        <v>98.57777670754264</v>
      </c>
      <c r="AC32" s="69">
        <v>0</v>
      </c>
      <c r="AD32" s="401">
        <v>19.288585474861009</v>
      </c>
      <c r="AE32" s="401">
        <v>0</v>
      </c>
      <c r="AF32" s="69">
        <v>19.655672052171521</v>
      </c>
      <c r="AG32" s="68">
        <v>19.454040612275975</v>
      </c>
      <c r="AH32" s="68">
        <v>0</v>
      </c>
      <c r="AI32" s="68">
        <v>1</v>
      </c>
      <c r="AJ32" s="69">
        <v>201.71927703221635</v>
      </c>
      <c r="AK32" s="69">
        <v>390.99377272923789</v>
      </c>
      <c r="AL32" s="69">
        <v>1006.0333022435507</v>
      </c>
      <c r="AM32" s="69">
        <v>337.51570129394531</v>
      </c>
      <c r="AN32" s="69">
        <v>1256.4969177246094</v>
      </c>
      <c r="AO32" s="69">
        <v>1832.7860042572024</v>
      </c>
      <c r="AP32" s="69">
        <v>467.12271986007687</v>
      </c>
      <c r="AQ32" s="69">
        <v>2324.069989267985</v>
      </c>
      <c r="AR32" s="69">
        <v>327.9416407108306</v>
      </c>
      <c r="AS32" s="69">
        <v>551.63668524424224</v>
      </c>
    </row>
    <row r="33" spans="1:45" x14ac:dyDescent="0.25">
      <c r="A33" s="11">
        <v>43004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179.38053994973473</v>
      </c>
      <c r="J33" s="60">
        <v>877.97897529602096</v>
      </c>
      <c r="K33" s="60">
        <v>45.45573024153714</v>
      </c>
      <c r="L33" s="50">
        <v>0</v>
      </c>
      <c r="M33" s="5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522.29044931200553</v>
      </c>
      <c r="V33" s="62">
        <v>0</v>
      </c>
      <c r="W33" s="62">
        <v>70.574235351880318</v>
      </c>
      <c r="X33" s="62">
        <v>0</v>
      </c>
      <c r="Y33" s="66">
        <v>610.92284138997366</v>
      </c>
      <c r="Z33" s="66">
        <v>0</v>
      </c>
      <c r="AA33" s="67">
        <v>0</v>
      </c>
      <c r="AB33" s="68">
        <v>106.55007722112899</v>
      </c>
      <c r="AC33" s="69">
        <v>0</v>
      </c>
      <c r="AD33" s="401">
        <v>20.828140374225306</v>
      </c>
      <c r="AE33" s="401">
        <v>0</v>
      </c>
      <c r="AF33" s="69">
        <v>21.221409663889165</v>
      </c>
      <c r="AG33" s="68">
        <v>20.9996821937082</v>
      </c>
      <c r="AH33" s="68">
        <v>0</v>
      </c>
      <c r="AI33" s="68">
        <v>1</v>
      </c>
      <c r="AJ33" s="69">
        <v>192.8435309410095</v>
      </c>
      <c r="AK33" s="69">
        <v>370.42005152702342</v>
      </c>
      <c r="AL33" s="69">
        <v>1113.5079149881999</v>
      </c>
      <c r="AM33" s="69">
        <v>337.51570129394531</v>
      </c>
      <c r="AN33" s="69">
        <v>1256.4969177246094</v>
      </c>
      <c r="AO33" s="69">
        <v>1812.320347086589</v>
      </c>
      <c r="AP33" s="69">
        <v>465.73014729817703</v>
      </c>
      <c r="AQ33" s="69">
        <v>2495.4058583577475</v>
      </c>
      <c r="AR33" s="69">
        <v>332.02441856066389</v>
      </c>
      <c r="AS33" s="69">
        <v>627.08224550882983</v>
      </c>
    </row>
    <row r="34" spans="1:45" x14ac:dyDescent="0.25">
      <c r="A34" s="11">
        <v>43005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179.4877240737278</v>
      </c>
      <c r="J34" s="60">
        <v>942.63576113382965</v>
      </c>
      <c r="K34" s="60">
        <v>48.317898578445124</v>
      </c>
      <c r="L34" s="50">
        <v>0</v>
      </c>
      <c r="M34" s="5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465.14247645271979</v>
      </c>
      <c r="V34" s="62">
        <v>0</v>
      </c>
      <c r="W34" s="62">
        <v>64.319557960828064</v>
      </c>
      <c r="X34" s="62">
        <v>0</v>
      </c>
      <c r="Y34" s="66">
        <v>519.37682828903235</v>
      </c>
      <c r="Z34" s="66">
        <v>0</v>
      </c>
      <c r="AA34" s="67">
        <v>0</v>
      </c>
      <c r="AB34" s="68">
        <v>106.38060259819059</v>
      </c>
      <c r="AC34" s="69">
        <v>0</v>
      </c>
      <c r="AD34" s="401">
        <v>20.75302672994237</v>
      </c>
      <c r="AE34" s="401">
        <v>0</v>
      </c>
      <c r="AF34" s="69">
        <v>20.105277216600015</v>
      </c>
      <c r="AG34" s="68">
        <v>18.360967813540025</v>
      </c>
      <c r="AH34" s="68">
        <v>0</v>
      </c>
      <c r="AI34" s="68">
        <v>1</v>
      </c>
      <c r="AJ34" s="69">
        <v>190.77814806302382</v>
      </c>
      <c r="AK34" s="69">
        <v>366.47144947051999</v>
      </c>
      <c r="AL34" s="69">
        <v>1015.0024543762207</v>
      </c>
      <c r="AM34" s="69">
        <v>337.51570129394531</v>
      </c>
      <c r="AN34" s="69">
        <v>1256.4969177246094</v>
      </c>
      <c r="AO34" s="69">
        <v>1798.5968218485514</v>
      </c>
      <c r="AP34" s="69">
        <v>479.33212448755899</v>
      </c>
      <c r="AQ34" s="69">
        <v>2241.1427287737529</v>
      </c>
      <c r="AR34" s="69">
        <v>371.04735005696608</v>
      </c>
      <c r="AS34" s="69">
        <v>596.12602233886741</v>
      </c>
    </row>
    <row r="35" spans="1:45" x14ac:dyDescent="0.25">
      <c r="A35" s="11">
        <v>43006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199.49427305857347</v>
      </c>
      <c r="J35" s="60">
        <v>1002.6054144541421</v>
      </c>
      <c r="K35" s="60">
        <v>54.914883677164426</v>
      </c>
      <c r="L35" s="50">
        <v>0</v>
      </c>
      <c r="M35" s="5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498.11812006632772</v>
      </c>
      <c r="V35" s="62">
        <v>0</v>
      </c>
      <c r="W35" s="62">
        <v>70.269960848490328</v>
      </c>
      <c r="X35" s="62">
        <v>0</v>
      </c>
      <c r="Y35" s="66">
        <v>517.09466446240788</v>
      </c>
      <c r="Z35" s="66">
        <v>0</v>
      </c>
      <c r="AA35" s="67">
        <v>0</v>
      </c>
      <c r="AB35" s="68">
        <v>106.7920510503978</v>
      </c>
      <c r="AC35" s="69">
        <v>0</v>
      </c>
      <c r="AD35" s="401">
        <v>20.647397595613405</v>
      </c>
      <c r="AE35" s="401">
        <v>0</v>
      </c>
      <c r="AF35" s="69">
        <v>20.544128395451455</v>
      </c>
      <c r="AG35" s="68">
        <v>20.264381715725424</v>
      </c>
      <c r="AH35" s="68">
        <v>0</v>
      </c>
      <c r="AI35" s="68">
        <v>1</v>
      </c>
      <c r="AJ35" s="69">
        <v>190.07635176181788</v>
      </c>
      <c r="AK35" s="69">
        <v>372.28514518737785</v>
      </c>
      <c r="AL35" s="69">
        <v>994.37309570312505</v>
      </c>
      <c r="AM35" s="69">
        <v>337.51570129394531</v>
      </c>
      <c r="AN35" s="69">
        <v>1256.4969177246094</v>
      </c>
      <c r="AO35" s="69">
        <v>1867.9583594004309</v>
      </c>
      <c r="AP35" s="69">
        <v>465.93449967702236</v>
      </c>
      <c r="AQ35" s="69">
        <v>2520.7331921895338</v>
      </c>
      <c r="AR35" s="69">
        <v>426.49492371877028</v>
      </c>
      <c r="AS35" s="69">
        <v>588.83277047475167</v>
      </c>
    </row>
    <row r="36" spans="1:45" x14ac:dyDescent="0.25">
      <c r="A36" s="11">
        <v>43007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229.35973580678268</v>
      </c>
      <c r="J36" s="60">
        <v>1106.9926170984893</v>
      </c>
      <c r="K36" s="60">
        <v>60.685063499212248</v>
      </c>
      <c r="L36" s="60">
        <v>0</v>
      </c>
      <c r="M36" s="5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497.70719905429462</v>
      </c>
      <c r="V36" s="62">
        <v>0</v>
      </c>
      <c r="W36" s="62">
        <v>73.089316980044046</v>
      </c>
      <c r="X36" s="62">
        <v>0</v>
      </c>
      <c r="Y36" s="66">
        <v>536.73691951433727</v>
      </c>
      <c r="Z36" s="66">
        <v>0</v>
      </c>
      <c r="AA36" s="67">
        <v>0</v>
      </c>
      <c r="AB36" s="68">
        <v>106.59420679940342</v>
      </c>
      <c r="AC36" s="69">
        <v>0</v>
      </c>
      <c r="AD36" s="401">
        <v>20.597202176537245</v>
      </c>
      <c r="AE36" s="401">
        <v>0</v>
      </c>
      <c r="AF36" s="69">
        <v>20.569314432806443</v>
      </c>
      <c r="AG36" s="68">
        <v>20.299279791084963</v>
      </c>
      <c r="AH36" s="68">
        <v>0</v>
      </c>
      <c r="AI36" s="68">
        <v>1</v>
      </c>
      <c r="AJ36" s="69">
        <v>185.31333720684052</v>
      </c>
      <c r="AK36" s="69">
        <v>349.68190725644422</v>
      </c>
      <c r="AL36" s="69">
        <v>1001.0206620534262</v>
      </c>
      <c r="AM36" s="69">
        <v>337.51570129394531</v>
      </c>
      <c r="AN36" s="69">
        <v>1256.4969177246094</v>
      </c>
      <c r="AO36" s="69">
        <v>1875.8767110188801</v>
      </c>
      <c r="AP36" s="69">
        <v>480.30875670115154</v>
      </c>
      <c r="AQ36" s="69">
        <v>2529.5831344604494</v>
      </c>
      <c r="AR36" s="69">
        <v>443.62141278584795</v>
      </c>
      <c r="AS36" s="69">
        <v>648.57076981862383</v>
      </c>
    </row>
    <row r="37" spans="1:45" x14ac:dyDescent="0.25">
      <c r="A37" s="11">
        <v>43008</v>
      </c>
      <c r="B37" s="65"/>
      <c r="C37" s="66">
        <v>0</v>
      </c>
      <c r="D37" s="66">
        <v>0</v>
      </c>
      <c r="E37" s="60">
        <v>0</v>
      </c>
      <c r="F37" s="66">
        <v>0</v>
      </c>
      <c r="G37" s="66">
        <v>0</v>
      </c>
      <c r="H37" s="67">
        <v>0</v>
      </c>
      <c r="I37" s="71">
        <v>236.18919250170345</v>
      </c>
      <c r="J37" s="66">
        <v>1134.4732258478805</v>
      </c>
      <c r="K37" s="66">
        <v>62.146148894230535</v>
      </c>
      <c r="L37" s="66">
        <v>0</v>
      </c>
      <c r="M37" s="66">
        <v>0</v>
      </c>
      <c r="N37" s="67">
        <v>0</v>
      </c>
      <c r="O37" s="71">
        <v>0</v>
      </c>
      <c r="P37" s="66">
        <v>0</v>
      </c>
      <c r="Q37" s="66">
        <v>0</v>
      </c>
      <c r="R37" s="391">
        <v>0</v>
      </c>
      <c r="S37" s="66">
        <v>0</v>
      </c>
      <c r="T37" s="393">
        <v>0</v>
      </c>
      <c r="U37" s="71">
        <v>514.3744932810456</v>
      </c>
      <c r="V37" s="66">
        <v>0</v>
      </c>
      <c r="W37" s="62">
        <v>80.460909652709844</v>
      </c>
      <c r="X37" s="62">
        <v>0</v>
      </c>
      <c r="Y37" s="66">
        <v>519.89589907328275</v>
      </c>
      <c r="Z37" s="66">
        <v>0</v>
      </c>
      <c r="AA37" s="67">
        <v>0</v>
      </c>
      <c r="AB37" s="68">
        <v>106.45696055624393</v>
      </c>
      <c r="AC37" s="392">
        <v>0</v>
      </c>
      <c r="AD37" s="401">
        <v>20.588439302120783</v>
      </c>
      <c r="AE37" s="401">
        <v>0</v>
      </c>
      <c r="AF37" s="392">
        <v>21.260116504298281</v>
      </c>
      <c r="AG37" s="68">
        <v>20.998679628806769</v>
      </c>
      <c r="AH37" s="68">
        <v>0</v>
      </c>
      <c r="AI37" s="68">
        <v>1</v>
      </c>
      <c r="AJ37" s="392">
        <v>181.47367395559945</v>
      </c>
      <c r="AK37" s="392">
        <v>333.35457995732634</v>
      </c>
      <c r="AL37" s="392">
        <v>946.03911800384515</v>
      </c>
      <c r="AM37" s="392">
        <v>337.51570129394531</v>
      </c>
      <c r="AN37" s="392">
        <v>1256.4969177246094</v>
      </c>
      <c r="AO37" s="392">
        <v>1784.1461455027261</v>
      </c>
      <c r="AP37" s="392">
        <v>485.29798367818194</v>
      </c>
      <c r="AQ37" s="392">
        <v>2536.4633824666334</v>
      </c>
      <c r="AR37" s="392">
        <v>449.63879658381137</v>
      </c>
      <c r="AS37" s="392">
        <v>644.25441977183016</v>
      </c>
    </row>
    <row r="38" spans="1:45" ht="15.75" thickBot="1" x14ac:dyDescent="0.3">
      <c r="A38" s="11" t="s">
        <v>223</v>
      </c>
      <c r="B38" s="383"/>
      <c r="C38" s="385"/>
      <c r="D38" s="385"/>
      <c r="E38" s="60">
        <v>0</v>
      </c>
      <c r="F38" s="385"/>
      <c r="G38" s="385"/>
      <c r="H38" s="386"/>
      <c r="I38" s="387"/>
      <c r="J38" s="385"/>
      <c r="K38" s="385"/>
      <c r="L38" s="385"/>
      <c r="M38" s="50"/>
      <c r="N38" s="386"/>
      <c r="O38" s="387"/>
      <c r="P38" s="385"/>
      <c r="Q38" s="385"/>
      <c r="R38" s="388"/>
      <c r="S38" s="385"/>
      <c r="T38" s="389"/>
      <c r="U38" s="387"/>
      <c r="V38" s="385"/>
      <c r="W38" s="384"/>
      <c r="X38" s="384"/>
      <c r="Y38" s="385"/>
      <c r="Z38" s="385"/>
      <c r="AA38" s="386"/>
      <c r="AB38" s="390"/>
      <c r="AC38" s="85"/>
      <c r="AD38" s="401"/>
      <c r="AE38" s="401"/>
      <c r="AF38" s="85"/>
      <c r="AG38" s="390"/>
      <c r="AH38" s="390"/>
      <c r="AI38" s="390"/>
      <c r="AJ38" s="85"/>
      <c r="AK38" s="85"/>
      <c r="AL38" s="85"/>
      <c r="AM38" s="85"/>
      <c r="AN38" s="85"/>
      <c r="AO38" s="85"/>
      <c r="AP38" s="85"/>
      <c r="AQ38" s="85"/>
      <c r="AR38" s="85"/>
      <c r="AS38" s="85"/>
    </row>
    <row r="39" spans="1:45" ht="15.75" thickTop="1" x14ac:dyDescent="0.25">
      <c r="A39" s="46" t="s">
        <v>173</v>
      </c>
      <c r="B39" s="29">
        <f t="shared" ref="B39:AC39" si="0">SUM(B8:B37)</f>
        <v>0</v>
      </c>
      <c r="C39" s="30">
        <f t="shared" si="0"/>
        <v>645.73513540625856</v>
      </c>
      <c r="D39" s="30">
        <f t="shared" si="0"/>
        <v>7614.5788153489402</v>
      </c>
      <c r="E39" s="30">
        <f t="shared" si="0"/>
        <v>182.790025600294</v>
      </c>
      <c r="F39" s="30">
        <f t="shared" si="0"/>
        <v>0</v>
      </c>
      <c r="G39" s="30">
        <f t="shared" si="0"/>
        <v>18713.735086186709</v>
      </c>
      <c r="H39" s="31">
        <f t="shared" si="0"/>
        <v>329.2901967386411</v>
      </c>
      <c r="I39" s="29">
        <f t="shared" si="0"/>
        <v>4767.1477065126073</v>
      </c>
      <c r="J39" s="30">
        <f t="shared" si="0"/>
        <v>31524.760429573053</v>
      </c>
      <c r="K39" s="30">
        <f t="shared" si="0"/>
        <v>1727.4300575425232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19278.607349155631</v>
      </c>
      <c r="V39" s="262">
        <f t="shared" si="0"/>
        <v>1326.0257760118163</v>
      </c>
      <c r="W39" s="262">
        <f t="shared" si="0"/>
        <v>2391.1148676316616</v>
      </c>
      <c r="X39" s="262">
        <f t="shared" si="0"/>
        <v>157.86414428147904</v>
      </c>
      <c r="Y39" s="262">
        <f t="shared" si="0"/>
        <v>25077.422261496173</v>
      </c>
      <c r="Z39" s="262">
        <f t="shared" si="0"/>
        <v>1355.2716539345195</v>
      </c>
      <c r="AA39" s="270">
        <f t="shared" si="0"/>
        <v>0</v>
      </c>
      <c r="AB39" s="273">
        <f t="shared" si="0"/>
        <v>4256.9241991255076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SUM(AJ8:AJ37)</f>
        <v>5388.1833399772631</v>
      </c>
      <c r="AK39" s="273">
        <f t="shared" si="1"/>
        <v>16363.857106192911</v>
      </c>
      <c r="AL39" s="273">
        <f t="shared" si="1"/>
        <v>47560.096652348824</v>
      </c>
      <c r="AM39" s="273">
        <f t="shared" si="1"/>
        <v>12490.32302810351</v>
      </c>
      <c r="AN39" s="273">
        <f t="shared" si="1"/>
        <v>66042.290799649563</v>
      </c>
      <c r="AO39" s="273">
        <f t="shared" si="1"/>
        <v>60881.154588699334</v>
      </c>
      <c r="AP39" s="273">
        <f t="shared" si="1"/>
        <v>16560.258646202084</v>
      </c>
      <c r="AQ39" s="273">
        <f t="shared" si="1"/>
        <v>82938.546051756537</v>
      </c>
      <c r="AR39" s="273">
        <f t="shared" si="1"/>
        <v>10644.559149328867</v>
      </c>
      <c r="AS39" s="273">
        <f t="shared" si="1"/>
        <v>22605.778565470377</v>
      </c>
    </row>
    <row r="40" spans="1:45" ht="15.75" thickBot="1" x14ac:dyDescent="0.3">
      <c r="A40" s="47" t="s">
        <v>174</v>
      </c>
      <c r="B40" s="32">
        <f>Projection!$AC$30</f>
        <v>0.82128400199999985</v>
      </c>
      <c r="C40" s="33">
        <f>Projection!$AC$28</f>
        <v>1.16246256</v>
      </c>
      <c r="D40" s="33">
        <f>Projection!$AC$31</f>
        <v>2.504502</v>
      </c>
      <c r="E40" s="33">
        <f>Projection!$AC$26</f>
        <v>3.9898560000000005</v>
      </c>
      <c r="F40" s="33">
        <f>Projection!$AC$23</f>
        <v>0</v>
      </c>
      <c r="G40" s="33">
        <f>Projection!$AC$24</f>
        <v>5.5265000000000002E-2</v>
      </c>
      <c r="H40" s="34">
        <f>Projection!$AC$29</f>
        <v>3.1332129000000002</v>
      </c>
      <c r="I40" s="32">
        <f>Projection!$AC$30</f>
        <v>0.82128400199999985</v>
      </c>
      <c r="J40" s="33">
        <f>Projection!$AC$28</f>
        <v>1.16246256</v>
      </c>
      <c r="K40" s="33">
        <f>Projection!$AC$26</f>
        <v>3.9898560000000005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4">
        <v>15.77</v>
      </c>
      <c r="P40" s="265">
        <v>15.77</v>
      </c>
      <c r="Q40" s="265">
        <v>15.77</v>
      </c>
      <c r="R40" s="265">
        <v>15.77</v>
      </c>
      <c r="S40" s="265">
        <f>Projection!$AC$28</f>
        <v>1.16246256</v>
      </c>
      <c r="T40" s="266">
        <f>Projection!$AC$28</f>
        <v>1.16246256</v>
      </c>
      <c r="U40" s="264">
        <f>Projection!$AC$27</f>
        <v>0.2321</v>
      </c>
      <c r="V40" s="265">
        <f>Projection!$AC$27</f>
        <v>0.2321</v>
      </c>
      <c r="W40" s="265">
        <f>Projection!$AC$22</f>
        <v>0.74349432000000004</v>
      </c>
      <c r="X40" s="265">
        <f>Projection!$AC$22</f>
        <v>0.74349432000000004</v>
      </c>
      <c r="Y40" s="265">
        <f>Projection!$AC$31</f>
        <v>2.504502</v>
      </c>
      <c r="Z40" s="265">
        <f>Projection!$AC$31</f>
        <v>2.504502</v>
      </c>
      <c r="AA40" s="271">
        <v>0</v>
      </c>
      <c r="AB40" s="274">
        <f>Projection!$AC$27</f>
        <v>0.2321</v>
      </c>
      <c r="AC40" s="274">
        <f>Projection!$AC$30</f>
        <v>0.82128400199999985</v>
      </c>
      <c r="AD40" s="403">
        <f>SUM(AD8:AD38)</f>
        <v>774.40516352202462</v>
      </c>
      <c r="AE40" s="403">
        <f>SUM(AE8:AE38)</f>
        <v>52.529062158625706</v>
      </c>
      <c r="AF40" s="277">
        <f>SUM(AF8:AF37)</f>
        <v>828.5358436254993</v>
      </c>
      <c r="AG40" s="277">
        <f>SUM(AG8:AG37)</f>
        <v>766.78310657379006</v>
      </c>
      <c r="AH40" s="277">
        <f>SUM(AH8:AH37)</f>
        <v>51.330220865314665</v>
      </c>
      <c r="AI40" s="277">
        <f>IF(SUM(AG40:AH40)&gt;0, AG40/(AG40+AH40),0)</f>
        <v>0.93725781118125673</v>
      </c>
      <c r="AJ40" s="313">
        <v>6.9000000000000006E-2</v>
      </c>
      <c r="AK40" s="313">
        <f t="shared" ref="AK40:AS40" si="2">$AJ$40</f>
        <v>6.9000000000000006E-2</v>
      </c>
      <c r="AL40" s="313">
        <f t="shared" si="2"/>
        <v>6.9000000000000006E-2</v>
      </c>
      <c r="AM40" s="313">
        <f t="shared" si="2"/>
        <v>6.9000000000000006E-2</v>
      </c>
      <c r="AN40" s="313">
        <f t="shared" si="2"/>
        <v>6.9000000000000006E-2</v>
      </c>
      <c r="AO40" s="313">
        <f t="shared" si="2"/>
        <v>6.9000000000000006E-2</v>
      </c>
      <c r="AP40" s="313">
        <f t="shared" si="2"/>
        <v>6.9000000000000006E-2</v>
      </c>
      <c r="AQ40" s="313">
        <f t="shared" si="2"/>
        <v>6.9000000000000006E-2</v>
      </c>
      <c r="AR40" s="313">
        <f t="shared" si="2"/>
        <v>6.9000000000000006E-2</v>
      </c>
      <c r="AS40" s="313">
        <f t="shared" si="2"/>
        <v>6.9000000000000006E-2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>C40*C39</f>
        <v>750.642918586306</v>
      </c>
      <c r="D41" s="36">
        <f t="shared" si="3"/>
        <v>19070.727872199051</v>
      </c>
      <c r="E41" s="36">
        <f t="shared" si="3"/>
        <v>729.30588038148676</v>
      </c>
      <c r="F41" s="36">
        <f t="shared" si="3"/>
        <v>0</v>
      </c>
      <c r="G41" s="36">
        <f t="shared" si="3"/>
        <v>1034.2145695381084</v>
      </c>
      <c r="H41" s="37">
        <f t="shared" si="3"/>
        <v>1031.7362922650482</v>
      </c>
      <c r="I41" s="35">
        <f t="shared" si="3"/>
        <v>3915.1821465297949</v>
      </c>
      <c r="J41" s="36">
        <f t="shared" si="3"/>
        <v>36646.353712348195</v>
      </c>
      <c r="K41" s="36">
        <f t="shared" si="3"/>
        <v>6892.197179666382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4474.5647657390218</v>
      </c>
      <c r="V41" s="268">
        <f t="shared" si="3"/>
        <v>307.77058261234259</v>
      </c>
      <c r="W41" s="268">
        <f t="shared" si="3"/>
        <v>1777.7803225516923</v>
      </c>
      <c r="X41" s="268">
        <f t="shared" si="3"/>
        <v>117.37109460494015</v>
      </c>
      <c r="Y41" s="268">
        <f t="shared" si="3"/>
        <v>62806.454208761686</v>
      </c>
      <c r="Z41" s="268">
        <f t="shared" si="3"/>
        <v>3394.2805678223117</v>
      </c>
      <c r="AA41" s="272">
        <f t="shared" si="3"/>
        <v>0</v>
      </c>
      <c r="AB41" s="275">
        <f t="shared" si="3"/>
        <v>988.03210661703031</v>
      </c>
      <c r="AC41" s="275">
        <f t="shared" si="3"/>
        <v>0</v>
      </c>
      <c r="AJ41" s="278">
        <f t="shared" ref="AJ41:AK41" si="4">AJ40*AJ39</f>
        <v>371.7846504584312</v>
      </c>
      <c r="AK41" s="278">
        <f t="shared" si="4"/>
        <v>1129.1061403273109</v>
      </c>
      <c r="AL41" s="278">
        <f t="shared" ref="AL41:AS41" si="5">AL40*AL39</f>
        <v>3281.6466690120692</v>
      </c>
      <c r="AM41" s="278">
        <f t="shared" si="5"/>
        <v>861.83228893914224</v>
      </c>
      <c r="AN41" s="278">
        <f t="shared" si="5"/>
        <v>4556.9180651758206</v>
      </c>
      <c r="AO41" s="278">
        <f t="shared" si="5"/>
        <v>4200.7996666202544</v>
      </c>
      <c r="AP41" s="278">
        <f t="shared" si="5"/>
        <v>1142.6578465879438</v>
      </c>
      <c r="AQ41" s="278">
        <f t="shared" si="5"/>
        <v>5722.7596775712018</v>
      </c>
      <c r="AR41" s="278">
        <f t="shared" si="5"/>
        <v>734.47458130369182</v>
      </c>
      <c r="AS41" s="278">
        <f t="shared" si="5"/>
        <v>1559.798721017456</v>
      </c>
    </row>
    <row r="42" spans="1:45" ht="49.5" customHeight="1" thickTop="1" thickBot="1" x14ac:dyDescent="0.3">
      <c r="A42" s="620" t="s">
        <v>232</v>
      </c>
      <c r="B42" s="621"/>
      <c r="C42" s="621"/>
      <c r="D42" s="621"/>
      <c r="E42" s="621"/>
      <c r="F42" s="621"/>
      <c r="G42" s="621"/>
      <c r="H42" s="621"/>
      <c r="I42" s="621"/>
      <c r="J42" s="621"/>
      <c r="K42" s="614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186</v>
      </c>
      <c r="AJ42" s="295">
        <v>109.88</v>
      </c>
      <c r="AK42" s="278" t="s">
        <v>199</v>
      </c>
      <c r="AL42" s="278">
        <v>65.44</v>
      </c>
      <c r="AM42" s="278">
        <v>40.33</v>
      </c>
      <c r="AN42" s="278">
        <v>40.33</v>
      </c>
      <c r="AO42" s="278">
        <v>1072.99</v>
      </c>
      <c r="AP42" s="278">
        <v>239.21</v>
      </c>
      <c r="AQ42" s="278" t="s">
        <v>199</v>
      </c>
      <c r="AR42" s="278">
        <v>44.43</v>
      </c>
      <c r="AS42" s="278">
        <v>168.48</v>
      </c>
    </row>
    <row r="43" spans="1:45" ht="38.25" customHeight="1" thickTop="1" thickBot="1" x14ac:dyDescent="0.3">
      <c r="A43" s="617" t="s">
        <v>49</v>
      </c>
      <c r="B43" s="613"/>
      <c r="C43" s="289"/>
      <c r="D43" s="613" t="s">
        <v>47</v>
      </c>
      <c r="E43" s="613"/>
      <c r="F43" s="289"/>
      <c r="G43" s="613" t="s">
        <v>48</v>
      </c>
      <c r="H43" s="613"/>
      <c r="I43" s="290"/>
      <c r="J43" s="613" t="s">
        <v>50</v>
      </c>
      <c r="K43" s="614"/>
      <c r="L43" s="44"/>
      <c r="M43" s="44"/>
      <c r="N43" s="44"/>
      <c r="O43" s="45"/>
      <c r="P43" s="45"/>
      <c r="Q43" s="45"/>
      <c r="R43" s="602" t="s">
        <v>168</v>
      </c>
      <c r="S43" s="603"/>
      <c r="T43" s="603"/>
      <c r="U43" s="604"/>
      <c r="AC43" s="45"/>
      <c r="AD43" s="45"/>
      <c r="AE43" s="45"/>
    </row>
    <row r="44" spans="1:45" ht="61.5" customHeight="1" thickTop="1" thickBot="1" x14ac:dyDescent="0.3">
      <c r="A44" s="282" t="s">
        <v>135</v>
      </c>
      <c r="B44" s="283">
        <f>SUM(B41:AC41)</f>
        <v>143936.61422022339</v>
      </c>
      <c r="C44" s="12"/>
      <c r="D44" s="282" t="s">
        <v>135</v>
      </c>
      <c r="E44" s="283">
        <f>SUM(B41:H41)+P41+R41+T41+V41+X41+Z41</f>
        <v>26436.049778009594</v>
      </c>
      <c r="F44" s="12"/>
      <c r="G44" s="282" t="s">
        <v>135</v>
      </c>
      <c r="H44" s="283">
        <f>SUM(I41:N41)+O41+Q41+S41+U41+W41+Y41</f>
        <v>116512.53233559677</v>
      </c>
      <c r="I44" s="12"/>
      <c r="J44" s="282" t="s">
        <v>200</v>
      </c>
      <c r="K44" s="283">
        <v>226612.79</v>
      </c>
      <c r="L44" s="12"/>
      <c r="M44" s="12"/>
      <c r="N44" s="12"/>
      <c r="O44" s="12"/>
      <c r="P44" s="12"/>
      <c r="Q44" s="12"/>
      <c r="R44" s="301" t="s">
        <v>135</v>
      </c>
      <c r="S44" s="302"/>
      <c r="T44" s="297" t="s">
        <v>169</v>
      </c>
      <c r="U44" s="255" t="s">
        <v>170</v>
      </c>
    </row>
    <row r="45" spans="1:45" ht="60" customHeight="1" thickBot="1" x14ac:dyDescent="0.4">
      <c r="A45" s="284" t="s">
        <v>185</v>
      </c>
      <c r="B45" s="285">
        <f>SUM(AJ41:AS41)</f>
        <v>23561.778307013323</v>
      </c>
      <c r="C45" s="374">
        <f>B45/B49</f>
        <v>28.437850321492327</v>
      </c>
      <c r="D45" s="284" t="s">
        <v>185</v>
      </c>
      <c r="E45" s="285">
        <f>AJ41*(1-$AI$40)+AK41+AL41*0.5+AN41+AO41*(1-$AI$40)+AP41*(1-$AI$40)+AQ41*(1-$AI$40)+AR41*0.5+AS41*0.5</f>
        <v>9191.6294624018192</v>
      </c>
      <c r="F45" s="24"/>
      <c r="G45" s="284" t="s">
        <v>185</v>
      </c>
      <c r="H45" s="285">
        <f>AJ41*AI40+AL41*0.5+AM41+AO41*AI40+AP41*AI40+AQ41*AI40+AR41*0.5+AS41*0.5</f>
        <v>14370.148844611504</v>
      </c>
      <c r="I45" s="12"/>
      <c r="J45" s="12"/>
      <c r="K45" s="288"/>
      <c r="L45" s="12"/>
      <c r="M45" s="12"/>
      <c r="N45" s="12"/>
      <c r="O45" s="12"/>
      <c r="P45" s="12"/>
      <c r="Q45" s="12"/>
      <c r="R45" s="299" t="s">
        <v>141</v>
      </c>
      <c r="S45" s="300"/>
      <c r="T45" s="254">
        <f>$W$39+$X$39</f>
        <v>2548.9790119131408</v>
      </c>
      <c r="U45" s="256">
        <f>(T45*8.34*0.895)/27000</f>
        <v>0.70467940883789826</v>
      </c>
    </row>
    <row r="46" spans="1:45" ht="32.25" thickBot="1" x14ac:dyDescent="0.3">
      <c r="A46" s="286" t="s">
        <v>186</v>
      </c>
      <c r="B46" s="287">
        <f>SUM(AJ42:AS42)</f>
        <v>1781.0900000000001</v>
      </c>
      <c r="C46" s="12"/>
      <c r="D46" s="286" t="s">
        <v>186</v>
      </c>
      <c r="E46" s="287">
        <f>AJ42*(1-$AI$40)+AL42*0.5+AN42+AO42*(1-$AI$40)+AP42*(1-$AI$40)+AR42*0.5+AS42*0.5</f>
        <v>268.72941187535844</v>
      </c>
      <c r="F46" s="23"/>
      <c r="G46" s="286" t="s">
        <v>186</v>
      </c>
      <c r="H46" s="287">
        <f>AJ42*AI40+AL42*0.5+AM42+AO42*AI40+AP42*AI40+AR42*0.5+AS42*0.5</f>
        <v>1512.3605881246417</v>
      </c>
      <c r="I46" s="12"/>
      <c r="J46" s="615" t="s">
        <v>201</v>
      </c>
      <c r="K46" s="616"/>
      <c r="L46" s="12"/>
      <c r="M46" s="12"/>
      <c r="N46" s="12"/>
      <c r="O46" s="12"/>
      <c r="P46" s="12"/>
      <c r="Q46" s="12"/>
      <c r="R46" s="299" t="s">
        <v>145</v>
      </c>
      <c r="S46" s="300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187</v>
      </c>
      <c r="B47" s="287">
        <f>K44</f>
        <v>226612.79</v>
      </c>
      <c r="C47" s="12"/>
      <c r="D47" s="286" t="s">
        <v>189</v>
      </c>
      <c r="E47" s="287">
        <f>K44*0.5</f>
        <v>113306.395</v>
      </c>
      <c r="F47" s="24"/>
      <c r="G47" s="286" t="s">
        <v>187</v>
      </c>
      <c r="H47" s="287">
        <f>K44*0.5</f>
        <v>113306.395</v>
      </c>
      <c r="I47" s="12"/>
      <c r="J47" s="282" t="s">
        <v>200</v>
      </c>
      <c r="K47" s="283">
        <v>46186.2</v>
      </c>
      <c r="L47" s="12"/>
      <c r="M47" s="12"/>
      <c r="N47" s="12"/>
      <c r="O47" s="12"/>
      <c r="P47" s="12"/>
      <c r="Q47" s="12"/>
      <c r="R47" s="299" t="s">
        <v>148</v>
      </c>
      <c r="S47" s="300"/>
      <c r="T47" s="254">
        <f>$G$39</f>
        <v>18713.735086186709</v>
      </c>
      <c r="U47" s="256">
        <f>T47/40000</f>
        <v>0.46784337715466773</v>
      </c>
    </row>
    <row r="48" spans="1:45" ht="24" thickBot="1" x14ac:dyDescent="0.3">
      <c r="A48" s="286" t="s">
        <v>188</v>
      </c>
      <c r="B48" s="287">
        <f>K47</f>
        <v>46186.2</v>
      </c>
      <c r="C48" s="12"/>
      <c r="D48" s="286" t="s">
        <v>188</v>
      </c>
      <c r="E48" s="287">
        <f>K47*0.5</f>
        <v>23093.1</v>
      </c>
      <c r="F48" s="23"/>
      <c r="G48" s="286" t="s">
        <v>188</v>
      </c>
      <c r="H48" s="287">
        <f>K47*0.5</f>
        <v>23093.1</v>
      </c>
      <c r="I48" s="12"/>
      <c r="J48" s="12"/>
      <c r="K48" s="86"/>
      <c r="L48" s="12"/>
      <c r="M48" s="12"/>
      <c r="N48" s="12"/>
      <c r="O48" s="12"/>
      <c r="P48" s="12"/>
      <c r="Q48" s="12"/>
      <c r="R48" s="299" t="s">
        <v>150</v>
      </c>
      <c r="S48" s="300"/>
      <c r="T48" s="254">
        <f>$L$39</f>
        <v>0</v>
      </c>
      <c r="U48" s="256">
        <f>T48*9.34*0.107</f>
        <v>0</v>
      </c>
    </row>
    <row r="49" spans="1:21" ht="46.5" customHeight="1" thickTop="1" thickBot="1" x14ac:dyDescent="0.3">
      <c r="A49" s="291" t="s">
        <v>196</v>
      </c>
      <c r="B49" s="292">
        <f>AF40</f>
        <v>828.5358436254993</v>
      </c>
      <c r="C49" s="374">
        <f>B44/B49</f>
        <v>173.72406435717605</v>
      </c>
      <c r="D49" s="291" t="s">
        <v>197</v>
      </c>
      <c r="E49" s="292">
        <f>AH40</f>
        <v>51.330220865314665</v>
      </c>
      <c r="F49" s="23"/>
      <c r="G49" s="291" t="s">
        <v>198</v>
      </c>
      <c r="H49" s="292">
        <f>AG40</f>
        <v>766.78310657379006</v>
      </c>
      <c r="I49" s="12"/>
      <c r="J49" s="12"/>
      <c r="K49" s="86"/>
      <c r="L49" s="12"/>
      <c r="M49" s="12"/>
      <c r="N49" s="12"/>
      <c r="O49" s="12"/>
      <c r="P49" s="12"/>
      <c r="Q49" s="12"/>
      <c r="R49" s="299" t="s">
        <v>152</v>
      </c>
      <c r="S49" s="300"/>
      <c r="T49" s="254">
        <f>$E$39+$K$39</f>
        <v>1910.2200831428172</v>
      </c>
      <c r="U49" s="256">
        <f>(T49*8.34*1.04)/45000</f>
        <v>0.36818855362550085</v>
      </c>
    </row>
    <row r="50" spans="1:21" ht="47.25" customHeight="1" thickTop="1" thickBot="1" x14ac:dyDescent="0.3">
      <c r="A50" s="291" t="s">
        <v>238</v>
      </c>
      <c r="B50" s="292">
        <f>SUM(E50+H50)</f>
        <v>826.93422568065034</v>
      </c>
      <c r="C50" s="374"/>
      <c r="D50" s="291" t="s">
        <v>239</v>
      </c>
      <c r="E50" s="292">
        <f>AE40</f>
        <v>52.529062158625706</v>
      </c>
      <c r="F50" s="23"/>
      <c r="G50" s="291" t="s">
        <v>240</v>
      </c>
      <c r="H50" s="292">
        <f>AD40</f>
        <v>774.40516352202462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1" ht="48" customHeight="1" thickTop="1" thickBot="1" x14ac:dyDescent="0.3">
      <c r="A51" s="291" t="s">
        <v>192</v>
      </c>
      <c r="B51" s="293">
        <f>(SUM(B44:B48)/B50)</f>
        <v>534.59931733187307</v>
      </c>
      <c r="C51" s="12"/>
      <c r="D51" s="291" t="s">
        <v>190</v>
      </c>
      <c r="E51" s="294">
        <f>SUM(E44:E48)/E50</f>
        <v>3280.0110371662968</v>
      </c>
      <c r="F51" s="375">
        <f>E44/E49</f>
        <v>515.01920958756693</v>
      </c>
      <c r="G51" s="291" t="s">
        <v>191</v>
      </c>
      <c r="H51" s="294">
        <f>SUM(H44:H48)/H50</f>
        <v>347.09806885306</v>
      </c>
      <c r="I51" s="374">
        <f>H44/H49</f>
        <v>151.94979041232227</v>
      </c>
      <c r="J51" s="12"/>
      <c r="K51" s="86"/>
      <c r="L51" s="12"/>
      <c r="M51" s="12"/>
      <c r="N51" s="12"/>
      <c r="O51" s="12"/>
      <c r="P51" s="12"/>
      <c r="Q51" s="12"/>
      <c r="R51" s="299" t="s">
        <v>153</v>
      </c>
      <c r="S51" s="300"/>
      <c r="T51" s="254">
        <f>$U$39+$V$39+$AB$39</f>
        <v>24861.557324292953</v>
      </c>
      <c r="U51" s="256">
        <f>T51/2000/8</f>
        <v>1.5538473327683096</v>
      </c>
    </row>
    <row r="52" spans="1:21" ht="48" customHeight="1" thickTop="1" thickBot="1" x14ac:dyDescent="0.3">
      <c r="A52" s="281" t="s">
        <v>193</v>
      </c>
      <c r="B52" s="294">
        <f>B51/1000</f>
        <v>0.53459931733187305</v>
      </c>
      <c r="C52" s="12"/>
      <c r="D52" s="281" t="s">
        <v>194</v>
      </c>
      <c r="E52" s="294">
        <f>E51/1000</f>
        <v>3.2800110371662967</v>
      </c>
      <c r="F52" s="12"/>
      <c r="G52" s="281" t="s">
        <v>195</v>
      </c>
      <c r="H52" s="294">
        <f>H51/1000</f>
        <v>0.34709806885305999</v>
      </c>
      <c r="I52" s="12"/>
      <c r="J52" s="12"/>
      <c r="K52" s="86"/>
      <c r="L52" s="12"/>
      <c r="M52" s="12"/>
      <c r="N52" s="12"/>
      <c r="O52" s="12"/>
      <c r="P52" s="12"/>
      <c r="Q52" s="12"/>
      <c r="R52" s="299" t="s">
        <v>154</v>
      </c>
      <c r="S52" s="300"/>
      <c r="T52" s="254">
        <f>$C$39+$J$39+$S$39+$T$39</f>
        <v>32170.495564979312</v>
      </c>
      <c r="U52" s="256">
        <f>(T52*8.34*1.4)/45000</f>
        <v>8.347171249259965</v>
      </c>
    </row>
    <row r="53" spans="1:21" ht="48" customHeight="1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299" t="s">
        <v>155</v>
      </c>
      <c r="S53" s="300"/>
      <c r="T53" s="254">
        <f>$H$39</f>
        <v>329.2901967386411</v>
      </c>
      <c r="U53" s="256">
        <f>(T53*8.34*1.135)/45000</f>
        <v>6.9267290517962279E-2</v>
      </c>
    </row>
    <row r="54" spans="1:21" ht="47.25" customHeight="1" thickTop="1" thickBot="1" x14ac:dyDescent="0.3">
      <c r="A54" s="605" t="s">
        <v>51</v>
      </c>
      <c r="B54" s="606"/>
      <c r="C54" s="606"/>
      <c r="D54" s="606"/>
      <c r="E54" s="60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299" t="s">
        <v>156</v>
      </c>
      <c r="S54" s="300"/>
      <c r="T54" s="254">
        <f>$B$39+$I$39+$AC$39</f>
        <v>4767.1477065126073</v>
      </c>
      <c r="U54" s="256">
        <f>(T54*8.34*1.029*0.03)/3300</f>
        <v>0.37191812924192985</v>
      </c>
    </row>
    <row r="55" spans="1:21" ht="78.75" customHeight="1" thickBot="1" x14ac:dyDescent="0.3">
      <c r="A55" s="610" t="s">
        <v>202</v>
      </c>
      <c r="B55" s="611"/>
      <c r="C55" s="611"/>
      <c r="D55" s="611"/>
      <c r="E55" s="61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18" t="s">
        <v>158</v>
      </c>
      <c r="S55" s="619"/>
      <c r="T55" s="258">
        <f>$D$39+$Y$39+$Z$39</f>
        <v>34047.27273077963</v>
      </c>
      <c r="U55" s="259">
        <f>(T55*1.54*8.34)/45000</f>
        <v>9.7175456010009178</v>
      </c>
    </row>
    <row r="56" spans="1:21" ht="71.25" customHeight="1" thickTop="1" x14ac:dyDescent="0.25">
      <c r="A56" s="304"/>
      <c r="B56" s="304"/>
      <c r="C56" s="304"/>
      <c r="D56" s="304"/>
      <c r="E56" s="304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21" ht="94.5" customHeight="1" x14ac:dyDescent="0.25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21" ht="46.5" customHeight="1" x14ac:dyDescent="0.25">
      <c r="A58" s="651"/>
      <c r="B58" s="652"/>
      <c r="C58" s="652"/>
      <c r="D58" s="652"/>
      <c r="E58" s="65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21" ht="18.75" x14ac:dyDescent="0.25">
      <c r="A59" s="651"/>
      <c r="B59" s="652"/>
      <c r="C59" s="652"/>
      <c r="D59" s="652"/>
      <c r="E59" s="65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21" ht="15" customHeight="1" x14ac:dyDescent="0.25">
      <c r="A60" s="279"/>
      <c r="B60" s="28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21" x14ac:dyDescent="0.25">
      <c r="A61" s="280"/>
      <c r="B61" s="280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21" ht="15" customHeight="1" x14ac:dyDescent="0.25">
      <c r="A62" s="279"/>
      <c r="B62" s="280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21" x14ac:dyDescent="0.25">
      <c r="A63" s="280"/>
      <c r="B63" s="280"/>
      <c r="C63" s="12"/>
      <c r="D63" s="12"/>
      <c r="E63" s="12"/>
      <c r="F63" s="12"/>
      <c r="G63" s="12"/>
      <c r="H63" s="12"/>
      <c r="I63" s="12"/>
      <c r="J63" s="12"/>
      <c r="K63" s="12"/>
    </row>
    <row r="64" spans="1:21" x14ac:dyDescent="0.25">
      <c r="A64" s="12"/>
      <c r="B64" s="12"/>
      <c r="C64" s="12"/>
      <c r="D64" s="12"/>
      <c r="E64" s="12"/>
      <c r="F64" s="12"/>
      <c r="G64" s="12"/>
    </row>
    <row r="65" spans="1:25" x14ac:dyDescent="0.25">
      <c r="A65" s="12"/>
      <c r="B65" s="12"/>
      <c r="C65" s="12"/>
      <c r="D65" s="12"/>
      <c r="E65" s="12"/>
      <c r="F65" s="12"/>
      <c r="G65" s="12"/>
    </row>
    <row r="66" spans="1:25" x14ac:dyDescent="0.25">
      <c r="A66" s="12"/>
      <c r="B66" s="12"/>
      <c r="C66" s="12"/>
      <c r="D66" s="12"/>
      <c r="E66" s="12"/>
      <c r="F66" s="12"/>
      <c r="G66" s="12"/>
    </row>
    <row r="68" spans="1:25" x14ac:dyDescent="0.25">
      <c r="A68" s="45"/>
      <c r="B68" s="45"/>
      <c r="C68" s="45"/>
      <c r="D68" s="45"/>
      <c r="E68" s="45"/>
      <c r="F68" s="45"/>
      <c r="G68" s="45"/>
      <c r="H68" s="45"/>
    </row>
    <row r="69" spans="1:25" x14ac:dyDescent="0.25">
      <c r="A69" s="12"/>
      <c r="B69" s="12"/>
      <c r="S69" s="12"/>
      <c r="T69" s="12"/>
      <c r="U69" s="12"/>
      <c r="V69" s="12"/>
      <c r="W69" s="12"/>
      <c r="X69" s="12"/>
      <c r="Y69" s="12"/>
    </row>
    <row r="70" spans="1:25" x14ac:dyDescent="0.25">
      <c r="A70" s="12"/>
      <c r="B70" s="12"/>
      <c r="S70" s="12"/>
      <c r="T70" s="12"/>
      <c r="U70" s="12"/>
      <c r="V70" s="12"/>
      <c r="W70" s="12"/>
      <c r="X70" s="12"/>
      <c r="Y70" s="12"/>
    </row>
    <row r="71" spans="1:25" ht="93" customHeight="1" x14ac:dyDescent="0.25">
      <c r="A71" s="12"/>
      <c r="B71" s="12"/>
      <c r="S71" s="12"/>
      <c r="T71" s="12"/>
      <c r="U71" s="12"/>
      <c r="V71" s="12"/>
      <c r="W71" s="12"/>
      <c r="X71" s="12"/>
      <c r="Y71" s="12"/>
    </row>
    <row r="72" spans="1:25" ht="75" customHeight="1" x14ac:dyDescent="0.25">
      <c r="A72" s="12"/>
      <c r="B72" s="12"/>
    </row>
    <row r="73" spans="1:25" ht="51.75" customHeight="1" x14ac:dyDescent="0.25">
      <c r="A73" s="12"/>
      <c r="B73" s="12"/>
    </row>
    <row r="74" spans="1:25" x14ac:dyDescent="0.25">
      <c r="A74" s="12"/>
      <c r="B74" s="12"/>
      <c r="C74" s="12"/>
      <c r="D74" s="12"/>
    </row>
    <row r="75" spans="1:25" x14ac:dyDescent="0.25">
      <c r="A75" s="12"/>
      <c r="B75" s="12"/>
      <c r="C75" s="12"/>
      <c r="D75" s="12"/>
      <c r="E75" s="12"/>
    </row>
    <row r="76" spans="1:25" x14ac:dyDescent="0.25">
      <c r="A76" s="12"/>
      <c r="B76" s="12"/>
      <c r="C76" s="12"/>
      <c r="D76" s="12"/>
      <c r="E76" s="12"/>
    </row>
  </sheetData>
  <sheetProtection algorithmName="SHA-512" hashValue="SAnxfIm44l8hTwTWmxObpb5NYLL72lPcwJl+N1sVnO8haycOedVbCYgW8/OY4SknesVkeNNncKgkdq1R0RuxbA==" saltValue="8gGPEnnhtrip90PqBHz5QA==" spinCount="100000" sheet="1" objects="1" scenarios="1" selectLockedCells="1" selectUnlockedCells="1"/>
  <mergeCells count="34">
    <mergeCell ref="AO4:AO5"/>
    <mergeCell ref="AP4:AP5"/>
    <mergeCell ref="AQ4:AQ5"/>
    <mergeCell ref="AR4:AR5"/>
    <mergeCell ref="AS4:AS5"/>
    <mergeCell ref="AJ4:AJ5"/>
    <mergeCell ref="AK4:AK5"/>
    <mergeCell ref="AL4:AL5"/>
    <mergeCell ref="AM4:AM5"/>
    <mergeCell ref="AN4:AN5"/>
    <mergeCell ref="AG4:AG5"/>
    <mergeCell ref="AH4:AH5"/>
    <mergeCell ref="AI4:AI5"/>
    <mergeCell ref="O4:T5"/>
    <mergeCell ref="U4:AA5"/>
    <mergeCell ref="AB4:AB5"/>
    <mergeCell ref="AC4:AC5"/>
    <mergeCell ref="AD4:AD5"/>
    <mergeCell ref="AE4:AE5"/>
    <mergeCell ref="B4:H5"/>
    <mergeCell ref="I4:N5"/>
    <mergeCell ref="J43:K43"/>
    <mergeCell ref="A42:K42"/>
    <mergeCell ref="AF4:AF5"/>
    <mergeCell ref="R43:U43"/>
    <mergeCell ref="A43:B43"/>
    <mergeCell ref="D43:E43"/>
    <mergeCell ref="G43:H43"/>
    <mergeCell ref="R55:S55"/>
    <mergeCell ref="A55:E55"/>
    <mergeCell ref="A58:E58"/>
    <mergeCell ref="A59:E59"/>
    <mergeCell ref="J46:K46"/>
    <mergeCell ref="A54:E54"/>
  </mergeCells>
  <printOptions horizontalCentered="1"/>
  <pageMargins left="0.33" right="0.19" top="0.75" bottom="0.75" header="0.3" footer="0.3"/>
  <pageSetup paperSize="17" scale="67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67"/>
  <sheetViews>
    <sheetView topLeftCell="A46" zoomScale="75" zoomScaleNormal="75" workbookViewId="0">
      <selection activeCell="K49" sqref="K49"/>
    </sheetView>
  </sheetViews>
  <sheetFormatPr defaultRowHeight="15" x14ac:dyDescent="0.25"/>
  <cols>
    <col min="1" max="1" width="38.7109375" customWidth="1"/>
    <col min="2" max="2" width="19.28515625" bestFit="1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22.5703125" bestFit="1" customWidth="1"/>
    <col min="9" max="9" width="23.140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4.140625" bestFit="1" customWidth="1"/>
    <col min="22" max="22" width="12.42578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6" width="20.42578125" customWidth="1"/>
    <col min="47" max="47" width="20.285156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171</v>
      </c>
      <c r="BC3" s="260" t="s">
        <v>208</v>
      </c>
    </row>
    <row r="4" spans="1:55" ht="30" customHeight="1" thickTop="1" x14ac:dyDescent="0.25">
      <c r="A4" s="13"/>
      <c r="B4" s="623" t="s">
        <v>3</v>
      </c>
      <c r="C4" s="624"/>
      <c r="D4" s="624"/>
      <c r="E4" s="624"/>
      <c r="F4" s="624"/>
      <c r="G4" s="624"/>
      <c r="H4" s="625"/>
      <c r="I4" s="623" t="s">
        <v>4</v>
      </c>
      <c r="J4" s="624"/>
      <c r="K4" s="624"/>
      <c r="L4" s="624"/>
      <c r="M4" s="624"/>
      <c r="N4" s="625"/>
      <c r="O4" s="629" t="s">
        <v>5</v>
      </c>
      <c r="P4" s="630"/>
      <c r="Q4" s="631"/>
      <c r="R4" s="631"/>
      <c r="S4" s="631"/>
      <c r="T4" s="632"/>
      <c r="U4" s="623" t="s">
        <v>6</v>
      </c>
      <c r="V4" s="636"/>
      <c r="W4" s="636"/>
      <c r="X4" s="636"/>
      <c r="Y4" s="636"/>
      <c r="Z4" s="636"/>
      <c r="AA4" s="637"/>
      <c r="AB4" s="641" t="s">
        <v>7</v>
      </c>
      <c r="AC4" s="643" t="s">
        <v>8</v>
      </c>
      <c r="AD4" s="608" t="s">
        <v>237</v>
      </c>
      <c r="AE4" s="608" t="s">
        <v>236</v>
      </c>
      <c r="AF4" s="608" t="s">
        <v>27</v>
      </c>
      <c r="AG4" s="608" t="s">
        <v>31</v>
      </c>
      <c r="AH4" s="608" t="s">
        <v>32</v>
      </c>
      <c r="AI4" s="608" t="s">
        <v>33</v>
      </c>
      <c r="AJ4" s="641" t="s">
        <v>175</v>
      </c>
      <c r="AK4" s="641" t="s">
        <v>176</v>
      </c>
      <c r="AL4" s="641" t="s">
        <v>177</v>
      </c>
      <c r="AM4" s="641" t="s">
        <v>178</v>
      </c>
      <c r="AN4" s="641" t="s">
        <v>179</v>
      </c>
      <c r="AO4" s="641" t="s">
        <v>180</v>
      </c>
      <c r="AP4" s="641" t="s">
        <v>181</v>
      </c>
      <c r="AQ4" s="641" t="s">
        <v>184</v>
      </c>
      <c r="AR4" s="641" t="s">
        <v>182</v>
      </c>
      <c r="AS4" s="641" t="s">
        <v>183</v>
      </c>
    </row>
    <row r="5" spans="1:55" ht="30" customHeight="1" thickBot="1" x14ac:dyDescent="0.3">
      <c r="A5" s="13"/>
      <c r="B5" s="626"/>
      <c r="C5" s="627"/>
      <c r="D5" s="627"/>
      <c r="E5" s="627"/>
      <c r="F5" s="627"/>
      <c r="G5" s="627"/>
      <c r="H5" s="628"/>
      <c r="I5" s="626"/>
      <c r="J5" s="627"/>
      <c r="K5" s="627"/>
      <c r="L5" s="627"/>
      <c r="M5" s="627"/>
      <c r="N5" s="628"/>
      <c r="O5" s="633"/>
      <c r="P5" s="634"/>
      <c r="Q5" s="634"/>
      <c r="R5" s="634"/>
      <c r="S5" s="634"/>
      <c r="T5" s="635"/>
      <c r="U5" s="638"/>
      <c r="V5" s="639"/>
      <c r="W5" s="639"/>
      <c r="X5" s="639"/>
      <c r="Y5" s="639"/>
      <c r="Z5" s="639"/>
      <c r="AA5" s="640"/>
      <c r="AB5" s="642"/>
      <c r="AC5" s="644"/>
      <c r="AD5" s="609"/>
      <c r="AE5" s="609"/>
      <c r="AF5" s="622"/>
      <c r="AG5" s="622"/>
      <c r="AH5" s="622"/>
      <c r="AI5" s="622"/>
      <c r="AJ5" s="609"/>
      <c r="AK5" s="609"/>
      <c r="AL5" s="609"/>
      <c r="AM5" s="609"/>
      <c r="AN5" s="609"/>
      <c r="AO5" s="609"/>
      <c r="AP5" s="609"/>
      <c r="AQ5" s="609"/>
      <c r="AR5" s="609"/>
      <c r="AS5" s="609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399" t="s">
        <v>28</v>
      </c>
      <c r="AE7" s="399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  <c r="AR7" s="22" t="s">
        <v>172</v>
      </c>
      <c r="AS7" s="22" t="s">
        <v>172</v>
      </c>
    </row>
    <row r="8" spans="1:55" x14ac:dyDescent="0.25">
      <c r="A8" s="11">
        <v>43009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235.71876093546518</v>
      </c>
      <c r="J8" s="50">
        <v>1133.6496953964238</v>
      </c>
      <c r="K8" s="50">
        <v>62.117148284117377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514.44913308885646</v>
      </c>
      <c r="V8" s="54">
        <v>0</v>
      </c>
      <c r="W8" s="54">
        <v>75.935374752680417</v>
      </c>
      <c r="X8" s="54">
        <v>0</v>
      </c>
      <c r="Y8" s="54">
        <v>490.081004079183</v>
      </c>
      <c r="Z8" s="54">
        <v>0</v>
      </c>
      <c r="AA8" s="55">
        <v>0</v>
      </c>
      <c r="AB8" s="56">
        <v>106.35845226182003</v>
      </c>
      <c r="AC8" s="57">
        <v>0</v>
      </c>
      <c r="AD8" s="400">
        <v>20.569501375968258</v>
      </c>
      <c r="AE8" s="400">
        <v>0</v>
      </c>
      <c r="AF8" s="57">
        <v>21.258544492721569</v>
      </c>
      <c r="AG8" s="58">
        <v>20.998748760480414</v>
      </c>
      <c r="AH8" s="58">
        <v>0</v>
      </c>
      <c r="AI8" s="58">
        <v>1</v>
      </c>
      <c r="AJ8" s="57">
        <v>179.75205403168997</v>
      </c>
      <c r="AK8" s="57">
        <v>328.93710703849791</v>
      </c>
      <c r="AL8" s="57">
        <v>1054.9498674392701</v>
      </c>
      <c r="AM8" s="57">
        <v>337.51570129394531</v>
      </c>
      <c r="AN8" s="57">
        <v>1256.4969177246094</v>
      </c>
      <c r="AO8" s="57">
        <v>1806.1957974751788</v>
      </c>
      <c r="AP8" s="57">
        <v>489.60569138526915</v>
      </c>
      <c r="AQ8" s="57">
        <v>2537.6352909088127</v>
      </c>
      <c r="AR8" s="57">
        <v>462.88694820404055</v>
      </c>
      <c r="AS8" s="57">
        <v>622.61869608561199</v>
      </c>
    </row>
    <row r="9" spans="1:55" x14ac:dyDescent="0.25">
      <c r="A9" s="11">
        <v>43010</v>
      </c>
      <c r="B9" s="59"/>
      <c r="C9" s="60">
        <v>0</v>
      </c>
      <c r="D9" s="60">
        <v>0</v>
      </c>
      <c r="E9" s="50">
        <v>0</v>
      </c>
      <c r="F9" s="60">
        <v>0</v>
      </c>
      <c r="G9" s="60">
        <v>0</v>
      </c>
      <c r="H9" s="61">
        <v>0</v>
      </c>
      <c r="I9" s="59">
        <v>235.74709917704226</v>
      </c>
      <c r="J9" s="60">
        <v>1133.2003283182778</v>
      </c>
      <c r="K9" s="60">
        <v>62.151364159584048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513.92237343257898</v>
      </c>
      <c r="V9" s="62">
        <v>0</v>
      </c>
      <c r="W9" s="62">
        <v>75.513608721892012</v>
      </c>
      <c r="X9" s="62">
        <v>0</v>
      </c>
      <c r="Y9" s="66">
        <v>477.70937208334595</v>
      </c>
      <c r="Z9" s="66">
        <v>0</v>
      </c>
      <c r="AA9" s="67">
        <v>0</v>
      </c>
      <c r="AB9" s="68">
        <v>106.55018889639177</v>
      </c>
      <c r="AC9" s="69">
        <v>0</v>
      </c>
      <c r="AD9" s="401">
        <v>20.562635903271449</v>
      </c>
      <c r="AE9" s="401">
        <v>0</v>
      </c>
      <c r="AF9" s="69">
        <v>21.268597600195164</v>
      </c>
      <c r="AG9" s="68">
        <v>20.999884643893253</v>
      </c>
      <c r="AH9" s="68">
        <v>0</v>
      </c>
      <c r="AI9" s="68">
        <v>1</v>
      </c>
      <c r="AJ9" s="69">
        <v>196.98309104442598</v>
      </c>
      <c r="AK9" s="69">
        <v>375.17830430666612</v>
      </c>
      <c r="AL9" s="69">
        <v>965.46105143229181</v>
      </c>
      <c r="AM9" s="69">
        <v>337.51570129394531</v>
      </c>
      <c r="AN9" s="69">
        <v>1256.4969177246094</v>
      </c>
      <c r="AO9" s="69">
        <v>1773.7922290802003</v>
      </c>
      <c r="AP9" s="69">
        <v>466.33110407193504</v>
      </c>
      <c r="AQ9" s="69">
        <v>2517.3950745900474</v>
      </c>
      <c r="AR9" s="69">
        <v>464.55931908289585</v>
      </c>
      <c r="AS9" s="69">
        <v>568.56892585754395</v>
      </c>
    </row>
    <row r="10" spans="1:55" x14ac:dyDescent="0.25">
      <c r="A10" s="11">
        <v>43011</v>
      </c>
      <c r="B10" s="59"/>
      <c r="C10" s="60">
        <v>0</v>
      </c>
      <c r="D10" s="60">
        <v>0</v>
      </c>
      <c r="E10" s="50">
        <v>0</v>
      </c>
      <c r="F10" s="60">
        <v>0</v>
      </c>
      <c r="G10" s="60">
        <v>0</v>
      </c>
      <c r="H10" s="61">
        <v>0</v>
      </c>
      <c r="I10" s="59">
        <v>235.8501736005141</v>
      </c>
      <c r="J10" s="60">
        <v>1133.5999550501485</v>
      </c>
      <c r="K10" s="60">
        <v>62.153727312882751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513.24888771904614</v>
      </c>
      <c r="V10" s="62">
        <v>0</v>
      </c>
      <c r="W10" s="62">
        <v>75.562908780574858</v>
      </c>
      <c r="X10" s="62">
        <v>0</v>
      </c>
      <c r="Y10" s="66">
        <v>478.2937966664627</v>
      </c>
      <c r="Z10" s="66">
        <v>0</v>
      </c>
      <c r="AA10" s="67">
        <v>0</v>
      </c>
      <c r="AB10" s="68">
        <v>99.041056797240174</v>
      </c>
      <c r="AC10" s="69">
        <v>0</v>
      </c>
      <c r="AD10" s="401">
        <v>20.568001982379105</v>
      </c>
      <c r="AE10" s="401">
        <v>0</v>
      </c>
      <c r="AF10" s="69">
        <v>21.266400310728315</v>
      </c>
      <c r="AG10" s="68">
        <v>20.998261850935521</v>
      </c>
      <c r="AH10" s="68">
        <v>0</v>
      </c>
      <c r="AI10" s="68">
        <v>1</v>
      </c>
      <c r="AJ10" s="69">
        <v>201.6257975180944</v>
      </c>
      <c r="AK10" s="69">
        <v>388.97064857482911</v>
      </c>
      <c r="AL10" s="69">
        <v>1036.7234133402505</v>
      </c>
      <c r="AM10" s="69">
        <v>337.51570129394531</v>
      </c>
      <c r="AN10" s="69">
        <v>1256.4969177246094</v>
      </c>
      <c r="AO10" s="69">
        <v>1684.0444861094156</v>
      </c>
      <c r="AP10" s="69">
        <v>497.56185245513922</v>
      </c>
      <c r="AQ10" s="69">
        <v>2526.0104476928709</v>
      </c>
      <c r="AR10" s="69">
        <v>466.14131987889601</v>
      </c>
      <c r="AS10" s="69">
        <v>600.6709098815918</v>
      </c>
    </row>
    <row r="11" spans="1:55" x14ac:dyDescent="0.25">
      <c r="A11" s="11">
        <v>43012</v>
      </c>
      <c r="B11" s="59"/>
      <c r="C11" s="60">
        <v>0</v>
      </c>
      <c r="D11" s="60">
        <v>0</v>
      </c>
      <c r="E11" s="50">
        <v>0</v>
      </c>
      <c r="F11" s="60">
        <v>0</v>
      </c>
      <c r="G11" s="60">
        <v>0</v>
      </c>
      <c r="H11" s="61">
        <v>0</v>
      </c>
      <c r="I11" s="59">
        <v>235.86434280077574</v>
      </c>
      <c r="J11" s="60">
        <v>1132.7301973978672</v>
      </c>
      <c r="K11" s="60">
        <v>62.169615401824252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517.31980183919518</v>
      </c>
      <c r="V11" s="62">
        <v>0</v>
      </c>
      <c r="W11" s="62">
        <v>75.863464665412806</v>
      </c>
      <c r="X11" s="62">
        <v>0</v>
      </c>
      <c r="Y11" s="66">
        <v>467.20845308303808</v>
      </c>
      <c r="Z11" s="66">
        <v>0</v>
      </c>
      <c r="AA11" s="67">
        <v>0</v>
      </c>
      <c r="AB11" s="68">
        <v>88.790618795817537</v>
      </c>
      <c r="AC11" s="69">
        <v>0</v>
      </c>
      <c r="AD11" s="401">
        <v>20.56464061054632</v>
      </c>
      <c r="AE11" s="401">
        <v>0</v>
      </c>
      <c r="AF11" s="69">
        <v>21.262393083837253</v>
      </c>
      <c r="AG11" s="68">
        <v>20.998574205421715</v>
      </c>
      <c r="AH11" s="68">
        <v>0</v>
      </c>
      <c r="AI11" s="68">
        <v>1</v>
      </c>
      <c r="AJ11" s="69">
        <v>183.3690214077632</v>
      </c>
      <c r="AK11" s="69">
        <v>340.97964769999192</v>
      </c>
      <c r="AL11" s="69">
        <v>1030.3688927968342</v>
      </c>
      <c r="AM11" s="69">
        <v>337.51570129394531</v>
      </c>
      <c r="AN11" s="69">
        <v>1256.4969177246094</v>
      </c>
      <c r="AO11" s="69">
        <v>1843.4575253804528</v>
      </c>
      <c r="AP11" s="69">
        <v>519.37841760317474</v>
      </c>
      <c r="AQ11" s="69">
        <v>2521.4936450958248</v>
      </c>
      <c r="AR11" s="69">
        <v>462.32728818257652</v>
      </c>
      <c r="AS11" s="69">
        <v>699.95930585861197</v>
      </c>
    </row>
    <row r="12" spans="1:55" x14ac:dyDescent="0.25">
      <c r="A12" s="11">
        <v>43013</v>
      </c>
      <c r="B12" s="59"/>
      <c r="C12" s="60">
        <v>0</v>
      </c>
      <c r="D12" s="60">
        <v>0</v>
      </c>
      <c r="E12" s="50">
        <v>0</v>
      </c>
      <c r="F12" s="60">
        <v>0</v>
      </c>
      <c r="G12" s="60">
        <v>0</v>
      </c>
      <c r="H12" s="61">
        <v>0</v>
      </c>
      <c r="I12" s="59">
        <v>235.40602688789338</v>
      </c>
      <c r="J12" s="60">
        <v>1132.5275175094605</v>
      </c>
      <c r="K12" s="60">
        <v>62.169292535384464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521.1342358695108</v>
      </c>
      <c r="V12" s="62">
        <v>0</v>
      </c>
      <c r="W12" s="62">
        <v>72.930745915571848</v>
      </c>
      <c r="X12" s="62">
        <v>0</v>
      </c>
      <c r="Y12" s="66">
        <v>449.33423484166548</v>
      </c>
      <c r="Z12" s="66">
        <v>0</v>
      </c>
      <c r="AA12" s="67">
        <v>0</v>
      </c>
      <c r="AB12" s="68">
        <v>88.697672632004597</v>
      </c>
      <c r="AC12" s="69">
        <v>0</v>
      </c>
      <c r="AD12" s="401">
        <v>20.55364805057636</v>
      </c>
      <c r="AE12" s="401">
        <v>0</v>
      </c>
      <c r="AF12" s="69">
        <v>21.085844205485419</v>
      </c>
      <c r="AG12" s="68">
        <v>20.818411288619377</v>
      </c>
      <c r="AH12" s="68">
        <v>0</v>
      </c>
      <c r="AI12" s="68">
        <v>1</v>
      </c>
      <c r="AJ12" s="69">
        <v>179.60797696113588</v>
      </c>
      <c r="AK12" s="69">
        <v>327.78156936963398</v>
      </c>
      <c r="AL12" s="69">
        <v>1026.3768033981323</v>
      </c>
      <c r="AM12" s="69">
        <v>337.51570129394531</v>
      </c>
      <c r="AN12" s="69">
        <v>1256.4969177246094</v>
      </c>
      <c r="AO12" s="69">
        <v>1853.7329424540203</v>
      </c>
      <c r="AP12" s="69">
        <v>483.05241894721979</v>
      </c>
      <c r="AQ12" s="69">
        <v>2530.3138058980308</v>
      </c>
      <c r="AR12" s="69">
        <v>461.23837906519572</v>
      </c>
      <c r="AS12" s="69">
        <v>640.54816745122287</v>
      </c>
    </row>
    <row r="13" spans="1:55" x14ac:dyDescent="0.25">
      <c r="A13" s="11">
        <v>43014</v>
      </c>
      <c r="B13" s="59"/>
      <c r="C13" s="60">
        <v>0</v>
      </c>
      <c r="D13" s="60">
        <v>0</v>
      </c>
      <c r="E13" s="50">
        <v>0</v>
      </c>
      <c r="F13" s="60">
        <v>0</v>
      </c>
      <c r="G13" s="60">
        <v>0</v>
      </c>
      <c r="H13" s="61">
        <v>0</v>
      </c>
      <c r="I13" s="59">
        <v>235.27940802574122</v>
      </c>
      <c r="J13" s="60">
        <v>1131.9474140167245</v>
      </c>
      <c r="K13" s="60">
        <v>62.112825324137972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527.47475340101221</v>
      </c>
      <c r="V13" s="62">
        <v>0</v>
      </c>
      <c r="W13" s="62">
        <v>72.619309329986436</v>
      </c>
      <c r="X13" s="62">
        <v>0</v>
      </c>
      <c r="Y13" s="66">
        <v>444.46871685981768</v>
      </c>
      <c r="Z13" s="66">
        <v>0</v>
      </c>
      <c r="AA13" s="67">
        <v>0</v>
      </c>
      <c r="AB13" s="68">
        <v>88.596573834949666</v>
      </c>
      <c r="AC13" s="69">
        <v>0</v>
      </c>
      <c r="AD13" s="401">
        <v>20.540908508854734</v>
      </c>
      <c r="AE13" s="401">
        <v>0</v>
      </c>
      <c r="AF13" s="69">
        <v>20.753871136903761</v>
      </c>
      <c r="AG13" s="68">
        <v>20.493272468092108</v>
      </c>
      <c r="AH13" s="68">
        <v>0</v>
      </c>
      <c r="AI13" s="68">
        <v>1</v>
      </c>
      <c r="AJ13" s="69">
        <v>182.53277068138121</v>
      </c>
      <c r="AK13" s="69">
        <v>330.89353669484461</v>
      </c>
      <c r="AL13" s="69">
        <v>1010.4698782602945</v>
      </c>
      <c r="AM13" s="69">
        <v>337.51570129394531</v>
      </c>
      <c r="AN13" s="69">
        <v>1256.4969177246094</v>
      </c>
      <c r="AO13" s="69">
        <v>1864.5175231933597</v>
      </c>
      <c r="AP13" s="69">
        <v>459.32773971557617</v>
      </c>
      <c r="AQ13" s="69">
        <v>2504.4606307347608</v>
      </c>
      <c r="AR13" s="69">
        <v>443.89986852010088</v>
      </c>
      <c r="AS13" s="69">
        <v>597.17524627049761</v>
      </c>
    </row>
    <row r="14" spans="1:55" x14ac:dyDescent="0.25">
      <c r="A14" s="11">
        <v>43015</v>
      </c>
      <c r="B14" s="59"/>
      <c r="C14" s="60">
        <v>0</v>
      </c>
      <c r="D14" s="60">
        <v>0</v>
      </c>
      <c r="E14" s="50">
        <v>0</v>
      </c>
      <c r="F14" s="60">
        <v>0</v>
      </c>
      <c r="G14" s="60">
        <v>0</v>
      </c>
      <c r="H14" s="61">
        <v>0</v>
      </c>
      <c r="I14" s="59">
        <v>235.07454115549677</v>
      </c>
      <c r="J14" s="60">
        <v>1131.5760824203492</v>
      </c>
      <c r="K14" s="60">
        <v>62.118550560871711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533.80228432549325</v>
      </c>
      <c r="V14" s="62">
        <v>0</v>
      </c>
      <c r="W14" s="62">
        <v>76.2748410383861</v>
      </c>
      <c r="X14" s="62">
        <v>0</v>
      </c>
      <c r="Y14" s="66">
        <v>450.60011315345668</v>
      </c>
      <c r="Z14" s="66">
        <v>0</v>
      </c>
      <c r="AA14" s="67">
        <v>0</v>
      </c>
      <c r="AB14" s="68">
        <v>88.592878352272109</v>
      </c>
      <c r="AC14" s="69">
        <v>0</v>
      </c>
      <c r="AD14" s="401">
        <v>20.539228701107817</v>
      </c>
      <c r="AE14" s="401">
        <v>0</v>
      </c>
      <c r="AF14" s="69">
        <v>21.001945551898739</v>
      </c>
      <c r="AG14" s="68">
        <v>20.727590212459781</v>
      </c>
      <c r="AH14" s="68">
        <v>0</v>
      </c>
      <c r="AI14" s="68">
        <v>1</v>
      </c>
      <c r="AJ14" s="69">
        <v>184.19932951927183</v>
      </c>
      <c r="AK14" s="69">
        <v>342.38929483095808</v>
      </c>
      <c r="AL14" s="69">
        <v>1043.3041809082029</v>
      </c>
      <c r="AM14" s="69">
        <v>346.0894563039144</v>
      </c>
      <c r="AN14" s="69">
        <v>1346.3908344268798</v>
      </c>
      <c r="AO14" s="69">
        <v>1795.0754819234212</v>
      </c>
      <c r="AP14" s="69">
        <v>479.15464558601377</v>
      </c>
      <c r="AQ14" s="69">
        <v>2532.479991531372</v>
      </c>
      <c r="AR14" s="69">
        <v>448.49462273915606</v>
      </c>
      <c r="AS14" s="69">
        <v>673.82212073008225</v>
      </c>
    </row>
    <row r="15" spans="1:55" x14ac:dyDescent="0.25">
      <c r="A15" s="11">
        <v>43016</v>
      </c>
      <c r="B15" s="59"/>
      <c r="C15" s="60">
        <v>0</v>
      </c>
      <c r="D15" s="60">
        <v>0</v>
      </c>
      <c r="E15" s="50">
        <v>0</v>
      </c>
      <c r="F15" s="60">
        <v>0</v>
      </c>
      <c r="G15" s="60">
        <v>0</v>
      </c>
      <c r="H15" s="61">
        <v>0</v>
      </c>
      <c r="I15" s="59">
        <v>235.21995205879168</v>
      </c>
      <c r="J15" s="60">
        <v>1131.8782455444332</v>
      </c>
      <c r="K15" s="60">
        <v>62.164755034446728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534.37107291751283</v>
      </c>
      <c r="V15" s="62">
        <v>0</v>
      </c>
      <c r="W15" s="62">
        <v>77.320428649584485</v>
      </c>
      <c r="X15" s="62">
        <v>0</v>
      </c>
      <c r="Y15" s="66">
        <v>450.45887351036112</v>
      </c>
      <c r="Z15" s="66">
        <v>0</v>
      </c>
      <c r="AA15" s="67">
        <v>0</v>
      </c>
      <c r="AB15" s="68">
        <v>88.570426691903677</v>
      </c>
      <c r="AC15" s="69">
        <v>0</v>
      </c>
      <c r="AD15" s="401">
        <v>20.549445142044398</v>
      </c>
      <c r="AE15" s="401">
        <v>0</v>
      </c>
      <c r="AF15" s="69">
        <v>21.011396224631198</v>
      </c>
      <c r="AG15" s="68">
        <v>20.748891117099095</v>
      </c>
      <c r="AH15" s="68">
        <v>0</v>
      </c>
      <c r="AI15" s="68">
        <v>1</v>
      </c>
      <c r="AJ15" s="69">
        <v>175.39439241091412</v>
      </c>
      <c r="AK15" s="69">
        <v>318.92331538200381</v>
      </c>
      <c r="AL15" s="69">
        <v>1146.8672667821247</v>
      </c>
      <c r="AM15" s="69">
        <v>357.54776000976563</v>
      </c>
      <c r="AN15" s="69">
        <v>1508.8307189941406</v>
      </c>
      <c r="AO15" s="69">
        <v>1802.2747711181639</v>
      </c>
      <c r="AP15" s="69">
        <v>593.72949579556791</v>
      </c>
      <c r="AQ15" s="69">
        <v>2560.0306851704913</v>
      </c>
      <c r="AR15" s="69">
        <v>447.50619274775192</v>
      </c>
      <c r="AS15" s="69">
        <v>604.98908116022744</v>
      </c>
    </row>
    <row r="16" spans="1:55" x14ac:dyDescent="0.25">
      <c r="A16" s="11">
        <v>43017</v>
      </c>
      <c r="B16" s="59"/>
      <c r="C16" s="60">
        <v>0</v>
      </c>
      <c r="D16" s="60">
        <v>0</v>
      </c>
      <c r="E16" s="50">
        <v>0</v>
      </c>
      <c r="F16" s="60">
        <v>0</v>
      </c>
      <c r="G16" s="60">
        <v>0</v>
      </c>
      <c r="H16" s="61">
        <v>0</v>
      </c>
      <c r="I16" s="59">
        <v>72.266068243980442</v>
      </c>
      <c r="J16" s="60">
        <v>361.69304715394969</v>
      </c>
      <c r="K16" s="60">
        <v>19.09584368914367</v>
      </c>
      <c r="L16" s="50">
        <v>0</v>
      </c>
      <c r="M16" s="5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252.03835064570146</v>
      </c>
      <c r="V16" s="62">
        <v>0</v>
      </c>
      <c r="W16" s="62">
        <v>26.320539518197332</v>
      </c>
      <c r="X16" s="62">
        <v>0</v>
      </c>
      <c r="Y16" s="66">
        <v>138.86868203481046</v>
      </c>
      <c r="Z16" s="66">
        <v>0</v>
      </c>
      <c r="AA16" s="67">
        <v>0</v>
      </c>
      <c r="AB16" s="68">
        <v>30.056594021452788</v>
      </c>
      <c r="AC16" s="69">
        <v>0</v>
      </c>
      <c r="AD16" s="401">
        <v>6.1929779236066791</v>
      </c>
      <c r="AE16" s="401">
        <v>0</v>
      </c>
      <c r="AF16" s="69">
        <v>6.3423832777473672</v>
      </c>
      <c r="AG16" s="68">
        <v>5.972728343073574</v>
      </c>
      <c r="AH16" s="68">
        <v>0</v>
      </c>
      <c r="AI16" s="68">
        <v>1</v>
      </c>
      <c r="AJ16" s="69">
        <v>265.3751364866892</v>
      </c>
      <c r="AK16" s="69">
        <v>486.90472566286724</v>
      </c>
      <c r="AL16" s="69">
        <v>1078.2494709650675</v>
      </c>
      <c r="AM16" s="69">
        <v>396.77502393722534</v>
      </c>
      <c r="AN16" s="69">
        <v>1508.8307189941406</v>
      </c>
      <c r="AO16" s="69">
        <v>1755.5372681935628</v>
      </c>
      <c r="AP16" s="69">
        <v>522.90564486185724</v>
      </c>
      <c r="AQ16" s="69">
        <v>1153.9201565424601</v>
      </c>
      <c r="AR16" s="69">
        <v>245.76607490380604</v>
      </c>
      <c r="AS16" s="69">
        <v>605.84365018208825</v>
      </c>
    </row>
    <row r="17" spans="1:45" x14ac:dyDescent="0.25">
      <c r="A17" s="11">
        <v>43018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0</v>
      </c>
      <c r="J17" s="50">
        <v>0</v>
      </c>
      <c r="K17" s="50">
        <v>0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0</v>
      </c>
      <c r="V17" s="62">
        <v>0</v>
      </c>
      <c r="W17" s="62">
        <v>0</v>
      </c>
      <c r="X17" s="62">
        <v>0</v>
      </c>
      <c r="Y17" s="66">
        <v>0</v>
      </c>
      <c r="Z17" s="66">
        <v>0</v>
      </c>
      <c r="AA17" s="67">
        <v>0</v>
      </c>
      <c r="AB17" s="68">
        <v>20.981287426418731</v>
      </c>
      <c r="AC17" s="69">
        <v>0</v>
      </c>
      <c r="AD17" s="401">
        <v>0</v>
      </c>
      <c r="AE17" s="401">
        <v>0</v>
      </c>
      <c r="AF17" s="69">
        <v>0</v>
      </c>
      <c r="AG17" s="68">
        <v>0</v>
      </c>
      <c r="AH17" s="68">
        <v>0</v>
      </c>
      <c r="AI17" s="68">
        <v>0</v>
      </c>
      <c r="AJ17" s="69">
        <v>282.63181925614674</v>
      </c>
      <c r="AK17" s="69">
        <v>507.0921728928883</v>
      </c>
      <c r="AL17" s="69">
        <v>1095.9344458897908</v>
      </c>
      <c r="AM17" s="69">
        <v>457.49951038360598</v>
      </c>
      <c r="AN17" s="69">
        <v>1505.3377178192138</v>
      </c>
      <c r="AO17" s="69">
        <v>1687.8152973175054</v>
      </c>
      <c r="AP17" s="69">
        <v>527.4294679323832</v>
      </c>
      <c r="AQ17" s="69">
        <v>455.30840854644771</v>
      </c>
      <c r="AR17" s="69">
        <v>92.100561094284032</v>
      </c>
      <c r="AS17" s="69">
        <v>624.1702696482339</v>
      </c>
    </row>
    <row r="18" spans="1:45" x14ac:dyDescent="0.25">
      <c r="A18" s="11">
        <v>43019</v>
      </c>
      <c r="B18" s="59"/>
      <c r="C18" s="60">
        <v>0</v>
      </c>
      <c r="D18" s="60">
        <v>0</v>
      </c>
      <c r="E18" s="50">
        <v>0</v>
      </c>
      <c r="F18" s="60">
        <v>0</v>
      </c>
      <c r="G18" s="60">
        <v>0</v>
      </c>
      <c r="H18" s="61">
        <v>0</v>
      </c>
      <c r="I18" s="59">
        <v>0</v>
      </c>
      <c r="J18" s="60">
        <v>0</v>
      </c>
      <c r="K18" s="60">
        <v>0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0</v>
      </c>
      <c r="V18" s="62">
        <v>0</v>
      </c>
      <c r="W18" s="62">
        <v>0</v>
      </c>
      <c r="X18" s="62">
        <v>0</v>
      </c>
      <c r="Y18" s="66">
        <v>0</v>
      </c>
      <c r="Z18" s="66">
        <v>0</v>
      </c>
      <c r="AA18" s="67">
        <v>0</v>
      </c>
      <c r="AB18" s="68">
        <v>0</v>
      </c>
      <c r="AC18" s="69">
        <v>0</v>
      </c>
      <c r="AD18" s="401">
        <v>0</v>
      </c>
      <c r="AE18" s="401">
        <v>0</v>
      </c>
      <c r="AF18" s="69">
        <v>0</v>
      </c>
      <c r="AG18" s="68">
        <v>0</v>
      </c>
      <c r="AH18" s="68">
        <v>0</v>
      </c>
      <c r="AI18" s="68">
        <v>0</v>
      </c>
      <c r="AJ18" s="69">
        <v>257.78080849647523</v>
      </c>
      <c r="AK18" s="69">
        <v>433.06106503804511</v>
      </c>
      <c r="AL18" s="69">
        <v>1086.2284283320109</v>
      </c>
      <c r="AM18" s="69">
        <v>445.59269714355469</v>
      </c>
      <c r="AN18" s="69">
        <v>1501.2441101074219</v>
      </c>
      <c r="AO18" s="69">
        <v>1669.6098405838015</v>
      </c>
      <c r="AP18" s="69">
        <v>480.32316493988037</v>
      </c>
      <c r="AQ18" s="69">
        <v>460.31478516260796</v>
      </c>
      <c r="AR18" s="69">
        <v>85.565481603145585</v>
      </c>
      <c r="AS18" s="69">
        <v>688.8657322247825</v>
      </c>
    </row>
    <row r="19" spans="1:45" x14ac:dyDescent="0.25">
      <c r="A19" s="11">
        <v>43020</v>
      </c>
      <c r="B19" s="59"/>
      <c r="C19" s="60">
        <v>0</v>
      </c>
      <c r="D19" s="60">
        <v>0</v>
      </c>
      <c r="E19" s="50">
        <v>0</v>
      </c>
      <c r="F19" s="60">
        <v>0</v>
      </c>
      <c r="G19" s="60">
        <v>0</v>
      </c>
      <c r="H19" s="61">
        <v>0</v>
      </c>
      <c r="I19" s="59">
        <v>69.842178122202597</v>
      </c>
      <c r="J19" s="60">
        <v>481.44198810259519</v>
      </c>
      <c r="K19" s="60">
        <v>27.358627445499089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107.92189686828182</v>
      </c>
      <c r="V19" s="62">
        <v>0</v>
      </c>
      <c r="W19" s="62">
        <v>3.609211341540016</v>
      </c>
      <c r="X19" s="62">
        <v>0</v>
      </c>
      <c r="Y19" s="66">
        <v>38.105808035532611</v>
      </c>
      <c r="Z19" s="66">
        <v>0</v>
      </c>
      <c r="AA19" s="67">
        <v>0</v>
      </c>
      <c r="AB19" s="68">
        <v>37.460742506716038</v>
      </c>
      <c r="AC19" s="69">
        <v>0</v>
      </c>
      <c r="AD19" s="401">
        <v>8.568066123095857</v>
      </c>
      <c r="AE19" s="401">
        <v>0</v>
      </c>
      <c r="AF19" s="69">
        <v>0</v>
      </c>
      <c r="AG19" s="68">
        <v>1.9132002020478054</v>
      </c>
      <c r="AH19" s="68">
        <v>0</v>
      </c>
      <c r="AI19" s="68">
        <v>1</v>
      </c>
      <c r="AJ19" s="69">
        <v>251.33435753981269</v>
      </c>
      <c r="AK19" s="69">
        <v>397.23926450411483</v>
      </c>
      <c r="AL19" s="69">
        <v>1056.7996171951295</v>
      </c>
      <c r="AM19" s="69">
        <v>445.59269714355469</v>
      </c>
      <c r="AN19" s="69">
        <v>1501.2441101074219</v>
      </c>
      <c r="AO19" s="69">
        <v>1881.5125181833905</v>
      </c>
      <c r="AP19" s="69">
        <v>546.44297622044883</v>
      </c>
      <c r="AQ19" s="69">
        <v>657.43639405568433</v>
      </c>
      <c r="AR19" s="69">
        <v>285.52870764334995</v>
      </c>
      <c r="AS19" s="69">
        <v>701.57747589747134</v>
      </c>
    </row>
    <row r="20" spans="1:45" x14ac:dyDescent="0.25">
      <c r="A20" s="11">
        <v>43021</v>
      </c>
      <c r="B20" s="59"/>
      <c r="C20" s="60">
        <v>0</v>
      </c>
      <c r="D20" s="60">
        <v>0</v>
      </c>
      <c r="E20" s="50">
        <v>0</v>
      </c>
      <c r="F20" s="60">
        <v>0</v>
      </c>
      <c r="G20" s="60">
        <v>0</v>
      </c>
      <c r="H20" s="61">
        <v>0</v>
      </c>
      <c r="I20" s="59">
        <v>112.0257332563401</v>
      </c>
      <c r="J20" s="60">
        <v>1102.6746349334715</v>
      </c>
      <c r="K20" s="60">
        <v>60.831025864183815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460.14323181576282</v>
      </c>
      <c r="V20" s="62">
        <v>0</v>
      </c>
      <c r="W20" s="62">
        <v>54.214547745386717</v>
      </c>
      <c r="X20" s="62">
        <v>0</v>
      </c>
      <c r="Y20" s="66">
        <v>346.99288185437507</v>
      </c>
      <c r="Z20" s="66">
        <v>0</v>
      </c>
      <c r="AA20" s="67">
        <v>0</v>
      </c>
      <c r="AB20" s="68">
        <v>75.773421483569663</v>
      </c>
      <c r="AC20" s="69">
        <v>0</v>
      </c>
      <c r="AD20" s="401">
        <v>17.467110295373772</v>
      </c>
      <c r="AE20" s="401">
        <v>0</v>
      </c>
      <c r="AF20" s="69">
        <v>15.071915167570118</v>
      </c>
      <c r="AG20" s="68">
        <v>15.639581502190103</v>
      </c>
      <c r="AH20" s="68">
        <v>0</v>
      </c>
      <c r="AI20" s="68">
        <v>1</v>
      </c>
      <c r="AJ20" s="69">
        <v>248.94913566112515</v>
      </c>
      <c r="AK20" s="69">
        <v>400.10746080080673</v>
      </c>
      <c r="AL20" s="69">
        <v>1060.1309151331584</v>
      </c>
      <c r="AM20" s="69">
        <v>445.59269714355469</v>
      </c>
      <c r="AN20" s="69">
        <v>1501.2441101074219</v>
      </c>
      <c r="AO20" s="69">
        <v>1851.1637354532875</v>
      </c>
      <c r="AP20" s="69">
        <v>632.44573801358547</v>
      </c>
      <c r="AQ20" s="69">
        <v>2228.2824387232463</v>
      </c>
      <c r="AR20" s="69">
        <v>444.99944740931193</v>
      </c>
      <c r="AS20" s="69">
        <v>615.93608039220169</v>
      </c>
    </row>
    <row r="21" spans="1:45" x14ac:dyDescent="0.25">
      <c r="A21" s="11">
        <v>43022</v>
      </c>
      <c r="B21" s="59"/>
      <c r="C21" s="60">
        <v>0</v>
      </c>
      <c r="D21" s="60">
        <v>0</v>
      </c>
      <c r="E21" s="50">
        <v>0</v>
      </c>
      <c r="F21" s="60">
        <v>0</v>
      </c>
      <c r="G21" s="60">
        <v>0</v>
      </c>
      <c r="H21" s="61">
        <v>0</v>
      </c>
      <c r="I21" s="59">
        <v>258.73349520365383</v>
      </c>
      <c r="J21" s="60">
        <v>1375.3670558929446</v>
      </c>
      <c r="K21" s="60">
        <v>75.434754161039933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550.67168744405546</v>
      </c>
      <c r="V21" s="62">
        <v>0</v>
      </c>
      <c r="W21" s="62">
        <v>73.836275045077031</v>
      </c>
      <c r="X21" s="62">
        <v>0</v>
      </c>
      <c r="Y21" s="66">
        <v>497.69082946777252</v>
      </c>
      <c r="Z21" s="66">
        <v>0</v>
      </c>
      <c r="AA21" s="67">
        <v>0</v>
      </c>
      <c r="AB21" s="68">
        <v>89.7834282133324</v>
      </c>
      <c r="AC21" s="69">
        <v>0</v>
      </c>
      <c r="AD21" s="401">
        <v>20.801258540870023</v>
      </c>
      <c r="AE21" s="401">
        <v>0</v>
      </c>
      <c r="AF21" s="69">
        <v>21.212304764323722</v>
      </c>
      <c r="AG21" s="68">
        <v>21.000429089764641</v>
      </c>
      <c r="AH21" s="68">
        <v>0</v>
      </c>
      <c r="AI21" s="68">
        <v>1</v>
      </c>
      <c r="AJ21" s="69">
        <v>257.49991400241856</v>
      </c>
      <c r="AK21" s="69">
        <v>423.90768028895059</v>
      </c>
      <c r="AL21" s="69">
        <v>1081.1363677342733</v>
      </c>
      <c r="AM21" s="69">
        <v>445.59269714355469</v>
      </c>
      <c r="AN21" s="69">
        <v>1501.2441101074219</v>
      </c>
      <c r="AO21" s="69">
        <v>1716.4695292154947</v>
      </c>
      <c r="AP21" s="69">
        <v>482.80661830902091</v>
      </c>
      <c r="AQ21" s="69">
        <v>2745.0123035430915</v>
      </c>
      <c r="AR21" s="69">
        <v>409.37260630925499</v>
      </c>
      <c r="AS21" s="69">
        <v>528.83938760757439</v>
      </c>
    </row>
    <row r="22" spans="1:45" x14ac:dyDescent="0.25">
      <c r="A22" s="11">
        <v>43023</v>
      </c>
      <c r="B22" s="59"/>
      <c r="C22" s="60">
        <v>0</v>
      </c>
      <c r="D22" s="60">
        <v>0</v>
      </c>
      <c r="E22" s="50">
        <v>0</v>
      </c>
      <c r="F22" s="60">
        <v>0</v>
      </c>
      <c r="G22" s="60">
        <v>0</v>
      </c>
      <c r="H22" s="61">
        <v>0</v>
      </c>
      <c r="I22" s="59">
        <v>297.9285430113473</v>
      </c>
      <c r="J22" s="60">
        <v>1096.1170003890979</v>
      </c>
      <c r="K22" s="60">
        <v>60.272088702519781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508.07449817657806</v>
      </c>
      <c r="V22" s="62">
        <v>0</v>
      </c>
      <c r="W22" s="62">
        <v>67.231498821576508</v>
      </c>
      <c r="X22" s="62">
        <v>0</v>
      </c>
      <c r="Y22" s="66">
        <v>431.70751148859688</v>
      </c>
      <c r="Z22" s="66">
        <v>0</v>
      </c>
      <c r="AA22" s="67">
        <v>0</v>
      </c>
      <c r="AB22" s="68">
        <v>79.698316510519092</v>
      </c>
      <c r="AC22" s="69">
        <v>0</v>
      </c>
      <c r="AD22" s="401">
        <v>18.476266976324627</v>
      </c>
      <c r="AE22" s="401">
        <v>0</v>
      </c>
      <c r="AF22" s="69">
        <v>18.812070759137459</v>
      </c>
      <c r="AG22" s="68">
        <v>18.61031440880069</v>
      </c>
      <c r="AH22" s="68">
        <v>0</v>
      </c>
      <c r="AI22" s="68">
        <v>1</v>
      </c>
      <c r="AJ22" s="69">
        <v>263.67915266354885</v>
      </c>
      <c r="AK22" s="69">
        <v>445.65666653315219</v>
      </c>
      <c r="AL22" s="69">
        <v>1029.3774307250976</v>
      </c>
      <c r="AM22" s="69">
        <v>445.59269714355469</v>
      </c>
      <c r="AN22" s="69">
        <v>1501.2441101074219</v>
      </c>
      <c r="AO22" s="69">
        <v>1591.0334707260133</v>
      </c>
      <c r="AP22" s="69">
        <v>495.53988477389026</v>
      </c>
      <c r="AQ22" s="69">
        <v>2428.0983373006179</v>
      </c>
      <c r="AR22" s="69">
        <v>374.77744407653807</v>
      </c>
      <c r="AS22" s="69">
        <v>640.28997112909951</v>
      </c>
    </row>
    <row r="23" spans="1:45" x14ac:dyDescent="0.25">
      <c r="A23" s="11">
        <v>43024</v>
      </c>
      <c r="B23" s="59"/>
      <c r="C23" s="60">
        <v>0</v>
      </c>
      <c r="D23" s="60">
        <v>0</v>
      </c>
      <c r="E23" s="50">
        <v>0</v>
      </c>
      <c r="F23" s="60">
        <v>0</v>
      </c>
      <c r="G23" s="60">
        <v>0</v>
      </c>
      <c r="H23" s="61">
        <v>0</v>
      </c>
      <c r="I23" s="59">
        <v>359.65522447029747</v>
      </c>
      <c r="J23" s="60">
        <v>793.23405348459687</v>
      </c>
      <c r="K23" s="60">
        <v>43.421301944057134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440.32542031606306</v>
      </c>
      <c r="V23" s="62">
        <v>0</v>
      </c>
      <c r="W23" s="62">
        <v>53.601644496123008</v>
      </c>
      <c r="X23" s="62">
        <v>0</v>
      </c>
      <c r="Y23" s="66">
        <v>305.21349751154662</v>
      </c>
      <c r="Z23" s="66">
        <v>0</v>
      </c>
      <c r="AA23" s="67">
        <v>0</v>
      </c>
      <c r="AB23" s="68">
        <v>64.163549078834706</v>
      </c>
      <c r="AC23" s="69">
        <v>0</v>
      </c>
      <c r="AD23" s="401">
        <v>14.789980874787357</v>
      </c>
      <c r="AE23" s="401">
        <v>0</v>
      </c>
      <c r="AF23" s="69">
        <v>14.888723474078713</v>
      </c>
      <c r="AG23" s="68">
        <v>14.691873649967739</v>
      </c>
      <c r="AH23" s="68">
        <v>0</v>
      </c>
      <c r="AI23" s="68">
        <v>1</v>
      </c>
      <c r="AJ23" s="69">
        <v>245.7562063773473</v>
      </c>
      <c r="AK23" s="69">
        <v>393.54631590843201</v>
      </c>
      <c r="AL23" s="69">
        <v>1066.8022806167601</v>
      </c>
      <c r="AM23" s="69">
        <v>445.59269714355469</v>
      </c>
      <c r="AN23" s="69">
        <v>1501.2441101074219</v>
      </c>
      <c r="AO23" s="69">
        <v>1725.0480115254722</v>
      </c>
      <c r="AP23" s="69">
        <v>476.72924092610674</v>
      </c>
      <c r="AQ23" s="69">
        <v>2094.1302033742263</v>
      </c>
      <c r="AR23" s="69">
        <v>361.26463103294373</v>
      </c>
      <c r="AS23" s="69">
        <v>757.02953192392965</v>
      </c>
    </row>
    <row r="24" spans="1:45" x14ac:dyDescent="0.25">
      <c r="A24" s="11">
        <v>43025</v>
      </c>
      <c r="B24" s="59"/>
      <c r="C24" s="60">
        <v>0</v>
      </c>
      <c r="D24" s="60">
        <v>0</v>
      </c>
      <c r="E24" s="50">
        <v>0</v>
      </c>
      <c r="F24" s="60">
        <v>0</v>
      </c>
      <c r="G24" s="60">
        <v>0</v>
      </c>
      <c r="H24" s="61">
        <v>0</v>
      </c>
      <c r="I24" s="59">
        <v>368.17030806541436</v>
      </c>
      <c r="J24" s="60">
        <v>623.16594731012958</v>
      </c>
      <c r="K24" s="60">
        <v>34.177328737576815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396.34800590938886</v>
      </c>
      <c r="V24" s="62">
        <v>0</v>
      </c>
      <c r="W24" s="62">
        <v>44.727232205867701</v>
      </c>
      <c r="X24" s="62">
        <v>0</v>
      </c>
      <c r="Y24" s="66">
        <v>228.2696286519367</v>
      </c>
      <c r="Z24" s="66">
        <v>0</v>
      </c>
      <c r="AA24" s="67">
        <v>0</v>
      </c>
      <c r="AB24" s="68">
        <v>52.124613441360161</v>
      </c>
      <c r="AC24" s="69">
        <v>0</v>
      </c>
      <c r="AD24" s="401">
        <v>11.891410187234055</v>
      </c>
      <c r="AE24" s="401">
        <v>0</v>
      </c>
      <c r="AF24" s="69">
        <v>11.887592132223965</v>
      </c>
      <c r="AG24" s="68">
        <v>11.717557754847205</v>
      </c>
      <c r="AH24" s="68">
        <v>0</v>
      </c>
      <c r="AI24" s="68">
        <v>1</v>
      </c>
      <c r="AJ24" s="69">
        <v>243.71663871606194</v>
      </c>
      <c r="AK24" s="69">
        <v>380.49511295954392</v>
      </c>
      <c r="AL24" s="69">
        <v>1032.3223183949788</v>
      </c>
      <c r="AM24" s="69">
        <v>373.70903778076172</v>
      </c>
      <c r="AN24" s="69">
        <v>1501.2441101074219</v>
      </c>
      <c r="AO24" s="69">
        <v>1807.089331372579</v>
      </c>
      <c r="AP24" s="69">
        <v>480.8247423966726</v>
      </c>
      <c r="AQ24" s="69">
        <v>1823.4354756673174</v>
      </c>
      <c r="AR24" s="69">
        <v>366.32866447766617</v>
      </c>
      <c r="AS24" s="69">
        <v>697.94461787541695</v>
      </c>
    </row>
    <row r="25" spans="1:45" x14ac:dyDescent="0.25">
      <c r="A25" s="11">
        <v>43026</v>
      </c>
      <c r="B25" s="59"/>
      <c r="C25" s="60">
        <v>0</v>
      </c>
      <c r="D25" s="60">
        <v>0</v>
      </c>
      <c r="E25" s="50">
        <v>0</v>
      </c>
      <c r="F25" s="60">
        <v>0</v>
      </c>
      <c r="G25" s="60">
        <v>0</v>
      </c>
      <c r="H25" s="61">
        <v>0</v>
      </c>
      <c r="I25" s="59">
        <v>381.38109037081398</v>
      </c>
      <c r="J25" s="60">
        <v>661.0944740613287</v>
      </c>
      <c r="K25" s="60">
        <v>36.216699264446859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425.55509236653324</v>
      </c>
      <c r="V25" s="62">
        <v>0</v>
      </c>
      <c r="W25" s="62">
        <v>50.16879748503375</v>
      </c>
      <c r="X25" s="62">
        <v>0</v>
      </c>
      <c r="Y25" s="66">
        <v>245.97285120487203</v>
      </c>
      <c r="Z25" s="66">
        <v>0</v>
      </c>
      <c r="AA25" s="67">
        <v>0</v>
      </c>
      <c r="AB25" s="68">
        <v>55.377533549732192</v>
      </c>
      <c r="AC25" s="69">
        <v>0</v>
      </c>
      <c r="AD25" s="401">
        <v>12.643235408983099</v>
      </c>
      <c r="AE25" s="401">
        <v>0</v>
      </c>
      <c r="AF25" s="69">
        <v>12.88673275709149</v>
      </c>
      <c r="AG25" s="68">
        <v>12.71507616661003</v>
      </c>
      <c r="AH25" s="68">
        <v>0</v>
      </c>
      <c r="AI25" s="68">
        <v>1</v>
      </c>
      <c r="AJ25" s="69">
        <v>256.2859717289607</v>
      </c>
      <c r="AK25" s="69">
        <v>386.11177099545796</v>
      </c>
      <c r="AL25" s="69">
        <v>992.04737726847327</v>
      </c>
      <c r="AM25" s="69">
        <v>373.70903778076172</v>
      </c>
      <c r="AN25" s="69">
        <v>1501.2441101074219</v>
      </c>
      <c r="AO25" s="69">
        <v>1634.4608683268229</v>
      </c>
      <c r="AP25" s="69">
        <v>470.72166293462112</v>
      </c>
      <c r="AQ25" s="69">
        <v>1831.9381990432739</v>
      </c>
      <c r="AR25" s="69">
        <v>369.36720801989236</v>
      </c>
      <c r="AS25" s="69">
        <v>685.55664262771586</v>
      </c>
    </row>
    <row r="26" spans="1:45" x14ac:dyDescent="0.25">
      <c r="A26" s="11">
        <v>43027</v>
      </c>
      <c r="B26" s="59"/>
      <c r="C26" s="60">
        <v>0</v>
      </c>
      <c r="D26" s="60">
        <v>0</v>
      </c>
      <c r="E26" s="50">
        <v>0</v>
      </c>
      <c r="F26" s="60">
        <v>0</v>
      </c>
      <c r="G26" s="60">
        <v>0</v>
      </c>
      <c r="H26" s="61">
        <v>0</v>
      </c>
      <c r="I26" s="59">
        <v>362.67710433006323</v>
      </c>
      <c r="J26" s="60">
        <v>682.44998528162785</v>
      </c>
      <c r="K26" s="60">
        <v>37.482069929440826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422.99131817287798</v>
      </c>
      <c r="V26" s="62">
        <v>0</v>
      </c>
      <c r="W26" s="62">
        <v>50.743030258019772</v>
      </c>
      <c r="X26" s="62">
        <v>0</v>
      </c>
      <c r="Y26" s="66">
        <v>254.79550042152408</v>
      </c>
      <c r="Z26" s="66">
        <v>0</v>
      </c>
      <c r="AA26" s="67">
        <v>0</v>
      </c>
      <c r="AB26" s="68">
        <v>60.408345097965459</v>
      </c>
      <c r="AC26" s="69">
        <v>0</v>
      </c>
      <c r="AD26" s="401">
        <v>13.885167055249118</v>
      </c>
      <c r="AE26" s="401">
        <v>0</v>
      </c>
      <c r="AF26" s="69">
        <v>13.457989226778361</v>
      </c>
      <c r="AG26" s="68">
        <v>13.27160215483274</v>
      </c>
      <c r="AH26" s="68">
        <v>0</v>
      </c>
      <c r="AI26" s="68">
        <v>1</v>
      </c>
      <c r="AJ26" s="69">
        <v>205.7143301169078</v>
      </c>
      <c r="AK26" s="69">
        <v>371.98226378758744</v>
      </c>
      <c r="AL26" s="69">
        <v>1025.21796875</v>
      </c>
      <c r="AM26" s="69">
        <v>373.70903778076172</v>
      </c>
      <c r="AN26" s="69">
        <v>1501.2441101074219</v>
      </c>
      <c r="AO26" s="69">
        <v>1867.9396172841386</v>
      </c>
      <c r="AP26" s="69">
        <v>489.16235437393181</v>
      </c>
      <c r="AQ26" s="69">
        <v>1966.8413467407227</v>
      </c>
      <c r="AR26" s="69">
        <v>383.92086394627881</v>
      </c>
      <c r="AS26" s="69">
        <v>729.7805478731791</v>
      </c>
    </row>
    <row r="27" spans="1:45" x14ac:dyDescent="0.25">
      <c r="A27" s="11">
        <v>43028</v>
      </c>
      <c r="B27" s="59"/>
      <c r="C27" s="60">
        <v>0</v>
      </c>
      <c r="D27" s="60">
        <v>0</v>
      </c>
      <c r="E27" s="50">
        <v>0</v>
      </c>
      <c r="F27" s="60">
        <v>0</v>
      </c>
      <c r="G27" s="60">
        <v>0</v>
      </c>
      <c r="H27" s="61">
        <v>0</v>
      </c>
      <c r="I27" s="59">
        <v>330.83707612355585</v>
      </c>
      <c r="J27" s="60">
        <v>645.1129024505633</v>
      </c>
      <c r="K27" s="60">
        <v>35.420066035787279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447.51263643900677</v>
      </c>
      <c r="V27" s="62">
        <v>0</v>
      </c>
      <c r="W27" s="62">
        <v>52.33035877545678</v>
      </c>
      <c r="X27" s="62">
        <v>0</v>
      </c>
      <c r="Y27" s="62">
        <v>236.77377812067655</v>
      </c>
      <c r="Z27" s="62">
        <v>0</v>
      </c>
      <c r="AA27" s="72">
        <v>0</v>
      </c>
      <c r="AB27" s="69">
        <v>60.445366644858929</v>
      </c>
      <c r="AC27" s="69">
        <v>0</v>
      </c>
      <c r="AD27" s="401">
        <v>13.904816955982547</v>
      </c>
      <c r="AE27" s="401">
        <v>0</v>
      </c>
      <c r="AF27" s="69">
        <v>14.032953639162896</v>
      </c>
      <c r="AG27" s="69">
        <v>13.839819755035059</v>
      </c>
      <c r="AH27" s="69">
        <v>0</v>
      </c>
      <c r="AI27" s="69">
        <v>1</v>
      </c>
      <c r="AJ27" s="69">
        <v>235.0277428309123</v>
      </c>
      <c r="AK27" s="69">
        <v>428.97045011520385</v>
      </c>
      <c r="AL27" s="69">
        <v>1101.0247604370115</v>
      </c>
      <c r="AM27" s="69">
        <v>373.70903778076172</v>
      </c>
      <c r="AN27" s="69">
        <v>1501.2441101074219</v>
      </c>
      <c r="AO27" s="69">
        <v>1851.5196749369304</v>
      </c>
      <c r="AP27" s="69">
        <v>507.7390043258668</v>
      </c>
      <c r="AQ27" s="69">
        <v>1955.8748164494832</v>
      </c>
      <c r="AR27" s="69">
        <v>377.00157032012947</v>
      </c>
      <c r="AS27" s="69">
        <v>746.01879787445068</v>
      </c>
    </row>
    <row r="28" spans="1:45" x14ac:dyDescent="0.25">
      <c r="A28" s="11">
        <v>43029</v>
      </c>
      <c r="B28" s="59"/>
      <c r="C28" s="60">
        <v>0</v>
      </c>
      <c r="D28" s="60">
        <v>0</v>
      </c>
      <c r="E28" s="50">
        <v>0</v>
      </c>
      <c r="F28" s="60">
        <v>0</v>
      </c>
      <c r="G28" s="60">
        <v>0</v>
      </c>
      <c r="H28" s="61">
        <v>0</v>
      </c>
      <c r="I28" s="59">
        <v>330.03434793154457</v>
      </c>
      <c r="J28" s="60">
        <v>644.80654621124415</v>
      </c>
      <c r="K28" s="60">
        <v>35.351288667321214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447.79783314598825</v>
      </c>
      <c r="V28" s="62">
        <v>0</v>
      </c>
      <c r="W28" s="62">
        <v>52.306190852324107</v>
      </c>
      <c r="X28" s="62">
        <v>0</v>
      </c>
      <c r="Y28" s="66">
        <v>237.78945604165412</v>
      </c>
      <c r="Z28" s="66">
        <v>0</v>
      </c>
      <c r="AA28" s="67">
        <v>0</v>
      </c>
      <c r="AB28" s="68">
        <v>60.444021815723808</v>
      </c>
      <c r="AC28" s="69">
        <v>0</v>
      </c>
      <c r="AD28" s="401">
        <v>13.899875608576822</v>
      </c>
      <c r="AE28" s="401">
        <v>0</v>
      </c>
      <c r="AF28" s="69">
        <v>14.188148089249923</v>
      </c>
      <c r="AG28" s="68">
        <v>13.999619977564787</v>
      </c>
      <c r="AH28" s="68">
        <v>0</v>
      </c>
      <c r="AI28" s="68">
        <v>1</v>
      </c>
      <c r="AJ28" s="69">
        <v>262.0560128211975</v>
      </c>
      <c r="AK28" s="69">
        <v>452.31268510818484</v>
      </c>
      <c r="AL28" s="69">
        <v>1047.6427047093709</v>
      </c>
      <c r="AM28" s="69">
        <v>373.70903778076172</v>
      </c>
      <c r="AN28" s="69">
        <v>1501.2441101074219</v>
      </c>
      <c r="AO28" s="69">
        <v>1726.4743043263752</v>
      </c>
      <c r="AP28" s="69">
        <v>481.87676006952921</v>
      </c>
      <c r="AQ28" s="69">
        <v>1947.5535616556801</v>
      </c>
      <c r="AR28" s="69">
        <v>373.24818778038025</v>
      </c>
      <c r="AS28" s="69">
        <v>542.26203947067268</v>
      </c>
    </row>
    <row r="29" spans="1:45" x14ac:dyDescent="0.25">
      <c r="A29" s="11">
        <v>43030</v>
      </c>
      <c r="B29" s="59"/>
      <c r="C29" s="60">
        <v>0</v>
      </c>
      <c r="D29" s="60">
        <v>0</v>
      </c>
      <c r="E29" s="50">
        <v>0</v>
      </c>
      <c r="F29" s="60">
        <v>0</v>
      </c>
      <c r="G29" s="60">
        <v>0</v>
      </c>
      <c r="H29" s="61">
        <v>0</v>
      </c>
      <c r="I29" s="59">
        <v>328.0855954806014</v>
      </c>
      <c r="J29" s="60">
        <v>644.78069006602175</v>
      </c>
      <c r="K29" s="60">
        <v>35.460891596476266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442.05703803168348</v>
      </c>
      <c r="V29" s="62">
        <v>0</v>
      </c>
      <c r="W29" s="62">
        <v>52.577873158454878</v>
      </c>
      <c r="X29" s="62">
        <v>0</v>
      </c>
      <c r="Y29" s="66">
        <v>237.293445555369</v>
      </c>
      <c r="Z29" s="66">
        <v>0</v>
      </c>
      <c r="AA29" s="67">
        <v>0</v>
      </c>
      <c r="AB29" s="68">
        <v>60.442584339777753</v>
      </c>
      <c r="AC29" s="69">
        <v>0</v>
      </c>
      <c r="AD29" s="401">
        <v>13.897672078367453</v>
      </c>
      <c r="AE29" s="401">
        <v>0</v>
      </c>
      <c r="AF29" s="69">
        <v>14.186164858606167</v>
      </c>
      <c r="AG29" s="68">
        <v>14.000770345807002</v>
      </c>
      <c r="AH29" s="68">
        <v>0</v>
      </c>
      <c r="AI29" s="68">
        <v>1</v>
      </c>
      <c r="AJ29" s="69">
        <v>270.10129257837929</v>
      </c>
      <c r="AK29" s="69">
        <v>474.75527633031214</v>
      </c>
      <c r="AL29" s="69">
        <v>1009.6723716735841</v>
      </c>
      <c r="AM29" s="69">
        <v>373.70903778076172</v>
      </c>
      <c r="AN29" s="69">
        <v>1501.2441101074219</v>
      </c>
      <c r="AO29" s="69">
        <v>1708.5255774180096</v>
      </c>
      <c r="AP29" s="69">
        <v>474.14947554270429</v>
      </c>
      <c r="AQ29" s="69">
        <v>1932.7729676564536</v>
      </c>
      <c r="AR29" s="69">
        <v>378.12539634704592</v>
      </c>
      <c r="AS29" s="69">
        <v>642.57562805811574</v>
      </c>
    </row>
    <row r="30" spans="1:45" x14ac:dyDescent="0.25">
      <c r="A30" s="11">
        <v>43031</v>
      </c>
      <c r="B30" s="59"/>
      <c r="C30" s="60">
        <v>0</v>
      </c>
      <c r="D30" s="60">
        <v>0</v>
      </c>
      <c r="E30" s="50">
        <v>0</v>
      </c>
      <c r="F30" s="60">
        <v>0</v>
      </c>
      <c r="G30" s="60">
        <v>0</v>
      </c>
      <c r="H30" s="61">
        <v>0</v>
      </c>
      <c r="I30" s="59">
        <v>330.62424890200333</v>
      </c>
      <c r="J30" s="60">
        <v>644.8676723798128</v>
      </c>
      <c r="K30" s="60">
        <v>35.325917625427252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436.60932672288482</v>
      </c>
      <c r="V30" s="62">
        <v>0</v>
      </c>
      <c r="W30" s="62">
        <v>51.943076463540429</v>
      </c>
      <c r="X30" s="62">
        <v>0</v>
      </c>
      <c r="Y30" s="66">
        <v>233.54041961034088</v>
      </c>
      <c r="Z30" s="66">
        <v>0</v>
      </c>
      <c r="AA30" s="67">
        <v>0</v>
      </c>
      <c r="AB30" s="68">
        <v>60.44645935694318</v>
      </c>
      <c r="AC30" s="69">
        <v>0</v>
      </c>
      <c r="AD30" s="401">
        <v>13.900628574334092</v>
      </c>
      <c r="AE30" s="401">
        <v>0</v>
      </c>
      <c r="AF30" s="69">
        <v>13.918876803583567</v>
      </c>
      <c r="AG30" s="68">
        <v>13.730202106817156</v>
      </c>
      <c r="AH30" s="68">
        <v>0</v>
      </c>
      <c r="AI30" s="68">
        <v>1</v>
      </c>
      <c r="AJ30" s="69">
        <v>265.06540250778198</v>
      </c>
      <c r="AK30" s="69">
        <v>460.12383731206251</v>
      </c>
      <c r="AL30" s="69">
        <v>985.57438672383626</v>
      </c>
      <c r="AM30" s="69">
        <v>373.70903778076172</v>
      </c>
      <c r="AN30" s="69">
        <v>1501.2441101074219</v>
      </c>
      <c r="AO30" s="69">
        <v>1787.7432912190757</v>
      </c>
      <c r="AP30" s="69">
        <v>469.43122580846148</v>
      </c>
      <c r="AQ30" s="69">
        <v>1946.9594155629477</v>
      </c>
      <c r="AR30" s="69">
        <v>377.11919953028359</v>
      </c>
      <c r="AS30" s="69">
        <v>601.31083968480436</v>
      </c>
    </row>
    <row r="31" spans="1:45" x14ac:dyDescent="0.25">
      <c r="A31" s="11">
        <v>43032</v>
      </c>
      <c r="B31" s="59"/>
      <c r="C31" s="60">
        <v>0</v>
      </c>
      <c r="D31" s="60">
        <v>0</v>
      </c>
      <c r="E31" s="50">
        <v>0</v>
      </c>
      <c r="F31" s="60">
        <v>0</v>
      </c>
      <c r="G31" s="60">
        <v>0</v>
      </c>
      <c r="H31" s="61">
        <v>0</v>
      </c>
      <c r="I31" s="59">
        <v>331.42877345085191</v>
      </c>
      <c r="J31" s="60">
        <v>645.69604047139592</v>
      </c>
      <c r="K31" s="60">
        <v>35.35587590436139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444.87499548594246</v>
      </c>
      <c r="V31" s="62">
        <v>0</v>
      </c>
      <c r="W31" s="62">
        <v>53.239820011456821</v>
      </c>
      <c r="X31" s="62">
        <v>0</v>
      </c>
      <c r="Y31" s="66">
        <v>232.64798212846114</v>
      </c>
      <c r="Z31" s="66">
        <v>0</v>
      </c>
      <c r="AA31" s="67">
        <v>0</v>
      </c>
      <c r="AB31" s="68">
        <v>60.442636397150004</v>
      </c>
      <c r="AC31" s="69">
        <v>0</v>
      </c>
      <c r="AD31" s="401">
        <v>13.917015790344605</v>
      </c>
      <c r="AE31" s="401">
        <v>0</v>
      </c>
      <c r="AF31" s="69">
        <v>14.186313619878542</v>
      </c>
      <c r="AG31" s="68">
        <v>13.999186776759281</v>
      </c>
      <c r="AH31" s="68">
        <v>0</v>
      </c>
      <c r="AI31" s="68">
        <v>1</v>
      </c>
      <c r="AJ31" s="69">
        <v>274.08521876335141</v>
      </c>
      <c r="AK31" s="69">
        <v>487.56399370829257</v>
      </c>
      <c r="AL31" s="69">
        <v>1017.0523853302002</v>
      </c>
      <c r="AM31" s="69">
        <v>373.70903778076172</v>
      </c>
      <c r="AN31" s="69">
        <v>1501.2441101074219</v>
      </c>
      <c r="AO31" s="69">
        <v>1758.7193969726566</v>
      </c>
      <c r="AP31" s="69">
        <v>482.53744117418927</v>
      </c>
      <c r="AQ31" s="69">
        <v>1933.639183298747</v>
      </c>
      <c r="AR31" s="69">
        <v>387.10786538124086</v>
      </c>
      <c r="AS31" s="69">
        <v>631.09862222671495</v>
      </c>
    </row>
    <row r="32" spans="1:45" x14ac:dyDescent="0.25">
      <c r="A32" s="11">
        <v>43033</v>
      </c>
      <c r="B32" s="59"/>
      <c r="C32" s="60">
        <v>0</v>
      </c>
      <c r="D32" s="60">
        <v>0</v>
      </c>
      <c r="E32" s="50">
        <v>0</v>
      </c>
      <c r="F32" s="60">
        <v>0</v>
      </c>
      <c r="G32" s="60">
        <v>0</v>
      </c>
      <c r="H32" s="61">
        <v>0</v>
      </c>
      <c r="I32" s="59">
        <v>297.46350606282522</v>
      </c>
      <c r="J32" s="60">
        <v>636.65153792699118</v>
      </c>
      <c r="K32" s="60">
        <v>34.953870150446924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439.11919318305121</v>
      </c>
      <c r="V32" s="62">
        <v>0</v>
      </c>
      <c r="W32" s="62">
        <v>51.606484353542221</v>
      </c>
      <c r="X32" s="62">
        <v>0</v>
      </c>
      <c r="Y32" s="66">
        <v>226.23137832482675</v>
      </c>
      <c r="Z32" s="66">
        <v>0</v>
      </c>
      <c r="AA32" s="67">
        <v>0</v>
      </c>
      <c r="AB32" s="68">
        <v>59.592215930090582</v>
      </c>
      <c r="AC32" s="69">
        <v>0</v>
      </c>
      <c r="AD32" s="401">
        <v>13.661991206535236</v>
      </c>
      <c r="AE32" s="401">
        <v>0</v>
      </c>
      <c r="AF32" s="69">
        <v>13.985177079836523</v>
      </c>
      <c r="AG32" s="68">
        <v>13.805124025804947</v>
      </c>
      <c r="AH32" s="68">
        <v>0</v>
      </c>
      <c r="AI32" s="68">
        <v>1</v>
      </c>
      <c r="AJ32" s="69">
        <v>252.62158126831054</v>
      </c>
      <c r="AK32" s="69">
        <v>449.18771669069923</v>
      </c>
      <c r="AL32" s="69">
        <v>1103.35790087382</v>
      </c>
      <c r="AM32" s="69">
        <v>373.70903778076172</v>
      </c>
      <c r="AN32" s="69">
        <v>1501.2441101074219</v>
      </c>
      <c r="AO32" s="69">
        <v>1741.5294818878174</v>
      </c>
      <c r="AP32" s="69">
        <v>473.82318612734474</v>
      </c>
      <c r="AQ32" s="69">
        <v>1920.2896842956541</v>
      </c>
      <c r="AR32" s="69">
        <v>418.34813502629601</v>
      </c>
      <c r="AS32" s="69">
        <v>739.64547990163157</v>
      </c>
    </row>
    <row r="33" spans="1:45" x14ac:dyDescent="0.25">
      <c r="A33" s="11">
        <v>43034</v>
      </c>
      <c r="B33" s="59"/>
      <c r="C33" s="60">
        <v>0</v>
      </c>
      <c r="D33" s="60">
        <v>0</v>
      </c>
      <c r="E33" s="50">
        <v>0</v>
      </c>
      <c r="F33" s="60">
        <v>0</v>
      </c>
      <c r="G33" s="60">
        <v>0</v>
      </c>
      <c r="H33" s="61">
        <v>0</v>
      </c>
      <c r="I33" s="59">
        <v>265.14089096387204</v>
      </c>
      <c r="J33" s="60">
        <v>604.33063418070321</v>
      </c>
      <c r="K33" s="60">
        <v>33.058641020456918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415.85117350684192</v>
      </c>
      <c r="V33" s="62">
        <v>0</v>
      </c>
      <c r="W33" s="62">
        <v>47.190879166126216</v>
      </c>
      <c r="X33" s="62">
        <v>0</v>
      </c>
      <c r="Y33" s="66">
        <v>224.99504690170303</v>
      </c>
      <c r="Z33" s="66">
        <v>0</v>
      </c>
      <c r="AA33" s="67">
        <v>0</v>
      </c>
      <c r="AB33" s="68">
        <v>56.396933701303176</v>
      </c>
      <c r="AC33" s="69">
        <v>0</v>
      </c>
      <c r="AD33" s="401">
        <v>12.881097576316517</v>
      </c>
      <c r="AE33" s="401">
        <v>0</v>
      </c>
      <c r="AF33" s="69">
        <v>13.009526188837173</v>
      </c>
      <c r="AG33" s="68">
        <v>12.84098179877655</v>
      </c>
      <c r="AH33" s="68">
        <v>0</v>
      </c>
      <c r="AI33" s="68">
        <v>1</v>
      </c>
      <c r="AJ33" s="69">
        <v>252.95751758416489</v>
      </c>
      <c r="AK33" s="69">
        <v>457.64437615076702</v>
      </c>
      <c r="AL33" s="69">
        <v>1091.8078959782918</v>
      </c>
      <c r="AM33" s="69">
        <v>378.82112342516581</v>
      </c>
      <c r="AN33" s="69">
        <v>1501.2441101074219</v>
      </c>
      <c r="AO33" s="69">
        <v>1785.0553432464603</v>
      </c>
      <c r="AP33" s="69">
        <v>484.88341066042585</v>
      </c>
      <c r="AQ33" s="69">
        <v>1857.8281389236454</v>
      </c>
      <c r="AR33" s="69">
        <v>419.21234219868978</v>
      </c>
      <c r="AS33" s="69">
        <v>583.85477768580131</v>
      </c>
    </row>
    <row r="34" spans="1:45" x14ac:dyDescent="0.25">
      <c r="A34" s="11">
        <v>43035</v>
      </c>
      <c r="B34" s="59"/>
      <c r="C34" s="60">
        <v>0</v>
      </c>
      <c r="D34" s="60">
        <v>0</v>
      </c>
      <c r="E34" s="50">
        <v>0</v>
      </c>
      <c r="F34" s="60">
        <v>0</v>
      </c>
      <c r="G34" s="60">
        <v>0</v>
      </c>
      <c r="H34" s="61">
        <v>0</v>
      </c>
      <c r="I34" s="59">
        <v>264.79297054608656</v>
      </c>
      <c r="J34" s="60">
        <v>604.17512140274005</v>
      </c>
      <c r="K34" s="60">
        <v>33.215800700585021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409.8123470942175</v>
      </c>
      <c r="V34" s="62">
        <v>0</v>
      </c>
      <c r="W34" s="62">
        <v>47.91012205680223</v>
      </c>
      <c r="X34" s="62">
        <v>0</v>
      </c>
      <c r="Y34" s="66">
        <v>225.19602001508107</v>
      </c>
      <c r="Z34" s="66">
        <v>0</v>
      </c>
      <c r="AA34" s="67">
        <v>0</v>
      </c>
      <c r="AB34" s="68">
        <v>56.450310651461756</v>
      </c>
      <c r="AC34" s="69">
        <v>0</v>
      </c>
      <c r="AD34" s="401">
        <v>12.877132200045594</v>
      </c>
      <c r="AE34" s="401">
        <v>0</v>
      </c>
      <c r="AF34" s="69">
        <v>12.750718492269536</v>
      </c>
      <c r="AG34" s="68">
        <v>12.585328715457148</v>
      </c>
      <c r="AH34" s="68">
        <v>0</v>
      </c>
      <c r="AI34" s="68">
        <v>1</v>
      </c>
      <c r="AJ34" s="69">
        <v>270.21024648348492</v>
      </c>
      <c r="AK34" s="69">
        <v>541.30559541384366</v>
      </c>
      <c r="AL34" s="69">
        <v>989.11463629404693</v>
      </c>
      <c r="AM34" s="69">
        <v>530.33464050292969</v>
      </c>
      <c r="AN34" s="69">
        <v>1501.2441101074219</v>
      </c>
      <c r="AO34" s="69">
        <v>1886.760168202718</v>
      </c>
      <c r="AP34" s="69">
        <v>543.42289128303537</v>
      </c>
      <c r="AQ34" s="69">
        <v>1910.8627878824868</v>
      </c>
      <c r="AR34" s="69">
        <v>404.87309592564901</v>
      </c>
      <c r="AS34" s="69">
        <v>579.20757923126212</v>
      </c>
    </row>
    <row r="35" spans="1:45" x14ac:dyDescent="0.25">
      <c r="A35" s="11">
        <v>43036</v>
      </c>
      <c r="B35" s="59"/>
      <c r="C35" s="60">
        <v>0</v>
      </c>
      <c r="D35" s="60">
        <v>0</v>
      </c>
      <c r="E35" s="50">
        <v>0</v>
      </c>
      <c r="F35" s="60">
        <v>0</v>
      </c>
      <c r="G35" s="60">
        <v>0</v>
      </c>
      <c r="H35" s="61">
        <v>0</v>
      </c>
      <c r="I35" s="59">
        <v>248.72591993013978</v>
      </c>
      <c r="J35" s="60">
        <v>563.84642248153602</v>
      </c>
      <c r="K35" s="60">
        <v>30.943289312720282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392.92780662112705</v>
      </c>
      <c r="V35" s="62">
        <v>0</v>
      </c>
      <c r="W35" s="62">
        <v>44.729035691420265</v>
      </c>
      <c r="X35" s="62">
        <v>0</v>
      </c>
      <c r="Y35" s="66">
        <v>214.21737727324162</v>
      </c>
      <c r="Z35" s="66">
        <v>0</v>
      </c>
      <c r="AA35" s="67">
        <v>0</v>
      </c>
      <c r="AB35" s="68">
        <v>52.685342992676006</v>
      </c>
      <c r="AC35" s="69">
        <v>0</v>
      </c>
      <c r="AD35" s="401">
        <v>11.978912291544624</v>
      </c>
      <c r="AE35" s="401">
        <v>0</v>
      </c>
      <c r="AF35" s="69">
        <v>12.227713596820834</v>
      </c>
      <c r="AG35" s="68">
        <v>12.070604333340498</v>
      </c>
      <c r="AH35" s="68">
        <v>0</v>
      </c>
      <c r="AI35" s="68">
        <v>1</v>
      </c>
      <c r="AJ35" s="69">
        <v>283.8655504544576</v>
      </c>
      <c r="AK35" s="69">
        <v>533.3919435024261</v>
      </c>
      <c r="AL35" s="69">
        <v>879.06326764424637</v>
      </c>
      <c r="AM35" s="69">
        <v>530.33464050292969</v>
      </c>
      <c r="AN35" s="69">
        <v>1501.2441101074219</v>
      </c>
      <c r="AO35" s="69">
        <v>1793.1068892161054</v>
      </c>
      <c r="AP35" s="69">
        <v>520.28352985382071</v>
      </c>
      <c r="AQ35" s="69">
        <v>1803.3886357625324</v>
      </c>
      <c r="AR35" s="69">
        <v>400.48825613657635</v>
      </c>
      <c r="AS35" s="69">
        <v>570.48682594299316</v>
      </c>
    </row>
    <row r="36" spans="1:45" x14ac:dyDescent="0.25">
      <c r="A36" s="11">
        <v>43037</v>
      </c>
      <c r="B36" s="59"/>
      <c r="C36" s="60">
        <v>0</v>
      </c>
      <c r="D36" s="60">
        <v>0</v>
      </c>
      <c r="E36" s="50">
        <v>0</v>
      </c>
      <c r="F36" s="60">
        <v>0</v>
      </c>
      <c r="G36" s="60">
        <v>0</v>
      </c>
      <c r="H36" s="61">
        <v>0</v>
      </c>
      <c r="I36" s="59">
        <v>247.77692629496246</v>
      </c>
      <c r="J36" s="60">
        <v>560.91062040329007</v>
      </c>
      <c r="K36" s="60">
        <v>30.979176178574519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376.45124376084846</v>
      </c>
      <c r="V36" s="62">
        <v>0</v>
      </c>
      <c r="W36" s="62">
        <v>41.274697399139477</v>
      </c>
      <c r="X36" s="62">
        <v>0</v>
      </c>
      <c r="Y36" s="66">
        <v>208.36875900427475</v>
      </c>
      <c r="Z36" s="66">
        <v>0</v>
      </c>
      <c r="AA36" s="67">
        <v>0</v>
      </c>
      <c r="AB36" s="68">
        <v>52.339887613719988</v>
      </c>
      <c r="AC36" s="69">
        <v>0</v>
      </c>
      <c r="AD36" s="401">
        <v>11.898602932701882</v>
      </c>
      <c r="AE36" s="401">
        <v>0</v>
      </c>
      <c r="AF36" s="69">
        <v>11.620656416813553</v>
      </c>
      <c r="AG36" s="68">
        <v>11.45237608420525</v>
      </c>
      <c r="AH36" s="68">
        <v>0</v>
      </c>
      <c r="AI36" s="68">
        <v>1</v>
      </c>
      <c r="AJ36" s="69">
        <v>267.73543623288475</v>
      </c>
      <c r="AK36" s="69">
        <v>489.06377967198688</v>
      </c>
      <c r="AL36" s="69">
        <v>893.99640954335518</v>
      </c>
      <c r="AM36" s="69">
        <v>530.33464050292969</v>
      </c>
      <c r="AN36" s="69">
        <v>1501.2441101074219</v>
      </c>
      <c r="AO36" s="69">
        <v>1719.9854742685957</v>
      </c>
      <c r="AP36" s="69">
        <v>489.73999686241149</v>
      </c>
      <c r="AQ36" s="69">
        <v>1805.6294858932499</v>
      </c>
      <c r="AR36" s="69">
        <v>409.34388465881347</v>
      </c>
      <c r="AS36" s="69">
        <v>665.75500017801926</v>
      </c>
    </row>
    <row r="37" spans="1:45" x14ac:dyDescent="0.25">
      <c r="A37" s="11">
        <v>43038</v>
      </c>
      <c r="B37" s="59"/>
      <c r="C37" s="60">
        <v>0</v>
      </c>
      <c r="D37" s="60">
        <v>0</v>
      </c>
      <c r="E37" s="50">
        <v>0</v>
      </c>
      <c r="F37" s="60">
        <v>0</v>
      </c>
      <c r="G37" s="60">
        <v>0</v>
      </c>
      <c r="H37" s="61">
        <v>0</v>
      </c>
      <c r="I37" s="59">
        <v>248.54121446609466</v>
      </c>
      <c r="J37" s="60">
        <v>563.27124923070312</v>
      </c>
      <c r="K37" s="60">
        <v>30.841459018985432</v>
      </c>
      <c r="L37" s="5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399.89633176591803</v>
      </c>
      <c r="V37" s="62">
        <v>0</v>
      </c>
      <c r="W37" s="62">
        <v>46.282670752207373</v>
      </c>
      <c r="X37" s="62">
        <v>0</v>
      </c>
      <c r="Y37" s="66">
        <v>232.30314780871061</v>
      </c>
      <c r="Z37" s="66">
        <v>0</v>
      </c>
      <c r="AA37" s="67">
        <v>0</v>
      </c>
      <c r="AB37" s="68">
        <v>52.781870555878193</v>
      </c>
      <c r="AC37" s="69">
        <v>0</v>
      </c>
      <c r="AD37" s="401">
        <v>11.948309073294807</v>
      </c>
      <c r="AE37" s="401">
        <v>0</v>
      </c>
      <c r="AF37" s="69">
        <v>12.238063463899813</v>
      </c>
      <c r="AG37" s="68">
        <v>11.998696358991261</v>
      </c>
      <c r="AH37" s="68">
        <v>0</v>
      </c>
      <c r="AI37" s="68">
        <v>1</v>
      </c>
      <c r="AJ37" s="69">
        <v>278.70076998074853</v>
      </c>
      <c r="AK37" s="69">
        <v>528.46500086784363</v>
      </c>
      <c r="AL37" s="69">
        <v>929.54248867034914</v>
      </c>
      <c r="AM37" s="69">
        <v>530.33464050292969</v>
      </c>
      <c r="AN37" s="69">
        <v>1501.2441101074219</v>
      </c>
      <c r="AO37" s="69">
        <v>1841.1007497151693</v>
      </c>
      <c r="AP37" s="69">
        <v>529.72081190745041</v>
      </c>
      <c r="AQ37" s="69">
        <v>1792.2267739613851</v>
      </c>
      <c r="AR37" s="69">
        <v>409.82555611928302</v>
      </c>
      <c r="AS37" s="69">
        <v>632.2265892982482</v>
      </c>
    </row>
    <row r="38" spans="1:45" ht="15.75" thickBot="1" x14ac:dyDescent="0.3">
      <c r="A38" s="11">
        <v>43039</v>
      </c>
      <c r="B38" s="73"/>
      <c r="C38" s="74">
        <v>0</v>
      </c>
      <c r="D38" s="74">
        <v>0</v>
      </c>
      <c r="E38" s="50">
        <v>0</v>
      </c>
      <c r="F38" s="74">
        <v>0</v>
      </c>
      <c r="G38" s="74">
        <v>0</v>
      </c>
      <c r="H38" s="75">
        <v>0</v>
      </c>
      <c r="I38" s="76">
        <v>248.51891331672616</v>
      </c>
      <c r="J38" s="74">
        <v>563.51408192316705</v>
      </c>
      <c r="K38" s="74">
        <v>30.851935293773771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386.643992572363</v>
      </c>
      <c r="V38" s="80">
        <v>0</v>
      </c>
      <c r="W38" s="81">
        <v>44.295018645127598</v>
      </c>
      <c r="X38" s="81">
        <v>0</v>
      </c>
      <c r="Y38" s="80">
        <v>215.06689060529064</v>
      </c>
      <c r="Z38" s="80">
        <v>0</v>
      </c>
      <c r="AA38" s="82">
        <v>0</v>
      </c>
      <c r="AB38" s="83">
        <v>52.695863927735182</v>
      </c>
      <c r="AC38" s="84">
        <v>0</v>
      </c>
      <c r="AD38" s="401">
        <v>11.938349780382335</v>
      </c>
      <c r="AE38" s="401">
        <v>0</v>
      </c>
      <c r="AF38" s="85">
        <v>11.834609106183047</v>
      </c>
      <c r="AG38" s="83">
        <v>11.592915859084544</v>
      </c>
      <c r="AH38" s="83">
        <v>0</v>
      </c>
      <c r="AI38" s="83">
        <v>1</v>
      </c>
      <c r="AJ38" s="84">
        <v>293.68441688219701</v>
      </c>
      <c r="AK38" s="84">
        <v>543.84786276817317</v>
      </c>
      <c r="AL38" s="84">
        <v>999.75478591918943</v>
      </c>
      <c r="AM38" s="84">
        <v>530.33464050292969</v>
      </c>
      <c r="AN38" s="84">
        <v>1501.2441101074219</v>
      </c>
      <c r="AO38" s="84">
        <v>1935.9112483978274</v>
      </c>
      <c r="AP38" s="84">
        <v>552.19766011238107</v>
      </c>
      <c r="AQ38" s="84">
        <v>1810.4917480468746</v>
      </c>
      <c r="AR38" s="84">
        <v>423.78276125590003</v>
      </c>
      <c r="AS38" s="84">
        <v>614.61087118784587</v>
      </c>
    </row>
    <row r="39" spans="1:45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7638.8104331850964</v>
      </c>
      <c r="J39" s="30">
        <f t="shared" si="0"/>
        <v>23560.311141391598</v>
      </c>
      <c r="K39" s="30">
        <f t="shared" si="0"/>
        <v>1293.2052298560736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12779.345962638321</v>
      </c>
      <c r="V39" s="262">
        <f t="shared" si="0"/>
        <v>0</v>
      </c>
      <c r="W39" s="262">
        <f t="shared" si="0"/>
        <v>1612.1596860965094</v>
      </c>
      <c r="X39" s="262">
        <f t="shared" si="0"/>
        <v>0</v>
      </c>
      <c r="Y39" s="262">
        <f t="shared" si="0"/>
        <v>8920.1954563379277</v>
      </c>
      <c r="Z39" s="262">
        <f t="shared" si="0"/>
        <v>0</v>
      </c>
      <c r="AA39" s="270">
        <f t="shared" si="0"/>
        <v>0</v>
      </c>
      <c r="AB39" s="273">
        <f t="shared" si="0"/>
        <v>2006.1891935196193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7468.2990930080414</v>
      </c>
      <c r="AK39" s="273">
        <f t="shared" si="1"/>
        <v>13226.790440909066</v>
      </c>
      <c r="AL39" s="273">
        <f t="shared" si="1"/>
        <v>31966.371969159445</v>
      </c>
      <c r="AM39" s="273">
        <f t="shared" si="1"/>
        <v>12650.437807226182</v>
      </c>
      <c r="AN39" s="273">
        <f t="shared" si="1"/>
        <v>44934.497808837892</v>
      </c>
      <c r="AO39" s="273">
        <f t="shared" si="1"/>
        <v>55147.201844724004</v>
      </c>
      <c r="AP39" s="273">
        <f t="shared" si="1"/>
        <v>15603.278254969917</v>
      </c>
      <c r="AQ39" s="273">
        <f t="shared" si="1"/>
        <v>60692.05481971104</v>
      </c>
      <c r="AR39" s="273">
        <f t="shared" si="1"/>
        <v>11854.52187961737</v>
      </c>
      <c r="AS39" s="273">
        <f t="shared" si="1"/>
        <v>19833.239411417639</v>
      </c>
    </row>
    <row r="40" spans="1:45" ht="15.75" thickBot="1" x14ac:dyDescent="0.3">
      <c r="A40" s="47" t="s">
        <v>174</v>
      </c>
      <c r="B40" s="32">
        <f>Projection!$AD$30</f>
        <v>0.82128400199999985</v>
      </c>
      <c r="C40" s="33">
        <f>Projection!$AD$28</f>
        <v>1.16246256</v>
      </c>
      <c r="D40" s="33">
        <f>Projection!$AD$31</f>
        <v>2.504502</v>
      </c>
      <c r="E40" s="33">
        <f>Projection!$AD$26</f>
        <v>3.9898560000000005</v>
      </c>
      <c r="F40" s="33">
        <f>Projection!$AD$23</f>
        <v>0</v>
      </c>
      <c r="G40" s="33">
        <f>Projection!$AD$24</f>
        <v>5.5265000000000002E-2</v>
      </c>
      <c r="H40" s="34">
        <f>Projection!$AD$29</f>
        <v>3.1332129000000002</v>
      </c>
      <c r="I40" s="32">
        <f>Projection!$AD$30</f>
        <v>0.82128400199999985</v>
      </c>
      <c r="J40" s="33">
        <f>Projection!$AD$28</f>
        <v>1.16246256</v>
      </c>
      <c r="K40" s="33">
        <f>Projection!$AD$26</f>
        <v>3.9898560000000005</v>
      </c>
      <c r="L40" s="33">
        <f>Projection!$AD$25</f>
        <v>0</v>
      </c>
      <c r="M40" s="33">
        <f>Projection!$AD$23</f>
        <v>0</v>
      </c>
      <c r="N40" s="34">
        <f>Projection!$AD$23</f>
        <v>0</v>
      </c>
      <c r="O40" s="264">
        <v>15.77</v>
      </c>
      <c r="P40" s="265">
        <v>15.77</v>
      </c>
      <c r="Q40" s="265">
        <v>15.77</v>
      </c>
      <c r="R40" s="265">
        <v>15.77</v>
      </c>
      <c r="S40" s="265">
        <f>Projection!$AD$28</f>
        <v>1.16246256</v>
      </c>
      <c r="T40" s="266">
        <f>Projection!$AD$28</f>
        <v>1.16246256</v>
      </c>
      <c r="U40" s="264">
        <f>Projection!$AD$27</f>
        <v>0.23211500000000002</v>
      </c>
      <c r="V40" s="265">
        <f>Projection!$AD$27</f>
        <v>0.23211500000000002</v>
      </c>
      <c r="W40" s="265">
        <f>Projection!$AD$22</f>
        <v>0.74349432000000004</v>
      </c>
      <c r="X40" s="265">
        <f>Projection!$AD$22</f>
        <v>0.74349432000000004</v>
      </c>
      <c r="Y40" s="265">
        <f>Projection!$AD$31</f>
        <v>2.504502</v>
      </c>
      <c r="Z40" s="265">
        <f>Projection!$AD$31</f>
        <v>2.504502</v>
      </c>
      <c r="AA40" s="271">
        <v>0</v>
      </c>
      <c r="AB40" s="274">
        <f>Projection!$AD$27</f>
        <v>0.23211500000000002</v>
      </c>
      <c r="AC40" s="274">
        <f>Projection!$AD$30</f>
        <v>0.82128400199999985</v>
      </c>
      <c r="AD40" s="403">
        <f>SUM(AD8:AD38)</f>
        <v>445.86788772869949</v>
      </c>
      <c r="AE40" s="403">
        <f>SUM(AE8:AE38)</f>
        <v>0</v>
      </c>
      <c r="AF40" s="277">
        <f>SUM(AF8:AF38)</f>
        <v>441.64762552049416</v>
      </c>
      <c r="AG40" s="277">
        <f>SUM(AG8:AG38)</f>
        <v>438.23162395677934</v>
      </c>
      <c r="AH40" s="277">
        <f>SUM(AH8:AH38)</f>
        <v>0</v>
      </c>
      <c r="AI40" s="277">
        <f>IF(SUM(AG40:AH40)&gt;0, AG40/(AG40+AH40),0)</f>
        <v>1</v>
      </c>
      <c r="AJ40" s="313">
        <v>6.8000000000000005E-2</v>
      </c>
      <c r="AK40" s="313">
        <f t="shared" ref="AK40:AS40" si="2">$AJ$40</f>
        <v>6.8000000000000005E-2</v>
      </c>
      <c r="AL40" s="313">
        <f t="shared" si="2"/>
        <v>6.8000000000000005E-2</v>
      </c>
      <c r="AM40" s="313">
        <f t="shared" si="2"/>
        <v>6.8000000000000005E-2</v>
      </c>
      <c r="AN40" s="313">
        <f t="shared" si="2"/>
        <v>6.8000000000000005E-2</v>
      </c>
      <c r="AO40" s="313">
        <f t="shared" si="2"/>
        <v>6.8000000000000005E-2</v>
      </c>
      <c r="AP40" s="313">
        <f t="shared" si="2"/>
        <v>6.8000000000000005E-2</v>
      </c>
      <c r="AQ40" s="313">
        <f t="shared" si="2"/>
        <v>6.8000000000000005E-2</v>
      </c>
      <c r="AR40" s="313">
        <f t="shared" si="2"/>
        <v>6.8000000000000005E-2</v>
      </c>
      <c r="AS40" s="313">
        <f t="shared" si="2"/>
        <v>6.8000000000000005E-2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6273.6328030856084</v>
      </c>
      <c r="J41" s="36">
        <f t="shared" si="3"/>
        <v>27387.9796038186</v>
      </c>
      <c r="K41" s="36">
        <f t="shared" si="3"/>
        <v>5159.7026455726354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2966.2778881177942</v>
      </c>
      <c r="V41" s="268">
        <f t="shared" si="3"/>
        <v>0</v>
      </c>
      <c r="W41" s="268">
        <f t="shared" si="3"/>
        <v>1198.6315695457379</v>
      </c>
      <c r="X41" s="268">
        <f t="shared" si="3"/>
        <v>0</v>
      </c>
      <c r="Y41" s="268">
        <f t="shared" si="3"/>
        <v>22340.647360789251</v>
      </c>
      <c r="Z41" s="268">
        <f t="shared" si="3"/>
        <v>0</v>
      </c>
      <c r="AA41" s="272">
        <f t="shared" si="3"/>
        <v>0</v>
      </c>
      <c r="AB41" s="275">
        <f t="shared" si="3"/>
        <v>465.66660465380647</v>
      </c>
      <c r="AC41" s="275">
        <f t="shared" si="3"/>
        <v>0</v>
      </c>
      <c r="AJ41" s="278">
        <f t="shared" ref="AJ41:AS41" si="4">AJ40*AJ39</f>
        <v>507.84433832454687</v>
      </c>
      <c r="AK41" s="278">
        <f t="shared" si="4"/>
        <v>899.42174998181656</v>
      </c>
      <c r="AL41" s="278">
        <f t="shared" si="4"/>
        <v>2173.7132939028425</v>
      </c>
      <c r="AM41" s="278">
        <f t="shared" si="4"/>
        <v>860.22977089138044</v>
      </c>
      <c r="AN41" s="278">
        <f t="shared" si="4"/>
        <v>3055.5458510009767</v>
      </c>
      <c r="AO41" s="278">
        <f t="shared" si="4"/>
        <v>3750.0097254412326</v>
      </c>
      <c r="AP41" s="278">
        <f t="shared" si="4"/>
        <v>1061.0229213379544</v>
      </c>
      <c r="AQ41" s="278">
        <f t="shared" si="4"/>
        <v>4127.0597277403513</v>
      </c>
      <c r="AR41" s="278">
        <f t="shared" si="4"/>
        <v>806.10748781398127</v>
      </c>
      <c r="AS41" s="278">
        <f t="shared" si="4"/>
        <v>1348.6602799763996</v>
      </c>
    </row>
    <row r="42" spans="1:45" ht="49.5" customHeight="1" thickTop="1" thickBot="1" x14ac:dyDescent="0.3">
      <c r="A42" s="620" t="s">
        <v>233</v>
      </c>
      <c r="B42" s="621"/>
      <c r="C42" s="621"/>
      <c r="D42" s="621"/>
      <c r="E42" s="621"/>
      <c r="F42" s="621"/>
      <c r="G42" s="621"/>
      <c r="H42" s="621"/>
      <c r="I42" s="621"/>
      <c r="J42" s="621"/>
      <c r="K42" s="614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186</v>
      </c>
      <c r="AJ42" s="295">
        <v>165.66</v>
      </c>
      <c r="AK42" s="278" t="s">
        <v>199</v>
      </c>
      <c r="AL42" s="278">
        <v>928.05</v>
      </c>
      <c r="AM42" s="278">
        <v>176.29</v>
      </c>
      <c r="AN42" s="278">
        <v>114.15</v>
      </c>
      <c r="AO42" s="278">
        <v>3067.92</v>
      </c>
      <c r="AP42" s="278">
        <v>579.37</v>
      </c>
      <c r="AQ42" s="278" t="s">
        <v>199</v>
      </c>
      <c r="AR42" s="278">
        <v>66.34</v>
      </c>
      <c r="AS42" s="278">
        <v>213.45</v>
      </c>
    </row>
    <row r="43" spans="1:45" ht="38.25" customHeight="1" thickTop="1" thickBot="1" x14ac:dyDescent="0.3">
      <c r="A43" s="617" t="s">
        <v>49</v>
      </c>
      <c r="B43" s="613"/>
      <c r="C43" s="289"/>
      <c r="D43" s="613" t="s">
        <v>47</v>
      </c>
      <c r="E43" s="613"/>
      <c r="F43" s="289"/>
      <c r="G43" s="613" t="s">
        <v>48</v>
      </c>
      <c r="H43" s="613"/>
      <c r="I43" s="290"/>
      <c r="J43" s="613" t="s">
        <v>50</v>
      </c>
      <c r="K43" s="614"/>
      <c r="L43" s="44"/>
      <c r="M43" s="44"/>
      <c r="N43" s="44"/>
      <c r="O43" s="45"/>
      <c r="P43" s="45"/>
      <c r="Q43" s="45"/>
      <c r="R43" s="602" t="s">
        <v>168</v>
      </c>
      <c r="S43" s="603"/>
      <c r="T43" s="603"/>
      <c r="U43" s="604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65792.538475583424</v>
      </c>
      <c r="C44" s="12"/>
      <c r="D44" s="282" t="s">
        <v>135</v>
      </c>
      <c r="E44" s="283">
        <f>SUM(B41:H41)+P41+R41+T41+V41+X41+Z41</f>
        <v>0</v>
      </c>
      <c r="F44" s="12"/>
      <c r="G44" s="282" t="s">
        <v>135</v>
      </c>
      <c r="H44" s="283">
        <f>SUM(I41:N41)+O41+Q41+S41+U41+W41+Y41</f>
        <v>65326.871870929623</v>
      </c>
      <c r="I44" s="12"/>
      <c r="J44" s="282" t="s">
        <v>200</v>
      </c>
      <c r="K44" s="283">
        <v>137491.98000000001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5" ht="24" thickBot="1" x14ac:dyDescent="0.4">
      <c r="A45" s="284" t="s">
        <v>185</v>
      </c>
      <c r="B45" s="285">
        <f>SUM(AJ41:AS41)</f>
        <v>18589.615146411481</v>
      </c>
      <c r="C45" s="12"/>
      <c r="D45" s="284" t="s">
        <v>185</v>
      </c>
      <c r="E45" s="285">
        <f>AJ41*(1-$AI$40)+AK41+AL41*0.5+AN41+AO41*(1-$AI$40)+AP41*(1-$AI$40)+AQ41*(1-$AI$40)+AR41*0.5+AS41*0.5</f>
        <v>6119.208131829404</v>
      </c>
      <c r="F45" s="24"/>
      <c r="G45" s="284" t="s">
        <v>185</v>
      </c>
      <c r="H45" s="285">
        <f>AJ41*AI40+AL41*0.5+AM41+AO41*AI40+AP41*AI40+AQ41*AI40+AR41*0.5+AS41*0.5</f>
        <v>12470.407014582077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1612.1596860965094</v>
      </c>
      <c r="U45" s="256">
        <f>(T45*8.34*0.895)/27000</f>
        <v>0.44569050166408058</v>
      </c>
    </row>
    <row r="46" spans="1:45" ht="32.25" thickBot="1" x14ac:dyDescent="0.3">
      <c r="A46" s="286" t="s">
        <v>186</v>
      </c>
      <c r="B46" s="287">
        <f>SUM(AJ42:AS42)</f>
        <v>5311.23</v>
      </c>
      <c r="C46" s="12"/>
      <c r="D46" s="286" t="s">
        <v>186</v>
      </c>
      <c r="E46" s="287">
        <f>AJ42*(1-$AI$40)+AL42*0.5+AN42+AO42*(1-$AI$40)+AP42*(1-$AI$40)+AR42*0.5+AS42*0.5</f>
        <v>718.06999999999994</v>
      </c>
      <c r="F46" s="23"/>
      <c r="G46" s="286" t="s">
        <v>186</v>
      </c>
      <c r="H46" s="287">
        <f>AJ42*AI40+AL42*0.5+AM42+AO42*AI40+AP42*AI40+AR42*0.5+AS42*0.5</f>
        <v>4593.1600000000008</v>
      </c>
      <c r="I46" s="12"/>
      <c r="J46" s="615" t="s">
        <v>201</v>
      </c>
      <c r="K46" s="616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187</v>
      </c>
      <c r="B47" s="287">
        <f>K44</f>
        <v>137491.98000000001</v>
      </c>
      <c r="C47" s="12"/>
      <c r="D47" s="286" t="s">
        <v>189</v>
      </c>
      <c r="E47" s="287">
        <f>K44*0.5</f>
        <v>68745.990000000005</v>
      </c>
      <c r="F47" s="24"/>
      <c r="G47" s="286" t="s">
        <v>187</v>
      </c>
      <c r="H47" s="287">
        <f>K44*0.5</f>
        <v>68745.990000000005</v>
      </c>
      <c r="I47" s="12"/>
      <c r="J47" s="282" t="s">
        <v>200</v>
      </c>
      <c r="K47" s="283">
        <v>66901.649999999994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0</v>
      </c>
      <c r="U47" s="256">
        <f>T47/40000</f>
        <v>0</v>
      </c>
    </row>
    <row r="48" spans="1:45" ht="24" thickBot="1" x14ac:dyDescent="0.3">
      <c r="A48" s="286" t="s">
        <v>188</v>
      </c>
      <c r="B48" s="287">
        <f>K47</f>
        <v>66901.649999999994</v>
      </c>
      <c r="C48" s="12"/>
      <c r="D48" s="286" t="s">
        <v>188</v>
      </c>
      <c r="E48" s="287">
        <f>K47*0.5</f>
        <v>33450.824999999997</v>
      </c>
      <c r="F48" s="23"/>
      <c r="G48" s="286" t="s">
        <v>188</v>
      </c>
      <c r="H48" s="287">
        <f>K47*0.5</f>
        <v>33450.824999999997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196</v>
      </c>
      <c r="B49" s="292">
        <f>AF40</f>
        <v>441.64762552049416</v>
      </c>
      <c r="C49" s="12"/>
      <c r="D49" s="291" t="s">
        <v>197</v>
      </c>
      <c r="E49" s="292">
        <f>AH40</f>
        <v>0</v>
      </c>
      <c r="F49" s="23"/>
      <c r="G49" s="291" t="s">
        <v>198</v>
      </c>
      <c r="H49" s="292">
        <f>AG40</f>
        <v>438.23162395677934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1293.2052298560736</v>
      </c>
      <c r="U49" s="256">
        <f>(T49*8.34*1.04)/45000</f>
        <v>0.24926099737065868</v>
      </c>
    </row>
    <row r="50" spans="1:25" ht="48" customHeight="1" thickTop="1" thickBot="1" x14ac:dyDescent="0.3">
      <c r="A50" s="291" t="s">
        <v>238</v>
      </c>
      <c r="B50" s="292">
        <f>SUM(E50+H50)</f>
        <v>445.86788772869949</v>
      </c>
      <c r="C50" s="12"/>
      <c r="D50" s="291" t="s">
        <v>239</v>
      </c>
      <c r="E50" s="292">
        <f>AE40</f>
        <v>0</v>
      </c>
      <c r="F50" s="23"/>
      <c r="G50" s="291" t="s">
        <v>240</v>
      </c>
      <c r="H50" s="292">
        <f>AD40</f>
        <v>445.86788772869949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192</v>
      </c>
      <c r="B51" s="293">
        <f>(SUM(B44:B48)/B50)</f>
        <v>659.58330195095857</v>
      </c>
      <c r="C51" s="12"/>
      <c r="D51" s="291" t="s">
        <v>190</v>
      </c>
      <c r="E51" s="402" t="e">
        <f>SUM(E44:E48)/E50</f>
        <v>#DIV/0!</v>
      </c>
      <c r="F51" s="23"/>
      <c r="G51" s="291" t="s">
        <v>191</v>
      </c>
      <c r="H51" s="402">
        <f>SUM(H44:H48)/H50</f>
        <v>413.99539856036654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14785.535156157941</v>
      </c>
      <c r="U51" s="256">
        <f>T51/2000/8</f>
        <v>0.92409594725987132</v>
      </c>
    </row>
    <row r="52" spans="1:25" ht="48" thickTop="1" thickBot="1" x14ac:dyDescent="0.3">
      <c r="A52" s="281" t="s">
        <v>193</v>
      </c>
      <c r="B52" s="294">
        <f>B51/1000</f>
        <v>0.6595833019509586</v>
      </c>
      <c r="C52" s="12"/>
      <c r="D52" s="281" t="s">
        <v>194</v>
      </c>
      <c r="E52" s="294" t="e">
        <f>E51/1000</f>
        <v>#DIV/0!</v>
      </c>
      <c r="F52" s="374" t="e">
        <f>E44/E49</f>
        <v>#DIV/0!</v>
      </c>
      <c r="G52" s="281" t="s">
        <v>195</v>
      </c>
      <c r="H52" s="294">
        <f>H51/1000</f>
        <v>0.41399539856036655</v>
      </c>
      <c r="I52" s="374">
        <f>H44/H49</f>
        <v>149.06927820748166</v>
      </c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23560.311141391598</v>
      </c>
      <c r="U52" s="256">
        <f>(T52*8.34*1.4)/45000</f>
        <v>6.1131153974864061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0</v>
      </c>
      <c r="U53" s="256">
        <f>(T53*8.34*1.135)/45000</f>
        <v>0</v>
      </c>
    </row>
    <row r="54" spans="1:25" ht="33" thickTop="1" thickBot="1" x14ac:dyDescent="0.3">
      <c r="A54" s="605" t="s">
        <v>51</v>
      </c>
      <c r="B54" s="606"/>
      <c r="C54" s="606"/>
      <c r="D54" s="606"/>
      <c r="E54" s="60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7638.8104331850964</v>
      </c>
      <c r="U54" s="256">
        <f>(T54*8.34*1.029*0.03)/3300</f>
        <v>0.59595637912848942</v>
      </c>
    </row>
    <row r="55" spans="1:25" ht="59.25" customHeight="1" thickBot="1" x14ac:dyDescent="0.3">
      <c r="A55" s="610" t="s">
        <v>202</v>
      </c>
      <c r="B55" s="611"/>
      <c r="C55" s="611"/>
      <c r="D55" s="611"/>
      <c r="E55" s="61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18" t="s">
        <v>158</v>
      </c>
      <c r="S55" s="619"/>
      <c r="T55" s="258">
        <f>$D$39+$Y$39+$Z$39</f>
        <v>8920.1954563379277</v>
      </c>
      <c r="U55" s="259">
        <f>(T55*1.54*8.34)/45000</f>
        <v>2.5459427191782624</v>
      </c>
      <c r="V55" s="326"/>
      <c r="W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3"/>
      <c r="T56" s="654"/>
      <c r="U56" s="654"/>
      <c r="V56" s="324"/>
      <c r="W56" s="325"/>
      <c r="X56" s="323"/>
      <c r="Y56" s="323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3"/>
      <c r="T57" s="653"/>
      <c r="U57" s="653"/>
      <c r="V57" s="324"/>
      <c r="W57" s="325"/>
      <c r="X57" s="323"/>
      <c r="Y57" s="323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3"/>
      <c r="T58" s="653"/>
      <c r="U58" s="653"/>
      <c r="V58" s="324"/>
      <c r="W58" s="325"/>
      <c r="X58" s="323"/>
      <c r="Y58" s="323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3"/>
      <c r="T59" s="653"/>
      <c r="U59" s="653"/>
      <c r="V59" s="324"/>
      <c r="W59" s="325"/>
      <c r="X59" s="323"/>
      <c r="Y59" s="323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3"/>
      <c r="T60" s="653"/>
      <c r="U60" s="653"/>
      <c r="V60" s="324"/>
      <c r="W60" s="325"/>
      <c r="X60" s="323"/>
      <c r="Y60" s="323"/>
    </row>
    <row r="61" spans="1:25" x14ac:dyDescent="0.25">
      <c r="S61" s="323"/>
      <c r="T61" s="653"/>
      <c r="U61" s="653"/>
      <c r="V61" s="324"/>
      <c r="W61" s="325"/>
      <c r="X61" s="323"/>
      <c r="Y61" s="323"/>
    </row>
    <row r="62" spans="1:25" x14ac:dyDescent="0.25">
      <c r="S62" s="323"/>
      <c r="T62" s="653"/>
      <c r="U62" s="653"/>
      <c r="V62" s="324"/>
      <c r="W62" s="325"/>
      <c r="X62" s="323"/>
      <c r="Y62" s="323"/>
    </row>
    <row r="63" spans="1:25" x14ac:dyDescent="0.25">
      <c r="S63" s="323"/>
      <c r="T63" s="653"/>
      <c r="U63" s="653"/>
      <c r="V63" s="324"/>
      <c r="W63" s="325"/>
      <c r="X63" s="323"/>
      <c r="Y63" s="323"/>
    </row>
    <row r="64" spans="1:25" x14ac:dyDescent="0.25">
      <c r="S64" s="323"/>
      <c r="T64" s="323"/>
      <c r="U64" s="323"/>
      <c r="V64" s="323"/>
      <c r="W64" s="323"/>
      <c r="X64" s="323"/>
      <c r="Y64" s="323"/>
    </row>
    <row r="65" spans="19:25" x14ac:dyDescent="0.25">
      <c r="S65" s="323"/>
      <c r="T65" s="323"/>
      <c r="U65" s="323"/>
      <c r="V65" s="323"/>
      <c r="W65" s="323"/>
      <c r="X65" s="323"/>
      <c r="Y65" s="323"/>
    </row>
    <row r="66" spans="19:25" x14ac:dyDescent="0.25">
      <c r="S66" s="323"/>
      <c r="T66" s="323"/>
      <c r="U66" s="323"/>
      <c r="V66" s="323"/>
      <c r="W66" s="323"/>
      <c r="X66" s="323"/>
      <c r="Y66" s="323"/>
    </row>
    <row r="67" spans="19:25" x14ac:dyDescent="0.25">
      <c r="S67" s="323"/>
      <c r="T67" s="323"/>
      <c r="U67" s="323"/>
      <c r="V67" s="323"/>
      <c r="W67" s="323"/>
      <c r="X67" s="323"/>
      <c r="Y67" s="323"/>
    </row>
  </sheetData>
  <sheetProtection algorithmName="SHA-512" hashValue="0zm/5Ye4vAbDHjzn98Z+DliiWn+Bq4MOWMwBd3EvYQEI0SOwXF3DBWIjY4JKkL2ksmySvEwo4r+6HAMZveJipw==" saltValue="wFthoANsGsvqyMB5Wn5rRQ==" spinCount="100000" sheet="1" objects="1" scenarios="1" selectLockedCells="1" selectUnlockedCells="1"/>
  <mergeCells count="40">
    <mergeCell ref="AR4:AR5"/>
    <mergeCell ref="AS4:AS5"/>
    <mergeCell ref="AJ4:AJ5"/>
    <mergeCell ref="AK4:AK5"/>
    <mergeCell ref="AL4:AL5"/>
    <mergeCell ref="AM4:AM5"/>
    <mergeCell ref="AN4:AN5"/>
    <mergeCell ref="AO4:AO5"/>
    <mergeCell ref="O4:T5"/>
    <mergeCell ref="U4:AA5"/>
    <mergeCell ref="R43:U43"/>
    <mergeCell ref="AP4:AP5"/>
    <mergeCell ref="AQ4:AQ5"/>
    <mergeCell ref="AI4:AI5"/>
    <mergeCell ref="AB4:AB5"/>
    <mergeCell ref="AC4:AC5"/>
    <mergeCell ref="AF4:AF5"/>
    <mergeCell ref="AG4:AG5"/>
    <mergeCell ref="AH4:AH5"/>
    <mergeCell ref="AD4:AD5"/>
    <mergeCell ref="AE4:AE5"/>
    <mergeCell ref="B4:H5"/>
    <mergeCell ref="I4:N5"/>
    <mergeCell ref="G43:H43"/>
    <mergeCell ref="D43:E43"/>
    <mergeCell ref="A43:B43"/>
    <mergeCell ref="A42:K42"/>
    <mergeCell ref="J43:K43"/>
    <mergeCell ref="J46:K46"/>
    <mergeCell ref="A54:E54"/>
    <mergeCell ref="A55:E55"/>
    <mergeCell ref="R55:S55"/>
    <mergeCell ref="T62:U62"/>
    <mergeCell ref="T56:U56"/>
    <mergeCell ref="T63:U63"/>
    <mergeCell ref="T57:U57"/>
    <mergeCell ref="T58:U58"/>
    <mergeCell ref="T59:U59"/>
    <mergeCell ref="T60:U60"/>
    <mergeCell ref="T61:U61"/>
  </mergeCells>
  <pageMargins left="0.33" right="0.19" top="0.75" bottom="0.75" header="0.3" footer="0.3"/>
  <pageSetup scale="5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70"/>
  <sheetViews>
    <sheetView topLeftCell="E42" zoomScale="80" zoomScaleNormal="80" workbookViewId="0">
      <selection activeCell="I49" sqref="I49"/>
    </sheetView>
  </sheetViews>
  <sheetFormatPr defaultRowHeight="15" x14ac:dyDescent="0.25"/>
  <cols>
    <col min="1" max="1" width="38.8554687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8554687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171</v>
      </c>
      <c r="BC3" s="260" t="s">
        <v>208</v>
      </c>
    </row>
    <row r="4" spans="1:55" ht="30" customHeight="1" thickTop="1" x14ac:dyDescent="0.25">
      <c r="A4" s="13"/>
      <c r="B4" s="623" t="s">
        <v>3</v>
      </c>
      <c r="C4" s="624"/>
      <c r="D4" s="624"/>
      <c r="E4" s="624"/>
      <c r="F4" s="624"/>
      <c r="G4" s="624"/>
      <c r="H4" s="625"/>
      <c r="I4" s="623" t="s">
        <v>4</v>
      </c>
      <c r="J4" s="624"/>
      <c r="K4" s="624"/>
      <c r="L4" s="624"/>
      <c r="M4" s="624"/>
      <c r="N4" s="625"/>
      <c r="O4" s="629" t="s">
        <v>5</v>
      </c>
      <c r="P4" s="630"/>
      <c r="Q4" s="631"/>
      <c r="R4" s="631"/>
      <c r="S4" s="631"/>
      <c r="T4" s="632"/>
      <c r="U4" s="623" t="s">
        <v>6</v>
      </c>
      <c r="V4" s="636"/>
      <c r="W4" s="636"/>
      <c r="X4" s="636"/>
      <c r="Y4" s="636"/>
      <c r="Z4" s="636"/>
      <c r="AA4" s="637"/>
      <c r="AB4" s="641" t="s">
        <v>7</v>
      </c>
      <c r="AC4" s="643" t="s">
        <v>8</v>
      </c>
      <c r="AD4" s="608" t="s">
        <v>237</v>
      </c>
      <c r="AE4" s="608" t="s">
        <v>236</v>
      </c>
      <c r="AF4" s="608" t="s">
        <v>27</v>
      </c>
      <c r="AG4" s="608" t="s">
        <v>31</v>
      </c>
      <c r="AH4" s="608" t="s">
        <v>32</v>
      </c>
      <c r="AI4" s="608" t="s">
        <v>33</v>
      </c>
      <c r="AJ4" s="641" t="s">
        <v>175</v>
      </c>
      <c r="AK4" s="641" t="s">
        <v>176</v>
      </c>
      <c r="AL4" s="641" t="s">
        <v>177</v>
      </c>
      <c r="AM4" s="641" t="s">
        <v>178</v>
      </c>
      <c r="AN4" s="641" t="s">
        <v>179</v>
      </c>
      <c r="AO4" s="641" t="s">
        <v>180</v>
      </c>
      <c r="AP4" s="641" t="s">
        <v>181</v>
      </c>
      <c r="AQ4" s="641" t="s">
        <v>184</v>
      </c>
      <c r="AR4" s="641" t="s">
        <v>182</v>
      </c>
      <c r="AS4" s="641" t="s">
        <v>183</v>
      </c>
    </row>
    <row r="5" spans="1:55" ht="30" customHeight="1" thickBot="1" x14ac:dyDescent="0.3">
      <c r="A5" s="13"/>
      <c r="B5" s="626"/>
      <c r="C5" s="627"/>
      <c r="D5" s="627"/>
      <c r="E5" s="627"/>
      <c r="F5" s="627"/>
      <c r="G5" s="627"/>
      <c r="H5" s="628"/>
      <c r="I5" s="626"/>
      <c r="J5" s="627"/>
      <c r="K5" s="627"/>
      <c r="L5" s="627"/>
      <c r="M5" s="627"/>
      <c r="N5" s="628"/>
      <c r="O5" s="633"/>
      <c r="P5" s="634"/>
      <c r="Q5" s="634"/>
      <c r="R5" s="634"/>
      <c r="S5" s="634"/>
      <c r="T5" s="635"/>
      <c r="U5" s="638"/>
      <c r="V5" s="639"/>
      <c r="W5" s="639"/>
      <c r="X5" s="639"/>
      <c r="Y5" s="639"/>
      <c r="Z5" s="639"/>
      <c r="AA5" s="640"/>
      <c r="AB5" s="642"/>
      <c r="AC5" s="644"/>
      <c r="AD5" s="609"/>
      <c r="AE5" s="609"/>
      <c r="AF5" s="622"/>
      <c r="AG5" s="622"/>
      <c r="AH5" s="622"/>
      <c r="AI5" s="622"/>
      <c r="AJ5" s="609"/>
      <c r="AK5" s="609"/>
      <c r="AL5" s="609"/>
      <c r="AM5" s="609"/>
      <c r="AN5" s="609"/>
      <c r="AO5" s="609"/>
      <c r="AP5" s="609"/>
      <c r="AQ5" s="609"/>
      <c r="AR5" s="609"/>
      <c r="AS5" s="609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409" t="s">
        <v>23</v>
      </c>
      <c r="AD7" s="399" t="s">
        <v>28</v>
      </c>
      <c r="AE7" s="399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  <c r="AR7" s="22" t="s">
        <v>172</v>
      </c>
      <c r="AS7" s="22" t="s">
        <v>172</v>
      </c>
    </row>
    <row r="8" spans="1:55" x14ac:dyDescent="0.25">
      <c r="A8" s="11">
        <v>43040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248.37975373268085</v>
      </c>
      <c r="J8" s="50">
        <v>563.07618360519439</v>
      </c>
      <c r="K8" s="50">
        <v>30.935732255379293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399.82354068756206</v>
      </c>
      <c r="V8" s="54">
        <v>0</v>
      </c>
      <c r="W8" s="54">
        <v>45.803248584270484</v>
      </c>
      <c r="X8" s="54">
        <v>0</v>
      </c>
      <c r="Y8" s="54">
        <v>222.61736697355931</v>
      </c>
      <c r="Z8" s="54">
        <v>0</v>
      </c>
      <c r="AA8" s="55">
        <v>0</v>
      </c>
      <c r="AB8" s="56">
        <v>52.742371259795306</v>
      </c>
      <c r="AC8" s="57">
        <v>0</v>
      </c>
      <c r="AD8" s="430">
        <v>11.900800577321377</v>
      </c>
      <c r="AE8" s="432">
        <v>0</v>
      </c>
      <c r="AF8" s="57">
        <v>12.233702329794532</v>
      </c>
      <c r="AG8" s="58">
        <v>12.000014625986092</v>
      </c>
      <c r="AH8" s="58">
        <v>0</v>
      </c>
      <c r="AI8" s="58">
        <v>1</v>
      </c>
      <c r="AJ8" s="57">
        <v>270.8518863360087</v>
      </c>
      <c r="AK8" s="57">
        <v>487.54205166498809</v>
      </c>
      <c r="AL8" s="57">
        <v>993.48570181528737</v>
      </c>
      <c r="AM8" s="57">
        <v>530.33464050292969</v>
      </c>
      <c r="AN8" s="57">
        <v>1501.2441101074219</v>
      </c>
      <c r="AO8" s="57">
        <v>1758.5966693878174</v>
      </c>
      <c r="AP8" s="57">
        <v>497.29279654820766</v>
      </c>
      <c r="AQ8" s="57">
        <v>1800.6986913045248</v>
      </c>
      <c r="AR8" s="57">
        <v>435.07624251047764</v>
      </c>
      <c r="AS8" s="57">
        <v>727.68110043207798</v>
      </c>
    </row>
    <row r="9" spans="1:55" x14ac:dyDescent="0.25">
      <c r="A9" s="11">
        <v>43041</v>
      </c>
      <c r="B9" s="59"/>
      <c r="C9" s="60">
        <v>0</v>
      </c>
      <c r="D9" s="60">
        <v>0</v>
      </c>
      <c r="E9" s="50">
        <v>0</v>
      </c>
      <c r="F9" s="60">
        <v>0</v>
      </c>
      <c r="G9" s="60">
        <v>0</v>
      </c>
      <c r="H9" s="61">
        <v>0</v>
      </c>
      <c r="I9" s="59">
        <v>243.18130723635329</v>
      </c>
      <c r="J9" s="60">
        <v>563.05739336013789</v>
      </c>
      <c r="K9" s="60">
        <v>30.892843166987078</v>
      </c>
      <c r="L9" s="50">
        <v>4.6262741088867146E-4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399.96766800350383</v>
      </c>
      <c r="V9" s="62">
        <v>0</v>
      </c>
      <c r="W9" s="62">
        <v>46.21532084941866</v>
      </c>
      <c r="X9" s="62">
        <v>0</v>
      </c>
      <c r="Y9" s="66">
        <v>224.44937681357089</v>
      </c>
      <c r="Z9" s="66">
        <v>0</v>
      </c>
      <c r="AA9" s="67">
        <v>0</v>
      </c>
      <c r="AB9" s="68">
        <v>52.788510007328341</v>
      </c>
      <c r="AC9" s="69">
        <v>0</v>
      </c>
      <c r="AD9" s="431">
        <v>11.892355490982009</v>
      </c>
      <c r="AE9" s="433">
        <v>0</v>
      </c>
      <c r="AF9" s="69">
        <v>12.232270099057111</v>
      </c>
      <c r="AG9" s="68">
        <v>11.999807098676758</v>
      </c>
      <c r="AH9" s="68">
        <v>0</v>
      </c>
      <c r="AI9" s="68">
        <v>1</v>
      </c>
      <c r="AJ9" s="69">
        <v>274.9760175069174</v>
      </c>
      <c r="AK9" s="69">
        <v>495.58494413693751</v>
      </c>
      <c r="AL9" s="69">
        <v>972.21552104949944</v>
      </c>
      <c r="AM9" s="69">
        <v>530.33464050292969</v>
      </c>
      <c r="AN9" s="69">
        <v>1501.2441101074219</v>
      </c>
      <c r="AO9" s="69">
        <v>1740.6433890024821</v>
      </c>
      <c r="AP9" s="69">
        <v>487.6474363485973</v>
      </c>
      <c r="AQ9" s="69">
        <v>1800.367281595866</v>
      </c>
      <c r="AR9" s="69">
        <v>442.87894306182858</v>
      </c>
      <c r="AS9" s="69">
        <v>592.75731175740555</v>
      </c>
    </row>
    <row r="10" spans="1:55" x14ac:dyDescent="0.25">
      <c r="A10" s="11">
        <v>43042</v>
      </c>
      <c r="B10" s="59"/>
      <c r="C10" s="60">
        <v>0</v>
      </c>
      <c r="D10" s="60">
        <v>0</v>
      </c>
      <c r="E10" s="50">
        <v>0</v>
      </c>
      <c r="F10" s="60">
        <v>0</v>
      </c>
      <c r="G10" s="60">
        <v>0</v>
      </c>
      <c r="H10" s="61">
        <v>0</v>
      </c>
      <c r="I10" s="59">
        <v>235.89760204950943</v>
      </c>
      <c r="J10" s="60">
        <v>563.14925374984784</v>
      </c>
      <c r="K10" s="60">
        <v>30.896899029612484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395.52947998046807</v>
      </c>
      <c r="V10" s="62">
        <v>0</v>
      </c>
      <c r="W10" s="62">
        <v>45.794136814276335</v>
      </c>
      <c r="X10" s="62">
        <v>0</v>
      </c>
      <c r="Y10" s="66">
        <v>221.63625268936215</v>
      </c>
      <c r="Z10" s="66">
        <v>0</v>
      </c>
      <c r="AA10" s="67">
        <v>0</v>
      </c>
      <c r="AB10" s="68">
        <v>52.786635536617752</v>
      </c>
      <c r="AC10" s="69">
        <v>0</v>
      </c>
      <c r="AD10" s="431">
        <v>11.896322390141824</v>
      </c>
      <c r="AE10" s="433">
        <v>0</v>
      </c>
      <c r="AF10" s="69">
        <v>12.103232091665259</v>
      </c>
      <c r="AG10" s="68">
        <v>11.862462902714975</v>
      </c>
      <c r="AH10" s="68">
        <v>0</v>
      </c>
      <c r="AI10" s="68">
        <v>1</v>
      </c>
      <c r="AJ10" s="69">
        <v>281.07161394755059</v>
      </c>
      <c r="AK10" s="69">
        <v>511.26320006052646</v>
      </c>
      <c r="AL10" s="69">
        <v>1161.0308554967246</v>
      </c>
      <c r="AM10" s="69">
        <v>530.33464050292969</v>
      </c>
      <c r="AN10" s="69">
        <v>1501.2441101074219</v>
      </c>
      <c r="AO10" s="69">
        <v>1801.805189005534</v>
      </c>
      <c r="AP10" s="69">
        <v>505.4378924210867</v>
      </c>
      <c r="AQ10" s="69">
        <v>1778.9330051422114</v>
      </c>
      <c r="AR10" s="69">
        <v>446.26669464111319</v>
      </c>
      <c r="AS10" s="69">
        <v>665.17481807072966</v>
      </c>
    </row>
    <row r="11" spans="1:55" x14ac:dyDescent="0.25">
      <c r="A11" s="11">
        <v>43043</v>
      </c>
      <c r="B11" s="59"/>
      <c r="C11" s="60">
        <v>0</v>
      </c>
      <c r="D11" s="60">
        <v>0</v>
      </c>
      <c r="E11" s="50">
        <v>0</v>
      </c>
      <c r="F11" s="60">
        <v>0</v>
      </c>
      <c r="G11" s="60">
        <v>0</v>
      </c>
      <c r="H11" s="61">
        <v>0</v>
      </c>
      <c r="I11" s="59">
        <v>236.06552918752013</v>
      </c>
      <c r="J11" s="60">
        <v>563.09270766576094</v>
      </c>
      <c r="K11" s="60">
        <v>30.866214767098398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399.29317105611165</v>
      </c>
      <c r="V11" s="62">
        <v>0</v>
      </c>
      <c r="W11" s="62">
        <v>45.668060942490946</v>
      </c>
      <c r="X11" s="62">
        <v>0</v>
      </c>
      <c r="Y11" s="66">
        <v>223.92966349124956</v>
      </c>
      <c r="Z11" s="66">
        <v>0</v>
      </c>
      <c r="AA11" s="67">
        <v>0</v>
      </c>
      <c r="AB11" s="68">
        <v>52.783609220716549</v>
      </c>
      <c r="AC11" s="69">
        <v>0</v>
      </c>
      <c r="AD11" s="431">
        <v>11.895955877235197</v>
      </c>
      <c r="AE11" s="433">
        <v>0</v>
      </c>
      <c r="AF11" s="69">
        <v>12.227828009923272</v>
      </c>
      <c r="AG11" s="68">
        <v>11.999887550193414</v>
      </c>
      <c r="AH11" s="68">
        <v>0</v>
      </c>
      <c r="AI11" s="68">
        <v>1</v>
      </c>
      <c r="AJ11" s="69">
        <v>261.61229483286542</v>
      </c>
      <c r="AK11" s="69">
        <v>465.97848855654399</v>
      </c>
      <c r="AL11" s="69">
        <v>1210.8585423787436</v>
      </c>
      <c r="AM11" s="69">
        <v>530.33464050292969</v>
      </c>
      <c r="AN11" s="69">
        <v>1501.2441101074219</v>
      </c>
      <c r="AO11" s="69">
        <v>1731.6627138773599</v>
      </c>
      <c r="AP11" s="69">
        <v>489.87981637318939</v>
      </c>
      <c r="AQ11" s="69">
        <v>1804.6822624206541</v>
      </c>
      <c r="AR11" s="69">
        <v>449.42341295878089</v>
      </c>
      <c r="AS11" s="69">
        <v>688.21456893285097</v>
      </c>
    </row>
    <row r="12" spans="1:55" x14ac:dyDescent="0.25">
      <c r="A12" s="11">
        <v>43044</v>
      </c>
      <c r="B12" s="59"/>
      <c r="C12" s="60">
        <v>0</v>
      </c>
      <c r="D12" s="60">
        <v>0</v>
      </c>
      <c r="E12" s="50">
        <v>0</v>
      </c>
      <c r="F12" s="60">
        <v>0</v>
      </c>
      <c r="G12" s="60">
        <v>0</v>
      </c>
      <c r="H12" s="61">
        <v>0</v>
      </c>
      <c r="I12" s="59">
        <v>236.09407693544998</v>
      </c>
      <c r="J12" s="60">
        <v>563.39405673344913</v>
      </c>
      <c r="K12" s="60">
        <v>31.027562154332777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384.82476075490138</v>
      </c>
      <c r="V12" s="62">
        <v>0</v>
      </c>
      <c r="W12" s="62">
        <v>43.227577467759346</v>
      </c>
      <c r="X12" s="62">
        <v>0</v>
      </c>
      <c r="Y12" s="66">
        <v>217.79985471566548</v>
      </c>
      <c r="Z12" s="66">
        <v>0</v>
      </c>
      <c r="AA12" s="67">
        <v>0</v>
      </c>
      <c r="AB12" s="68">
        <v>52.788803956243427</v>
      </c>
      <c r="AC12" s="69">
        <v>0</v>
      </c>
      <c r="AD12" s="431">
        <v>11.901633507164899</v>
      </c>
      <c r="AE12" s="433">
        <v>0</v>
      </c>
      <c r="AF12" s="69">
        <v>12.057964303758428</v>
      </c>
      <c r="AG12" s="68">
        <v>11.820220404616663</v>
      </c>
      <c r="AH12" s="68">
        <v>0</v>
      </c>
      <c r="AI12" s="68">
        <v>1</v>
      </c>
      <c r="AJ12" s="69">
        <v>272.76812772750856</v>
      </c>
      <c r="AK12" s="69">
        <v>483.24608728090914</v>
      </c>
      <c r="AL12" s="69">
        <v>1209.9072031656904</v>
      </c>
      <c r="AM12" s="69">
        <v>530.33464050292969</v>
      </c>
      <c r="AN12" s="69">
        <v>1501.2441101074219</v>
      </c>
      <c r="AO12" s="69">
        <v>1676.1323064168291</v>
      </c>
      <c r="AP12" s="69">
        <v>497.97792687416063</v>
      </c>
      <c r="AQ12" s="69">
        <v>1813.2661196390791</v>
      </c>
      <c r="AR12" s="69">
        <v>450.21881008148199</v>
      </c>
      <c r="AS12" s="69">
        <v>645.35229632059725</v>
      </c>
    </row>
    <row r="13" spans="1:55" x14ac:dyDescent="0.25">
      <c r="A13" s="11">
        <v>43045</v>
      </c>
      <c r="B13" s="59"/>
      <c r="C13" s="60">
        <v>0</v>
      </c>
      <c r="D13" s="60">
        <v>0</v>
      </c>
      <c r="E13" s="50">
        <v>0</v>
      </c>
      <c r="F13" s="60">
        <v>0</v>
      </c>
      <c r="G13" s="60">
        <v>0</v>
      </c>
      <c r="H13" s="61">
        <v>0</v>
      </c>
      <c r="I13" s="59">
        <v>235.7950420538578</v>
      </c>
      <c r="J13" s="60">
        <v>562.45460879008021</v>
      </c>
      <c r="K13" s="60">
        <v>30.880877363681719</v>
      </c>
      <c r="L13" s="50">
        <v>8.4972381591796883E-5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388.84464700486774</v>
      </c>
      <c r="V13" s="62">
        <v>0</v>
      </c>
      <c r="W13" s="62">
        <v>44.20676838556934</v>
      </c>
      <c r="X13" s="62">
        <v>0</v>
      </c>
      <c r="Y13" s="66">
        <v>223.10871512889818</v>
      </c>
      <c r="Z13" s="66">
        <v>0</v>
      </c>
      <c r="AA13" s="67">
        <v>0</v>
      </c>
      <c r="AB13" s="68">
        <v>52.787535500526701</v>
      </c>
      <c r="AC13" s="69">
        <v>0</v>
      </c>
      <c r="AD13" s="431">
        <v>11.881551682812894</v>
      </c>
      <c r="AE13" s="433">
        <v>0</v>
      </c>
      <c r="AF13" s="69">
        <v>12.175098411904441</v>
      </c>
      <c r="AG13" s="68">
        <v>11.939112186627076</v>
      </c>
      <c r="AH13" s="68">
        <v>0</v>
      </c>
      <c r="AI13" s="68">
        <v>1</v>
      </c>
      <c r="AJ13" s="69">
        <v>292.76522108713783</v>
      </c>
      <c r="AK13" s="69">
        <v>551.48045541445401</v>
      </c>
      <c r="AL13" s="69">
        <v>1072.6610108057657</v>
      </c>
      <c r="AM13" s="69">
        <v>530.33464050292969</v>
      </c>
      <c r="AN13" s="69">
        <v>1501.2441101074219</v>
      </c>
      <c r="AO13" s="69">
        <v>1878.6599983215331</v>
      </c>
      <c r="AP13" s="69">
        <v>550.59437677065534</v>
      </c>
      <c r="AQ13" s="69">
        <v>1781.6519126892088</v>
      </c>
      <c r="AR13" s="69">
        <v>457.58852736155194</v>
      </c>
      <c r="AS13" s="69">
        <v>657.11773732503252</v>
      </c>
    </row>
    <row r="14" spans="1:55" x14ac:dyDescent="0.25">
      <c r="A14" s="11">
        <v>43046</v>
      </c>
      <c r="B14" s="59"/>
      <c r="C14" s="60">
        <v>0</v>
      </c>
      <c r="D14" s="60">
        <v>0</v>
      </c>
      <c r="E14" s="50">
        <v>0</v>
      </c>
      <c r="F14" s="60">
        <v>0</v>
      </c>
      <c r="G14" s="60">
        <v>0</v>
      </c>
      <c r="H14" s="61">
        <v>0</v>
      </c>
      <c r="I14" s="59">
        <v>236.16988770167015</v>
      </c>
      <c r="J14" s="60">
        <v>562.67912368774307</v>
      </c>
      <c r="K14" s="60">
        <v>30.910726815462091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386.52662385304677</v>
      </c>
      <c r="V14" s="62">
        <v>0</v>
      </c>
      <c r="W14" s="62">
        <v>44.611172711849235</v>
      </c>
      <c r="X14" s="62">
        <v>0</v>
      </c>
      <c r="Y14" s="66">
        <v>222.64630367755885</v>
      </c>
      <c r="Z14" s="66">
        <v>0</v>
      </c>
      <c r="AA14" s="67">
        <v>0</v>
      </c>
      <c r="AB14" s="68">
        <v>52.785415689150916</v>
      </c>
      <c r="AC14" s="69">
        <v>0</v>
      </c>
      <c r="AD14" s="431">
        <v>12.002287725629316</v>
      </c>
      <c r="AE14" s="433">
        <v>0</v>
      </c>
      <c r="AF14" s="69">
        <v>12.100205014811609</v>
      </c>
      <c r="AG14" s="68">
        <v>11.870127918219771</v>
      </c>
      <c r="AH14" s="68">
        <v>0</v>
      </c>
      <c r="AI14" s="68">
        <v>1</v>
      </c>
      <c r="AJ14" s="69">
        <v>302.38499787648522</v>
      </c>
      <c r="AK14" s="69">
        <v>589.39150694211321</v>
      </c>
      <c r="AL14" s="69">
        <v>1199.6542552312217</v>
      </c>
      <c r="AM14" s="69">
        <v>494.4389052708944</v>
      </c>
      <c r="AN14" s="69">
        <v>1501.2441101074219</v>
      </c>
      <c r="AO14" s="69">
        <v>2146.886394373576</v>
      </c>
      <c r="AP14" s="69">
        <v>600.41064414978018</v>
      </c>
      <c r="AQ14" s="69">
        <v>1783.1058223724363</v>
      </c>
      <c r="AR14" s="69">
        <v>403.33682452837627</v>
      </c>
      <c r="AS14" s="69">
        <v>690.37984724044793</v>
      </c>
    </row>
    <row r="15" spans="1:55" x14ac:dyDescent="0.25">
      <c r="A15" s="11">
        <v>43047</v>
      </c>
      <c r="B15" s="59"/>
      <c r="C15" s="60">
        <v>0</v>
      </c>
      <c r="D15" s="60">
        <v>0</v>
      </c>
      <c r="E15" s="50">
        <v>0</v>
      </c>
      <c r="F15" s="60">
        <v>0</v>
      </c>
      <c r="G15" s="60">
        <v>0</v>
      </c>
      <c r="H15" s="61">
        <v>0</v>
      </c>
      <c r="I15" s="59">
        <v>236.04622311592036</v>
      </c>
      <c r="J15" s="60">
        <v>562.53247073491423</v>
      </c>
      <c r="K15" s="60">
        <v>31.390834441284326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398.87817071278891</v>
      </c>
      <c r="V15" s="62">
        <v>0</v>
      </c>
      <c r="W15" s="62">
        <v>46.175529174010002</v>
      </c>
      <c r="X15" s="62">
        <v>0</v>
      </c>
      <c r="Y15" s="66">
        <v>224.04793073336231</v>
      </c>
      <c r="Z15" s="66">
        <v>0</v>
      </c>
      <c r="AA15" s="67">
        <v>0</v>
      </c>
      <c r="AB15" s="68">
        <v>52.787911221715909</v>
      </c>
      <c r="AC15" s="69">
        <v>0</v>
      </c>
      <c r="AD15" s="431">
        <v>12.008333665203043</v>
      </c>
      <c r="AE15" s="433">
        <v>0</v>
      </c>
      <c r="AF15" s="69">
        <v>12.225371557474126</v>
      </c>
      <c r="AG15" s="68">
        <v>12.000121422587132</v>
      </c>
      <c r="AH15" s="68">
        <v>0</v>
      </c>
      <c r="AI15" s="68">
        <v>1</v>
      </c>
      <c r="AJ15" s="69">
        <v>295.22889930407212</v>
      </c>
      <c r="AK15" s="69">
        <v>558.02450909614561</v>
      </c>
      <c r="AL15" s="69">
        <v>1147.8610884348552</v>
      </c>
      <c r="AM15" s="69">
        <v>369.80712890625</v>
      </c>
      <c r="AN15" s="69">
        <v>1501.2441101074219</v>
      </c>
      <c r="AO15" s="69">
        <v>2118.0918895721434</v>
      </c>
      <c r="AP15" s="69">
        <v>585.4943719863893</v>
      </c>
      <c r="AQ15" s="69">
        <v>1781.3724769592286</v>
      </c>
      <c r="AR15" s="69">
        <v>382.27721498807267</v>
      </c>
      <c r="AS15" s="69">
        <v>650.28329302469888</v>
      </c>
    </row>
    <row r="16" spans="1:55" x14ac:dyDescent="0.25">
      <c r="A16" s="11">
        <v>43048</v>
      </c>
      <c r="B16" s="59"/>
      <c r="C16" s="60">
        <v>0</v>
      </c>
      <c r="D16" s="60">
        <v>0</v>
      </c>
      <c r="E16" s="50">
        <v>0</v>
      </c>
      <c r="F16" s="60">
        <v>0</v>
      </c>
      <c r="G16" s="60">
        <v>0</v>
      </c>
      <c r="H16" s="61">
        <v>0</v>
      </c>
      <c r="I16" s="59">
        <v>235.93360282579999</v>
      </c>
      <c r="J16" s="60">
        <v>562.28976481755558</v>
      </c>
      <c r="K16" s="60">
        <v>31.239523013432809</v>
      </c>
      <c r="L16" s="50">
        <v>6.6089630126953122E-5</v>
      </c>
      <c r="M16" s="5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381.76106883155086</v>
      </c>
      <c r="V16" s="62">
        <v>0</v>
      </c>
      <c r="W16" s="62">
        <v>43.477611641089133</v>
      </c>
      <c r="X16" s="62">
        <v>0</v>
      </c>
      <c r="Y16" s="66">
        <v>214.2441044012705</v>
      </c>
      <c r="Z16" s="66">
        <v>0</v>
      </c>
      <c r="AA16" s="67">
        <v>0</v>
      </c>
      <c r="AB16" s="68">
        <v>52.788640157381536</v>
      </c>
      <c r="AC16" s="69">
        <v>0</v>
      </c>
      <c r="AD16" s="431">
        <v>11.933790762867931</v>
      </c>
      <c r="AE16" s="433">
        <v>0</v>
      </c>
      <c r="AF16" s="69">
        <v>11.687855074140755</v>
      </c>
      <c r="AG16" s="68">
        <v>11.464448957740508</v>
      </c>
      <c r="AH16" s="68">
        <v>0</v>
      </c>
      <c r="AI16" s="68">
        <v>1</v>
      </c>
      <c r="AJ16" s="69">
        <v>293.53256195386251</v>
      </c>
      <c r="AK16" s="69">
        <v>551.1471657276154</v>
      </c>
      <c r="AL16" s="69">
        <v>1182.5636713027955</v>
      </c>
      <c r="AM16" s="69">
        <v>369.80712890625</v>
      </c>
      <c r="AN16" s="69">
        <v>1501.2441101074219</v>
      </c>
      <c r="AO16" s="69">
        <v>2078.4379857381186</v>
      </c>
      <c r="AP16" s="69">
        <v>546.33346370061224</v>
      </c>
      <c r="AQ16" s="69">
        <v>1806.9095456441241</v>
      </c>
      <c r="AR16" s="69">
        <v>411.93709891637167</v>
      </c>
      <c r="AS16" s="69">
        <v>598.74893589019769</v>
      </c>
    </row>
    <row r="17" spans="1:45" x14ac:dyDescent="0.25">
      <c r="A17" s="11">
        <v>43049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235.90539320309892</v>
      </c>
      <c r="J17" s="50">
        <v>562.44776013692251</v>
      </c>
      <c r="K17" s="50">
        <v>31.189522856473918</v>
      </c>
      <c r="L17" s="50">
        <v>0</v>
      </c>
      <c r="M17" s="50">
        <v>0</v>
      </c>
      <c r="N17" s="51">
        <v>0</v>
      </c>
      <c r="O17" s="5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399.85437293582663</v>
      </c>
      <c r="V17" s="66">
        <v>0</v>
      </c>
      <c r="W17" s="62">
        <v>46.996731503804611</v>
      </c>
      <c r="X17" s="62">
        <v>0</v>
      </c>
      <c r="Y17" s="66">
        <v>224.0641288201017</v>
      </c>
      <c r="Z17" s="66">
        <v>0</v>
      </c>
      <c r="AA17" s="67">
        <v>0</v>
      </c>
      <c r="AB17" s="68">
        <v>52.787059524324263</v>
      </c>
      <c r="AC17" s="69">
        <v>0</v>
      </c>
      <c r="AD17" s="431">
        <v>11.937141749320105</v>
      </c>
      <c r="AE17" s="433">
        <v>0</v>
      </c>
      <c r="AF17" s="69">
        <v>12.231827883587949</v>
      </c>
      <c r="AG17" s="68">
        <v>12.00080943128712</v>
      </c>
      <c r="AH17" s="68">
        <v>0</v>
      </c>
      <c r="AI17" s="68">
        <v>1</v>
      </c>
      <c r="AJ17" s="69">
        <v>290.42564977010085</v>
      </c>
      <c r="AK17" s="69">
        <v>539.36751728057857</v>
      </c>
      <c r="AL17" s="69">
        <v>1221.725711886088</v>
      </c>
      <c r="AM17" s="69">
        <v>369.80712890625</v>
      </c>
      <c r="AN17" s="69">
        <v>1501.2441101074219</v>
      </c>
      <c r="AO17" s="69">
        <v>1970.8880204518639</v>
      </c>
      <c r="AP17" s="69">
        <v>552.23723322550461</v>
      </c>
      <c r="AQ17" s="69">
        <v>1785.220323689779</v>
      </c>
      <c r="AR17" s="69">
        <v>412.43403603235885</v>
      </c>
      <c r="AS17" s="69">
        <v>561.29164199829108</v>
      </c>
    </row>
    <row r="18" spans="1:45" x14ac:dyDescent="0.25">
      <c r="A18" s="11">
        <v>43050</v>
      </c>
      <c r="B18" s="59"/>
      <c r="C18" s="60">
        <v>0</v>
      </c>
      <c r="D18" s="60">
        <v>0</v>
      </c>
      <c r="E18" s="50">
        <v>0</v>
      </c>
      <c r="F18" s="60">
        <v>0</v>
      </c>
      <c r="G18" s="60">
        <v>0</v>
      </c>
      <c r="H18" s="61">
        <v>0</v>
      </c>
      <c r="I18" s="59">
        <v>235.31733441352804</v>
      </c>
      <c r="J18" s="60">
        <v>562.51689116160071</v>
      </c>
      <c r="K18" s="60">
        <v>31.351246539751671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395.46990398830746</v>
      </c>
      <c r="V18" s="62">
        <v>0</v>
      </c>
      <c r="W18" s="62">
        <v>46.347948916753161</v>
      </c>
      <c r="X18" s="62">
        <v>0</v>
      </c>
      <c r="Y18" s="66">
        <v>223.4166730244954</v>
      </c>
      <c r="Z18" s="66">
        <v>0</v>
      </c>
      <c r="AA18" s="67">
        <v>0</v>
      </c>
      <c r="AB18" s="68">
        <v>52.789175772666667</v>
      </c>
      <c r="AC18" s="69">
        <v>0</v>
      </c>
      <c r="AD18" s="431">
        <v>11.931531321210475</v>
      </c>
      <c r="AE18" s="433">
        <v>0</v>
      </c>
      <c r="AF18" s="69">
        <v>12.096374386549</v>
      </c>
      <c r="AG18" s="68">
        <v>11.859322886878985</v>
      </c>
      <c r="AH18" s="68">
        <v>0</v>
      </c>
      <c r="AI18" s="68">
        <v>1</v>
      </c>
      <c r="AJ18" s="69">
        <v>283.49680352210993</v>
      </c>
      <c r="AK18" s="69">
        <v>515.44025716781618</v>
      </c>
      <c r="AL18" s="69">
        <v>1184.1285793940226</v>
      </c>
      <c r="AM18" s="69">
        <v>369.80712890625</v>
      </c>
      <c r="AN18" s="69">
        <v>1501.2441101074219</v>
      </c>
      <c r="AO18" s="69">
        <v>1946.0107808430989</v>
      </c>
      <c r="AP18" s="69">
        <v>502.81055356661477</v>
      </c>
      <c r="AQ18" s="69">
        <v>1799.047428131104</v>
      </c>
      <c r="AR18" s="69">
        <v>418.68196929295857</v>
      </c>
      <c r="AS18" s="69">
        <v>546.8742073694865</v>
      </c>
    </row>
    <row r="19" spans="1:45" x14ac:dyDescent="0.25">
      <c r="A19" s="11">
        <v>43051</v>
      </c>
      <c r="B19" s="59"/>
      <c r="C19" s="60">
        <v>0</v>
      </c>
      <c r="D19" s="60">
        <v>0</v>
      </c>
      <c r="E19" s="50">
        <v>0</v>
      </c>
      <c r="F19" s="60">
        <v>0</v>
      </c>
      <c r="G19" s="60">
        <v>0</v>
      </c>
      <c r="H19" s="61">
        <v>0</v>
      </c>
      <c r="I19" s="59">
        <v>235.60404442151352</v>
      </c>
      <c r="J19" s="60">
        <v>562.6421384811398</v>
      </c>
      <c r="K19" s="60">
        <v>31.199913956721677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395.4986679712934</v>
      </c>
      <c r="V19" s="62">
        <v>0</v>
      </c>
      <c r="W19" s="62">
        <v>46.389766800403642</v>
      </c>
      <c r="X19" s="62">
        <v>0</v>
      </c>
      <c r="Y19" s="66">
        <v>224.08758629163134</v>
      </c>
      <c r="Z19" s="66">
        <v>0</v>
      </c>
      <c r="AA19" s="67">
        <v>0</v>
      </c>
      <c r="AB19" s="68">
        <v>52.442300441528978</v>
      </c>
      <c r="AC19" s="69">
        <v>0</v>
      </c>
      <c r="AD19" s="431">
        <v>11.934810030539602</v>
      </c>
      <c r="AE19" s="433">
        <v>0</v>
      </c>
      <c r="AF19" s="69">
        <v>12.095987753073381</v>
      </c>
      <c r="AG19" s="68">
        <v>11.873463976993795</v>
      </c>
      <c r="AH19" s="68">
        <v>0</v>
      </c>
      <c r="AI19" s="68">
        <v>1</v>
      </c>
      <c r="AJ19" s="69">
        <v>286.18788601557418</v>
      </c>
      <c r="AK19" s="69">
        <v>520.19523782730107</v>
      </c>
      <c r="AL19" s="69">
        <v>1204.2287654876709</v>
      </c>
      <c r="AM19" s="69">
        <v>369.80712890625</v>
      </c>
      <c r="AN19" s="69">
        <v>1501.2441101074219</v>
      </c>
      <c r="AO19" s="69">
        <v>1924.5870530446368</v>
      </c>
      <c r="AP19" s="69">
        <v>509.78280576070148</v>
      </c>
      <c r="AQ19" s="69">
        <v>1799.0805255889893</v>
      </c>
      <c r="AR19" s="69">
        <v>446.19155756632495</v>
      </c>
      <c r="AS19" s="69">
        <v>599.94898440043141</v>
      </c>
    </row>
    <row r="20" spans="1:45" x14ac:dyDescent="0.25">
      <c r="A20" s="11">
        <v>43052</v>
      </c>
      <c r="B20" s="59"/>
      <c r="C20" s="60">
        <v>0</v>
      </c>
      <c r="D20" s="60">
        <v>0</v>
      </c>
      <c r="E20" s="50">
        <v>0</v>
      </c>
      <c r="F20" s="60">
        <v>0</v>
      </c>
      <c r="G20" s="60">
        <v>0</v>
      </c>
      <c r="H20" s="61">
        <v>0</v>
      </c>
      <c r="I20" s="59">
        <v>162.77949269612623</v>
      </c>
      <c r="J20" s="60">
        <v>555.99511909484806</v>
      </c>
      <c r="K20" s="60">
        <v>30.709705875317187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399.69436257680451</v>
      </c>
      <c r="V20" s="62">
        <v>0</v>
      </c>
      <c r="W20" s="62">
        <v>46.906900250911683</v>
      </c>
      <c r="X20" s="62">
        <v>0</v>
      </c>
      <c r="Y20" s="66">
        <v>228.93947505950922</v>
      </c>
      <c r="Z20" s="66">
        <v>0</v>
      </c>
      <c r="AA20" s="67">
        <v>0</v>
      </c>
      <c r="AB20" s="68">
        <v>51.681110119818946</v>
      </c>
      <c r="AC20" s="69">
        <v>0</v>
      </c>
      <c r="AD20" s="431">
        <v>11.795288621331594</v>
      </c>
      <c r="AE20" s="433">
        <v>0</v>
      </c>
      <c r="AF20" s="69">
        <v>12.230317211151133</v>
      </c>
      <c r="AG20" s="68">
        <v>12.001903838907776</v>
      </c>
      <c r="AH20" s="68">
        <v>0</v>
      </c>
      <c r="AI20" s="68">
        <v>1</v>
      </c>
      <c r="AJ20" s="69">
        <v>267.94773955345158</v>
      </c>
      <c r="AK20" s="69">
        <v>478.00197186470035</v>
      </c>
      <c r="AL20" s="69">
        <v>1255.8653663635253</v>
      </c>
      <c r="AM20" s="69">
        <v>369.80712890625</v>
      </c>
      <c r="AN20" s="69">
        <v>1501.2441101074219</v>
      </c>
      <c r="AO20" s="69">
        <v>1895.2478534698489</v>
      </c>
      <c r="AP20" s="69">
        <v>482.11215750376391</v>
      </c>
      <c r="AQ20" s="69">
        <v>1793.3030824025475</v>
      </c>
      <c r="AR20" s="69">
        <v>463.36805362701415</v>
      </c>
      <c r="AS20" s="69">
        <v>745.44088678359992</v>
      </c>
    </row>
    <row r="21" spans="1:45" x14ac:dyDescent="0.25">
      <c r="A21" s="11">
        <v>43053</v>
      </c>
      <c r="B21" s="59"/>
      <c r="C21" s="60">
        <v>0</v>
      </c>
      <c r="D21" s="60">
        <v>0</v>
      </c>
      <c r="E21" s="50">
        <v>0</v>
      </c>
      <c r="F21" s="60">
        <v>0</v>
      </c>
      <c r="G21" s="60">
        <v>0</v>
      </c>
      <c r="H21" s="61">
        <v>0</v>
      </c>
      <c r="I21" s="59">
        <v>119.44269107580196</v>
      </c>
      <c r="J21" s="60">
        <v>541.51498781839928</v>
      </c>
      <c r="K21" s="60">
        <v>29.985491937398887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386.52353680928587</v>
      </c>
      <c r="V21" s="62">
        <v>0</v>
      </c>
      <c r="W21" s="62">
        <v>44.694286318620094</v>
      </c>
      <c r="X21" s="62">
        <v>0</v>
      </c>
      <c r="Y21" s="66">
        <v>231.50976574420912</v>
      </c>
      <c r="Z21" s="66">
        <v>0</v>
      </c>
      <c r="AA21" s="67">
        <v>0</v>
      </c>
      <c r="AB21" s="68">
        <v>50.587502845129528</v>
      </c>
      <c r="AC21" s="69">
        <v>0</v>
      </c>
      <c r="AD21" s="431">
        <v>11.456962607908295</v>
      </c>
      <c r="AE21" s="433">
        <v>0</v>
      </c>
      <c r="AF21" s="69">
        <v>11.791593490375424</v>
      </c>
      <c r="AG21" s="68">
        <v>11.552147167577882</v>
      </c>
      <c r="AH21" s="68">
        <v>0</v>
      </c>
      <c r="AI21" s="68">
        <v>1</v>
      </c>
      <c r="AJ21" s="69">
        <v>263.26331179936722</v>
      </c>
      <c r="AK21" s="69">
        <v>458.65355784098301</v>
      </c>
      <c r="AL21" s="69">
        <v>1243.7422842025758</v>
      </c>
      <c r="AM21" s="69">
        <v>369.80712890625</v>
      </c>
      <c r="AN21" s="69">
        <v>1501.2441101074219</v>
      </c>
      <c r="AO21" s="69">
        <v>1916.3858774820967</v>
      </c>
      <c r="AP21" s="69">
        <v>462.70188867251079</v>
      </c>
      <c r="AQ21" s="69">
        <v>1806.375754419962</v>
      </c>
      <c r="AR21" s="69">
        <v>475.15242188771566</v>
      </c>
      <c r="AS21" s="69">
        <v>732.33623253504425</v>
      </c>
    </row>
    <row r="22" spans="1:45" x14ac:dyDescent="0.25">
      <c r="A22" s="11">
        <v>43054</v>
      </c>
      <c r="B22" s="59"/>
      <c r="C22" s="60">
        <v>0</v>
      </c>
      <c r="D22" s="60">
        <v>0</v>
      </c>
      <c r="E22" s="50">
        <v>0</v>
      </c>
      <c r="F22" s="60">
        <v>0</v>
      </c>
      <c r="G22" s="60">
        <v>0</v>
      </c>
      <c r="H22" s="61">
        <v>0</v>
      </c>
      <c r="I22" s="59">
        <v>131.45004504521688</v>
      </c>
      <c r="J22" s="60">
        <v>516.65325053532911</v>
      </c>
      <c r="K22" s="60">
        <v>28.569371704260451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404.42729318407049</v>
      </c>
      <c r="V22" s="62">
        <v>0</v>
      </c>
      <c r="W22" s="62">
        <v>46.190750646591162</v>
      </c>
      <c r="X22" s="62">
        <v>0</v>
      </c>
      <c r="Y22" s="66">
        <v>248.92153608004264</v>
      </c>
      <c r="Z22" s="66">
        <v>0</v>
      </c>
      <c r="AA22" s="67">
        <v>0</v>
      </c>
      <c r="AB22" s="68">
        <v>50.443354272843521</v>
      </c>
      <c r="AC22" s="69">
        <v>0</v>
      </c>
      <c r="AD22" s="431">
        <v>11.425209099564029</v>
      </c>
      <c r="AE22" s="433">
        <v>0</v>
      </c>
      <c r="AF22" s="69">
        <v>12.231130552954143</v>
      </c>
      <c r="AG22" s="68">
        <v>12.000126306328678</v>
      </c>
      <c r="AH22" s="68">
        <v>0</v>
      </c>
      <c r="AI22" s="68">
        <v>1</v>
      </c>
      <c r="AJ22" s="69">
        <v>279.19650591214497</v>
      </c>
      <c r="AK22" s="69">
        <v>507.28578855196633</v>
      </c>
      <c r="AL22" s="69">
        <v>1158.8725315729778</v>
      </c>
      <c r="AM22" s="69">
        <v>369.80712890625</v>
      </c>
      <c r="AN22" s="69">
        <v>1501.2441101074219</v>
      </c>
      <c r="AO22" s="69">
        <v>1904.6834056854248</v>
      </c>
      <c r="AP22" s="69">
        <v>489.58406325976063</v>
      </c>
      <c r="AQ22" s="69">
        <v>1778.5146608988441</v>
      </c>
      <c r="AR22" s="69">
        <v>494.28172222773225</v>
      </c>
      <c r="AS22" s="69">
        <v>638.84602088928239</v>
      </c>
    </row>
    <row r="23" spans="1:45" x14ac:dyDescent="0.25">
      <c r="A23" s="11">
        <v>43055</v>
      </c>
      <c r="B23" s="59"/>
      <c r="C23" s="60">
        <v>0</v>
      </c>
      <c r="D23" s="60">
        <v>0</v>
      </c>
      <c r="E23" s="50">
        <v>0</v>
      </c>
      <c r="F23" s="60">
        <v>0</v>
      </c>
      <c r="G23" s="60">
        <v>0</v>
      </c>
      <c r="H23" s="61">
        <v>0</v>
      </c>
      <c r="I23" s="59">
        <v>126.29804402192417</v>
      </c>
      <c r="J23" s="60">
        <v>536.04074862798075</v>
      </c>
      <c r="K23" s="60">
        <v>29.463347597916798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399.77765867445328</v>
      </c>
      <c r="V23" s="62">
        <v>0</v>
      </c>
      <c r="W23" s="62">
        <v>46.085452516873723</v>
      </c>
      <c r="X23" s="62">
        <v>0</v>
      </c>
      <c r="Y23" s="66">
        <v>244.27538136641229</v>
      </c>
      <c r="Z23" s="66">
        <v>0</v>
      </c>
      <c r="AA23" s="67">
        <v>0</v>
      </c>
      <c r="AB23" s="68">
        <v>54.493973347876327</v>
      </c>
      <c r="AC23" s="69">
        <v>0</v>
      </c>
      <c r="AD23" s="431">
        <v>12.322632812328987</v>
      </c>
      <c r="AE23" s="433">
        <v>0</v>
      </c>
      <c r="AF23" s="69">
        <v>12.22575657698841</v>
      </c>
      <c r="AG23" s="68">
        <v>12.000330287681038</v>
      </c>
      <c r="AH23" s="68">
        <v>0</v>
      </c>
      <c r="AI23" s="68">
        <v>1</v>
      </c>
      <c r="AJ23" s="69">
        <v>266.73992861111964</v>
      </c>
      <c r="AK23" s="69">
        <v>476.22923229535422</v>
      </c>
      <c r="AL23" s="69">
        <v>1225.9773067474364</v>
      </c>
      <c r="AM23" s="69">
        <v>369.80712890625</v>
      </c>
      <c r="AN23" s="69">
        <v>1501.2441101074219</v>
      </c>
      <c r="AO23" s="69">
        <v>1892.0671764373776</v>
      </c>
      <c r="AP23" s="69">
        <v>483.70791228612279</v>
      </c>
      <c r="AQ23" s="69">
        <v>1799.754120763143</v>
      </c>
      <c r="AR23" s="69">
        <v>610.20040823618569</v>
      </c>
      <c r="AS23" s="69">
        <v>754.72538185119652</v>
      </c>
    </row>
    <row r="24" spans="1:45" x14ac:dyDescent="0.25">
      <c r="A24" s="11">
        <v>43056</v>
      </c>
      <c r="B24" s="59"/>
      <c r="C24" s="60">
        <v>0</v>
      </c>
      <c r="D24" s="60">
        <v>0</v>
      </c>
      <c r="E24" s="50">
        <v>0</v>
      </c>
      <c r="F24" s="60">
        <v>0</v>
      </c>
      <c r="G24" s="60">
        <v>0</v>
      </c>
      <c r="H24" s="61">
        <v>0</v>
      </c>
      <c r="I24" s="59">
        <v>163.25904049078616</v>
      </c>
      <c r="J24" s="60">
        <v>503.63179438908935</v>
      </c>
      <c r="K24" s="60">
        <v>27.755377370119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391.27468051909966</v>
      </c>
      <c r="V24" s="62">
        <v>0</v>
      </c>
      <c r="W24" s="62">
        <v>44.129758755366076</v>
      </c>
      <c r="X24" s="62">
        <v>0</v>
      </c>
      <c r="Y24" s="66">
        <v>224.32401986916835</v>
      </c>
      <c r="Z24" s="66">
        <v>0</v>
      </c>
      <c r="AA24" s="67">
        <v>0</v>
      </c>
      <c r="AB24" s="68">
        <v>51.080411675241081</v>
      </c>
      <c r="AC24" s="69">
        <v>0</v>
      </c>
      <c r="AD24" s="431">
        <v>11.566444993948238</v>
      </c>
      <c r="AE24" s="433">
        <v>0</v>
      </c>
      <c r="AF24" s="69">
        <v>11.92623272471956</v>
      </c>
      <c r="AG24" s="68">
        <v>11.718008213678292</v>
      </c>
      <c r="AH24" s="68">
        <v>0</v>
      </c>
      <c r="AI24" s="68">
        <v>1</v>
      </c>
      <c r="AJ24" s="69">
        <v>263.2459589322408</v>
      </c>
      <c r="AK24" s="69">
        <v>457.0700254281362</v>
      </c>
      <c r="AL24" s="69">
        <v>1216.6847850799559</v>
      </c>
      <c r="AM24" s="69">
        <v>369.80712890625</v>
      </c>
      <c r="AN24" s="69">
        <v>1501.2441101074219</v>
      </c>
      <c r="AO24" s="69">
        <v>1927.4903555552166</v>
      </c>
      <c r="AP24" s="69">
        <v>470.45205640792858</v>
      </c>
      <c r="AQ24" s="69">
        <v>1823.0825597763062</v>
      </c>
      <c r="AR24" s="69">
        <v>490.30607172648109</v>
      </c>
      <c r="AS24" s="69">
        <v>716.9178858121237</v>
      </c>
    </row>
    <row r="25" spans="1:45" x14ac:dyDescent="0.25">
      <c r="A25" s="11">
        <v>43057</v>
      </c>
      <c r="B25" s="59"/>
      <c r="C25" s="60">
        <v>0</v>
      </c>
      <c r="D25" s="60">
        <v>0</v>
      </c>
      <c r="E25" s="50">
        <v>0</v>
      </c>
      <c r="F25" s="60">
        <v>0</v>
      </c>
      <c r="G25" s="60">
        <v>0</v>
      </c>
      <c r="H25" s="61">
        <v>0</v>
      </c>
      <c r="I25" s="59">
        <v>191.03787399927776</v>
      </c>
      <c r="J25" s="60">
        <v>502.75107587178582</v>
      </c>
      <c r="K25" s="60">
        <v>27.622793539365095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401.68824746873639</v>
      </c>
      <c r="V25" s="62">
        <v>0</v>
      </c>
      <c r="W25" s="62">
        <v>45.116900157928455</v>
      </c>
      <c r="X25" s="62">
        <v>0</v>
      </c>
      <c r="Y25" s="66">
        <v>224.22969461282128</v>
      </c>
      <c r="Z25" s="66">
        <v>0</v>
      </c>
      <c r="AA25" s="67">
        <v>0</v>
      </c>
      <c r="AB25" s="68">
        <v>51.280614897939358</v>
      </c>
      <c r="AC25" s="69">
        <v>0</v>
      </c>
      <c r="AD25" s="431">
        <v>11.556645005681426</v>
      </c>
      <c r="AE25" s="433">
        <v>0</v>
      </c>
      <c r="AF25" s="69">
        <v>12.200175735023286</v>
      </c>
      <c r="AG25" s="68">
        <v>11.999449451573156</v>
      </c>
      <c r="AH25" s="68">
        <v>0</v>
      </c>
      <c r="AI25" s="68">
        <v>1</v>
      </c>
      <c r="AJ25" s="69">
        <v>299.24776719411216</v>
      </c>
      <c r="AK25" s="69">
        <v>545.026555109024</v>
      </c>
      <c r="AL25" s="69">
        <v>1133.6793749491374</v>
      </c>
      <c r="AM25" s="69">
        <v>369.80712890625</v>
      </c>
      <c r="AN25" s="69">
        <v>1501.2441101074219</v>
      </c>
      <c r="AO25" s="69">
        <v>1885.1347335815433</v>
      </c>
      <c r="AP25" s="69">
        <v>515.83774143854782</v>
      </c>
      <c r="AQ25" s="69">
        <v>1782.1194245656329</v>
      </c>
      <c r="AR25" s="69">
        <v>492.73376318613685</v>
      </c>
      <c r="AS25" s="69">
        <v>530.99272562662759</v>
      </c>
    </row>
    <row r="26" spans="1:45" x14ac:dyDescent="0.25">
      <c r="A26" s="11">
        <v>43058</v>
      </c>
      <c r="B26" s="59"/>
      <c r="C26" s="60">
        <v>0</v>
      </c>
      <c r="D26" s="60">
        <v>0</v>
      </c>
      <c r="E26" s="50">
        <v>0</v>
      </c>
      <c r="F26" s="60">
        <v>0</v>
      </c>
      <c r="G26" s="60">
        <v>0</v>
      </c>
      <c r="H26" s="61">
        <v>0</v>
      </c>
      <c r="I26" s="59">
        <v>189.82412844498964</v>
      </c>
      <c r="J26" s="60">
        <v>500.56573623021472</v>
      </c>
      <c r="K26" s="60">
        <v>27.612734258174914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407.03912118275542</v>
      </c>
      <c r="V26" s="62">
        <v>0</v>
      </c>
      <c r="W26" s="62">
        <v>42.786414754390684</v>
      </c>
      <c r="X26" s="62">
        <v>0</v>
      </c>
      <c r="Y26" s="66">
        <v>213.57833932240766</v>
      </c>
      <c r="Z26" s="66">
        <v>0</v>
      </c>
      <c r="AA26" s="67">
        <v>0</v>
      </c>
      <c r="AB26" s="68">
        <v>51.099568875630361</v>
      </c>
      <c r="AC26" s="69">
        <v>0</v>
      </c>
      <c r="AD26" s="431">
        <v>11.51971619061487</v>
      </c>
      <c r="AE26" s="433">
        <v>0</v>
      </c>
      <c r="AF26" s="69">
        <v>11.901545426249497</v>
      </c>
      <c r="AG26" s="68">
        <v>11.736281761015555</v>
      </c>
      <c r="AH26" s="68">
        <v>0</v>
      </c>
      <c r="AI26" s="68">
        <v>1</v>
      </c>
      <c r="AJ26" s="69">
        <v>293.18575665950777</v>
      </c>
      <c r="AK26" s="69">
        <v>540.20616234143574</v>
      </c>
      <c r="AL26" s="69">
        <v>1219.5125761032104</v>
      </c>
      <c r="AM26" s="69">
        <v>369.80712890625</v>
      </c>
      <c r="AN26" s="69">
        <v>1501.2441101074219</v>
      </c>
      <c r="AO26" s="69">
        <v>1921.5870815277096</v>
      </c>
      <c r="AP26" s="69">
        <v>515.31239277521752</v>
      </c>
      <c r="AQ26" s="69">
        <v>1787.9625884373984</v>
      </c>
      <c r="AR26" s="69">
        <v>485.32186295191445</v>
      </c>
      <c r="AS26" s="69">
        <v>503.22408828735354</v>
      </c>
    </row>
    <row r="27" spans="1:45" x14ac:dyDescent="0.25">
      <c r="A27" s="11">
        <v>43059</v>
      </c>
      <c r="B27" s="59"/>
      <c r="C27" s="60">
        <v>0</v>
      </c>
      <c r="D27" s="60">
        <v>0</v>
      </c>
      <c r="E27" s="50">
        <v>0</v>
      </c>
      <c r="F27" s="60">
        <v>0</v>
      </c>
      <c r="G27" s="60">
        <v>0</v>
      </c>
      <c r="H27" s="61">
        <v>0</v>
      </c>
      <c r="I27" s="59">
        <v>186.91328550974518</v>
      </c>
      <c r="J27" s="60">
        <v>500.25843702952153</v>
      </c>
      <c r="K27" s="60">
        <v>27.82392494479808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416.72322425841861</v>
      </c>
      <c r="V27" s="62">
        <v>0</v>
      </c>
      <c r="W27" s="62">
        <v>43.868429652849827</v>
      </c>
      <c r="X27" s="62">
        <v>0</v>
      </c>
      <c r="Y27" s="62">
        <v>214.58085629145307</v>
      </c>
      <c r="Z27" s="62">
        <v>0</v>
      </c>
      <c r="AA27" s="72">
        <v>0</v>
      </c>
      <c r="AB27" s="69">
        <v>50.923110556602175</v>
      </c>
      <c r="AC27" s="69">
        <v>0</v>
      </c>
      <c r="AD27" s="431">
        <v>11.51191380678155</v>
      </c>
      <c r="AE27" s="433">
        <v>0</v>
      </c>
      <c r="AF27" s="69">
        <v>12.031489183505375</v>
      </c>
      <c r="AG27" s="69">
        <v>11.876867803873846</v>
      </c>
      <c r="AH27" s="69">
        <v>0</v>
      </c>
      <c r="AI27" s="69">
        <v>1</v>
      </c>
      <c r="AJ27" s="69">
        <v>279.14018162091571</v>
      </c>
      <c r="AK27" s="69">
        <v>500.78180928230285</v>
      </c>
      <c r="AL27" s="69">
        <v>1144.3084047317504</v>
      </c>
      <c r="AM27" s="69">
        <v>369.80712890625</v>
      </c>
      <c r="AN27" s="69">
        <v>1501.2441101074219</v>
      </c>
      <c r="AO27" s="69">
        <v>1908.9171802520752</v>
      </c>
      <c r="AP27" s="69">
        <v>525.65726234118154</v>
      </c>
      <c r="AQ27" s="69">
        <v>1775.6875668843591</v>
      </c>
      <c r="AR27" s="69">
        <v>505.92104660669952</v>
      </c>
      <c r="AS27" s="69">
        <v>535.14645210901892</v>
      </c>
    </row>
    <row r="28" spans="1:45" x14ac:dyDescent="0.25">
      <c r="A28" s="11">
        <v>43060</v>
      </c>
      <c r="B28" s="59"/>
      <c r="C28" s="60">
        <v>0</v>
      </c>
      <c r="D28" s="60">
        <v>0</v>
      </c>
      <c r="E28" s="50">
        <v>0</v>
      </c>
      <c r="F28" s="60">
        <v>0</v>
      </c>
      <c r="G28" s="60">
        <v>0</v>
      </c>
      <c r="H28" s="61">
        <v>0</v>
      </c>
      <c r="I28" s="59">
        <v>178.87719236214946</v>
      </c>
      <c r="J28" s="60">
        <v>500.14449008305888</v>
      </c>
      <c r="K28" s="60">
        <v>27.275278908014343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421.26631050109791</v>
      </c>
      <c r="V28" s="62">
        <v>0</v>
      </c>
      <c r="W28" s="62">
        <v>45.130677715937331</v>
      </c>
      <c r="X28" s="62">
        <v>0</v>
      </c>
      <c r="Y28" s="66">
        <v>215.08511141935992</v>
      </c>
      <c r="Z28" s="66">
        <v>0</v>
      </c>
      <c r="AA28" s="67">
        <v>0</v>
      </c>
      <c r="AB28" s="68">
        <v>51.100787499215521</v>
      </c>
      <c r="AC28" s="69">
        <v>0</v>
      </c>
      <c r="AD28" s="431">
        <v>11.620704449583286</v>
      </c>
      <c r="AE28" s="433">
        <v>0</v>
      </c>
      <c r="AF28" s="69">
        <v>12.157246714168123</v>
      </c>
      <c r="AG28" s="68">
        <v>11.999936817256224</v>
      </c>
      <c r="AH28" s="68">
        <v>0</v>
      </c>
      <c r="AI28" s="68">
        <v>1</v>
      </c>
      <c r="AJ28" s="69">
        <v>281.6709968566895</v>
      </c>
      <c r="AK28" s="69">
        <v>504.27248536745708</v>
      </c>
      <c r="AL28" s="69">
        <v>1173.6513837178547</v>
      </c>
      <c r="AM28" s="69">
        <v>369.80712890625</v>
      </c>
      <c r="AN28" s="69">
        <v>1501.2441101074219</v>
      </c>
      <c r="AO28" s="69">
        <v>1902.8699042002361</v>
      </c>
      <c r="AP28" s="69">
        <v>502.05853757858273</v>
      </c>
      <c r="AQ28" s="69">
        <v>1782.6000759124754</v>
      </c>
      <c r="AR28" s="69">
        <v>424.62181344032291</v>
      </c>
      <c r="AS28" s="69">
        <v>538.57911704381308</v>
      </c>
    </row>
    <row r="29" spans="1:45" x14ac:dyDescent="0.25">
      <c r="A29" s="11">
        <v>43061</v>
      </c>
      <c r="B29" s="59"/>
      <c r="C29" s="60">
        <v>0</v>
      </c>
      <c r="D29" s="60">
        <v>0</v>
      </c>
      <c r="E29" s="50">
        <v>0</v>
      </c>
      <c r="F29" s="60">
        <v>0</v>
      </c>
      <c r="G29" s="60">
        <v>0</v>
      </c>
      <c r="H29" s="61">
        <v>0</v>
      </c>
      <c r="I29" s="59">
        <v>179.41829500993063</v>
      </c>
      <c r="J29" s="60">
        <v>500.4290595372521</v>
      </c>
      <c r="K29" s="60">
        <v>27.414891831080094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401.55698990292052</v>
      </c>
      <c r="V29" s="62">
        <v>0</v>
      </c>
      <c r="W29" s="62">
        <v>42.575664206345884</v>
      </c>
      <c r="X29" s="62">
        <v>0</v>
      </c>
      <c r="Y29" s="66">
        <v>206.0365725278854</v>
      </c>
      <c r="Z29" s="66">
        <v>0</v>
      </c>
      <c r="AA29" s="67">
        <v>0</v>
      </c>
      <c r="AB29" s="68">
        <v>51.103280745612693</v>
      </c>
      <c r="AC29" s="69">
        <v>0</v>
      </c>
      <c r="AD29" s="431">
        <v>11.696945184987943</v>
      </c>
      <c r="AE29" s="433">
        <v>0</v>
      </c>
      <c r="AF29" s="69">
        <v>11.668130555417832</v>
      </c>
      <c r="AG29" s="68">
        <v>11.191675256563753</v>
      </c>
      <c r="AH29" s="68">
        <v>0</v>
      </c>
      <c r="AI29" s="68">
        <v>1</v>
      </c>
      <c r="AJ29" s="69">
        <v>277.64529596964513</v>
      </c>
      <c r="AK29" s="69">
        <v>495.43832899729409</v>
      </c>
      <c r="AL29" s="69">
        <v>1182.3183721542357</v>
      </c>
      <c r="AM29" s="69">
        <v>369.80712890625</v>
      </c>
      <c r="AN29" s="69">
        <v>1501.2441101074219</v>
      </c>
      <c r="AO29" s="69">
        <v>1901.681198501587</v>
      </c>
      <c r="AP29" s="69">
        <v>497.0333113511403</v>
      </c>
      <c r="AQ29" s="69">
        <v>1870.3630596160895</v>
      </c>
      <c r="AR29" s="69">
        <v>394.53922619819639</v>
      </c>
      <c r="AS29" s="69">
        <v>526.48472874959316</v>
      </c>
    </row>
    <row r="30" spans="1:45" x14ac:dyDescent="0.25">
      <c r="A30" s="11">
        <v>43062</v>
      </c>
      <c r="B30" s="59"/>
      <c r="C30" s="60">
        <v>0</v>
      </c>
      <c r="D30" s="60">
        <v>0</v>
      </c>
      <c r="E30" s="50">
        <v>0</v>
      </c>
      <c r="F30" s="60">
        <v>0</v>
      </c>
      <c r="G30" s="60">
        <v>0</v>
      </c>
      <c r="H30" s="61">
        <v>0</v>
      </c>
      <c r="I30" s="59">
        <v>180.92435468832653</v>
      </c>
      <c r="J30" s="60">
        <v>505.33501723607361</v>
      </c>
      <c r="K30" s="60">
        <v>27.73123718897498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405.9904130723765</v>
      </c>
      <c r="V30" s="62">
        <v>0</v>
      </c>
      <c r="W30" s="62">
        <v>42.613352918624948</v>
      </c>
      <c r="X30" s="62">
        <v>0</v>
      </c>
      <c r="Y30" s="66">
        <v>209.97241001129171</v>
      </c>
      <c r="Z30" s="66">
        <v>0</v>
      </c>
      <c r="AA30" s="67">
        <v>0</v>
      </c>
      <c r="AB30" s="68">
        <v>51.500847056177015</v>
      </c>
      <c r="AC30" s="69">
        <v>0</v>
      </c>
      <c r="AD30" s="431">
        <v>11.803450972530051</v>
      </c>
      <c r="AE30" s="433">
        <v>0</v>
      </c>
      <c r="AF30" s="69">
        <v>11.515399208333754</v>
      </c>
      <c r="AG30" s="68">
        <v>11.683783706882698</v>
      </c>
      <c r="AH30" s="68">
        <v>0</v>
      </c>
      <c r="AI30" s="68">
        <v>1</v>
      </c>
      <c r="AJ30" s="69">
        <v>267.22274990081786</v>
      </c>
      <c r="AK30" s="69">
        <v>464.08830765088402</v>
      </c>
      <c r="AL30" s="69">
        <v>1147.0286448160807</v>
      </c>
      <c r="AM30" s="69">
        <v>369.80712890625</v>
      </c>
      <c r="AN30" s="69">
        <v>1501.2441101074219</v>
      </c>
      <c r="AO30" s="69">
        <v>1838.5543707529707</v>
      </c>
      <c r="AP30" s="69">
        <v>478.84111534754436</v>
      </c>
      <c r="AQ30" s="69">
        <v>1796.5147610346476</v>
      </c>
      <c r="AR30" s="69">
        <v>393.16596490542088</v>
      </c>
      <c r="AS30" s="69">
        <v>516.80945339202879</v>
      </c>
    </row>
    <row r="31" spans="1:45" x14ac:dyDescent="0.25">
      <c r="A31" s="11">
        <v>43063</v>
      </c>
      <c r="B31" s="59"/>
      <c r="C31" s="60">
        <v>0</v>
      </c>
      <c r="D31" s="60">
        <v>0</v>
      </c>
      <c r="E31" s="50">
        <v>0</v>
      </c>
      <c r="F31" s="60">
        <v>0</v>
      </c>
      <c r="G31" s="60">
        <v>0</v>
      </c>
      <c r="H31" s="61">
        <v>0</v>
      </c>
      <c r="I31" s="59">
        <v>179.10679987271618</v>
      </c>
      <c r="J31" s="60">
        <v>501.36247138977097</v>
      </c>
      <c r="K31" s="60">
        <v>27.546368239323311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396.54963143666168</v>
      </c>
      <c r="V31" s="62">
        <v>0</v>
      </c>
      <c r="W31" s="62">
        <v>44.783783602714557</v>
      </c>
      <c r="X31" s="62">
        <v>0</v>
      </c>
      <c r="Y31" s="66">
        <v>225.26772220134717</v>
      </c>
      <c r="Z31" s="66">
        <v>0</v>
      </c>
      <c r="AA31" s="67">
        <v>0</v>
      </c>
      <c r="AB31" s="68">
        <v>50.923831099934858</v>
      </c>
      <c r="AC31" s="69">
        <v>0</v>
      </c>
      <c r="AD31" s="431">
        <v>11.718176492458866</v>
      </c>
      <c r="AE31" s="433">
        <v>0</v>
      </c>
      <c r="AF31" s="69">
        <v>12.147718383206277</v>
      </c>
      <c r="AG31" s="68">
        <v>11.999118162302615</v>
      </c>
      <c r="AH31" s="68">
        <v>0</v>
      </c>
      <c r="AI31" s="68">
        <v>1</v>
      </c>
      <c r="AJ31" s="69">
        <v>261.4090533733368</v>
      </c>
      <c r="AK31" s="69">
        <v>449.94049603144327</v>
      </c>
      <c r="AL31" s="69">
        <v>1147.4803407033285</v>
      </c>
      <c r="AM31" s="69">
        <v>369.80712890625</v>
      </c>
      <c r="AN31" s="69">
        <v>1501.2441101074219</v>
      </c>
      <c r="AO31" s="69">
        <v>1846.9446661631264</v>
      </c>
      <c r="AP31" s="69">
        <v>467.11995910008756</v>
      </c>
      <c r="AQ31" s="69">
        <v>1797.518501408895</v>
      </c>
      <c r="AR31" s="69">
        <v>391.1223081747691</v>
      </c>
      <c r="AS31" s="69">
        <v>499.68060906728095</v>
      </c>
    </row>
    <row r="32" spans="1:45" x14ac:dyDescent="0.25">
      <c r="A32" s="11">
        <v>43064</v>
      </c>
      <c r="B32" s="59"/>
      <c r="C32" s="60">
        <v>0</v>
      </c>
      <c r="D32" s="60">
        <v>0</v>
      </c>
      <c r="E32" s="50">
        <v>0</v>
      </c>
      <c r="F32" s="60">
        <v>0</v>
      </c>
      <c r="G32" s="60">
        <v>0</v>
      </c>
      <c r="H32" s="61">
        <v>0</v>
      </c>
      <c r="I32" s="59">
        <v>178.87787627379072</v>
      </c>
      <c r="J32" s="60">
        <v>501.68667793273966</v>
      </c>
      <c r="K32" s="60">
        <v>27.548208806912125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390.53002662658349</v>
      </c>
      <c r="V32" s="62">
        <v>0</v>
      </c>
      <c r="W32" s="62">
        <v>44.297201704978974</v>
      </c>
      <c r="X32" s="62">
        <v>0</v>
      </c>
      <c r="Y32" s="66">
        <v>213.27879968484231</v>
      </c>
      <c r="Z32" s="66">
        <v>0</v>
      </c>
      <c r="AA32" s="67">
        <v>0</v>
      </c>
      <c r="AB32" s="68">
        <v>51.102102865113103</v>
      </c>
      <c r="AC32" s="69">
        <v>0</v>
      </c>
      <c r="AD32" s="431">
        <v>11.728658955500961</v>
      </c>
      <c r="AE32" s="433">
        <v>0</v>
      </c>
      <c r="AF32" s="69">
        <v>11.964411469962844</v>
      </c>
      <c r="AG32" s="68">
        <v>11.811911771553365</v>
      </c>
      <c r="AH32" s="68">
        <v>0</v>
      </c>
      <c r="AI32" s="68">
        <v>1</v>
      </c>
      <c r="AJ32" s="69">
        <v>269.4107695579529</v>
      </c>
      <c r="AK32" s="69">
        <v>473.04809737205511</v>
      </c>
      <c r="AL32" s="69">
        <v>1179.6216206232707</v>
      </c>
      <c r="AM32" s="69">
        <v>369.80712890625</v>
      </c>
      <c r="AN32" s="69">
        <v>1501.2441101074219</v>
      </c>
      <c r="AO32" s="69">
        <v>1838.3450686136882</v>
      </c>
      <c r="AP32" s="69">
        <v>483.79229160944624</v>
      </c>
      <c r="AQ32" s="69">
        <v>1819.4343479156494</v>
      </c>
      <c r="AR32" s="69">
        <v>393.15334531466164</v>
      </c>
      <c r="AS32" s="69">
        <v>480.78733250300093</v>
      </c>
    </row>
    <row r="33" spans="1:45" x14ac:dyDescent="0.25">
      <c r="A33" s="11">
        <v>43065</v>
      </c>
      <c r="B33" s="59"/>
      <c r="C33" s="60">
        <v>0</v>
      </c>
      <c r="D33" s="60">
        <v>0</v>
      </c>
      <c r="E33" s="50">
        <v>0</v>
      </c>
      <c r="F33" s="60">
        <v>0</v>
      </c>
      <c r="G33" s="60">
        <v>0</v>
      </c>
      <c r="H33" s="61">
        <v>0</v>
      </c>
      <c r="I33" s="59">
        <v>179.43336098988829</v>
      </c>
      <c r="J33" s="60">
        <v>501.57238772710144</v>
      </c>
      <c r="K33" s="60">
        <v>27.537454020976977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398.06258227030406</v>
      </c>
      <c r="V33" s="62">
        <v>0</v>
      </c>
      <c r="W33" s="62">
        <v>44.486911865075484</v>
      </c>
      <c r="X33" s="62">
        <v>0</v>
      </c>
      <c r="Y33" s="66">
        <v>211.41306549708071</v>
      </c>
      <c r="Z33" s="66">
        <v>0</v>
      </c>
      <c r="AA33" s="67">
        <v>0</v>
      </c>
      <c r="AB33" s="68">
        <v>51.103793599870897</v>
      </c>
      <c r="AC33" s="69">
        <v>0</v>
      </c>
      <c r="AD33" s="431">
        <v>11.724828515003827</v>
      </c>
      <c r="AE33" s="433">
        <v>0</v>
      </c>
      <c r="AF33" s="69">
        <v>12.146732505162573</v>
      </c>
      <c r="AG33" s="68">
        <v>11.999159188910458</v>
      </c>
      <c r="AH33" s="68">
        <v>0</v>
      </c>
      <c r="AI33" s="68">
        <v>1</v>
      </c>
      <c r="AJ33" s="69">
        <v>261.55135483741765</v>
      </c>
      <c r="AK33" s="69">
        <v>460.36418471336356</v>
      </c>
      <c r="AL33" s="69">
        <v>1172.7746133168537</v>
      </c>
      <c r="AM33" s="69">
        <v>470.96726353963214</v>
      </c>
      <c r="AN33" s="69">
        <v>1568.8836354573568</v>
      </c>
      <c r="AO33" s="69">
        <v>1858.3821634928383</v>
      </c>
      <c r="AP33" s="69">
        <v>474.53613870938625</v>
      </c>
      <c r="AQ33" s="69">
        <v>1803.8327336629234</v>
      </c>
      <c r="AR33" s="69">
        <v>397.36061681111653</v>
      </c>
      <c r="AS33" s="69">
        <v>523.08327611287439</v>
      </c>
    </row>
    <row r="34" spans="1:45" x14ac:dyDescent="0.25">
      <c r="A34" s="11">
        <v>43066</v>
      </c>
      <c r="B34" s="59"/>
      <c r="C34" s="60">
        <v>0</v>
      </c>
      <c r="D34" s="60">
        <v>0</v>
      </c>
      <c r="E34" s="50">
        <v>0</v>
      </c>
      <c r="F34" s="60">
        <v>0</v>
      </c>
      <c r="G34" s="60">
        <v>0</v>
      </c>
      <c r="H34" s="61">
        <v>0</v>
      </c>
      <c r="I34" s="59">
        <v>180.31309513250974</v>
      </c>
      <c r="J34" s="60">
        <v>501.6042768160504</v>
      </c>
      <c r="K34" s="60">
        <v>27.627623638510695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399.07806373172104</v>
      </c>
      <c r="V34" s="62">
        <v>0</v>
      </c>
      <c r="W34" s="62">
        <v>44.48165541887272</v>
      </c>
      <c r="X34" s="62">
        <v>0</v>
      </c>
      <c r="Y34" s="66">
        <v>205.87245148022978</v>
      </c>
      <c r="Z34" s="66">
        <v>0</v>
      </c>
      <c r="AA34" s="67">
        <v>0</v>
      </c>
      <c r="AB34" s="68">
        <v>51.104919399156572</v>
      </c>
      <c r="AC34" s="69">
        <v>0</v>
      </c>
      <c r="AD34" s="431">
        <v>11.725094825527719</v>
      </c>
      <c r="AE34" s="433">
        <v>0</v>
      </c>
      <c r="AF34" s="69">
        <v>12.147399564584095</v>
      </c>
      <c r="AG34" s="68">
        <v>12.001193081081709</v>
      </c>
      <c r="AH34" s="68">
        <v>0</v>
      </c>
      <c r="AI34" s="68">
        <v>1</v>
      </c>
      <c r="AJ34" s="69">
        <v>272.37871497472133</v>
      </c>
      <c r="AK34" s="69">
        <v>454.46403344472242</v>
      </c>
      <c r="AL34" s="69">
        <v>1182.8317748387653</v>
      </c>
      <c r="AM34" s="69">
        <v>518.54461669921875</v>
      </c>
      <c r="AN34" s="69">
        <v>1602.466552734375</v>
      </c>
      <c r="AO34" s="69">
        <v>1925.5046215057375</v>
      </c>
      <c r="AP34" s="69">
        <v>464.72205796241752</v>
      </c>
      <c r="AQ34" s="69">
        <v>1803.2567459106444</v>
      </c>
      <c r="AR34" s="69">
        <v>397.03787933985393</v>
      </c>
      <c r="AS34" s="69">
        <v>562.35252860387163</v>
      </c>
    </row>
    <row r="35" spans="1:45" x14ac:dyDescent="0.25">
      <c r="A35" s="11">
        <v>43067</v>
      </c>
      <c r="B35" s="59"/>
      <c r="C35" s="60">
        <v>0</v>
      </c>
      <c r="D35" s="60">
        <v>0</v>
      </c>
      <c r="E35" s="50">
        <v>0</v>
      </c>
      <c r="F35" s="60">
        <v>0</v>
      </c>
      <c r="G35" s="60">
        <v>0</v>
      </c>
      <c r="H35" s="61">
        <v>0</v>
      </c>
      <c r="I35" s="59">
        <v>180.06687932014464</v>
      </c>
      <c r="J35" s="60">
        <v>501.67075252532999</v>
      </c>
      <c r="K35" s="60">
        <v>27.439614086349845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394.88308071560454</v>
      </c>
      <c r="V35" s="62">
        <v>0</v>
      </c>
      <c r="W35" s="62">
        <v>44.156657604376477</v>
      </c>
      <c r="X35" s="62">
        <v>0</v>
      </c>
      <c r="Y35" s="66">
        <v>203.96625750064808</v>
      </c>
      <c r="Z35" s="66">
        <v>0</v>
      </c>
      <c r="AA35" s="67">
        <v>0</v>
      </c>
      <c r="AB35" s="68">
        <v>51.102924108504894</v>
      </c>
      <c r="AC35" s="69">
        <v>0</v>
      </c>
      <c r="AD35" s="431">
        <v>11.733460239510627</v>
      </c>
      <c r="AE35" s="433">
        <v>0</v>
      </c>
      <c r="AF35" s="69">
        <v>11.974418043427951</v>
      </c>
      <c r="AG35" s="68">
        <v>11.826576804316449</v>
      </c>
      <c r="AH35" s="68">
        <v>0</v>
      </c>
      <c r="AI35" s="68">
        <v>1</v>
      </c>
      <c r="AJ35" s="69">
        <v>278.2816987514496</v>
      </c>
      <c r="AK35" s="69">
        <v>488.74932357470198</v>
      </c>
      <c r="AL35" s="69">
        <v>1164.7401576995849</v>
      </c>
      <c r="AM35" s="69">
        <v>518.54461669921875</v>
      </c>
      <c r="AN35" s="69">
        <v>1602.466552734375</v>
      </c>
      <c r="AO35" s="69">
        <v>1892.8435218811035</v>
      </c>
      <c r="AP35" s="69">
        <v>486.41985642115287</v>
      </c>
      <c r="AQ35" s="69">
        <v>1797.8078477223712</v>
      </c>
      <c r="AR35" s="69">
        <v>398.0055125554403</v>
      </c>
      <c r="AS35" s="69">
        <v>529.02772006988528</v>
      </c>
    </row>
    <row r="36" spans="1:45" x14ac:dyDescent="0.25">
      <c r="A36" s="11">
        <v>43068</v>
      </c>
      <c r="B36" s="59"/>
      <c r="C36" s="60">
        <v>0</v>
      </c>
      <c r="D36" s="60">
        <v>0</v>
      </c>
      <c r="E36" s="50">
        <v>0</v>
      </c>
      <c r="F36" s="60">
        <v>0</v>
      </c>
      <c r="G36" s="60">
        <v>0</v>
      </c>
      <c r="H36" s="61">
        <v>0</v>
      </c>
      <c r="I36" s="59">
        <v>173.39040892918894</v>
      </c>
      <c r="J36" s="60">
        <v>495.63306983311992</v>
      </c>
      <c r="K36" s="60">
        <v>27.150278870264728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412.64619880252667</v>
      </c>
      <c r="V36" s="62">
        <v>0</v>
      </c>
      <c r="W36" s="62">
        <v>43.847172486782149</v>
      </c>
      <c r="X36" s="62">
        <v>0</v>
      </c>
      <c r="Y36" s="66">
        <v>199.057917022705</v>
      </c>
      <c r="Z36" s="66">
        <v>0</v>
      </c>
      <c r="AA36" s="67">
        <v>0</v>
      </c>
      <c r="AB36" s="68">
        <v>51.201185931099872</v>
      </c>
      <c r="AC36" s="69">
        <v>0</v>
      </c>
      <c r="AD36" s="431">
        <v>11.857149279192296</v>
      </c>
      <c r="AE36" s="433">
        <v>0</v>
      </c>
      <c r="AF36" s="69">
        <v>12.16237546073064</v>
      </c>
      <c r="AG36" s="68">
        <v>12.010862229712195</v>
      </c>
      <c r="AH36" s="68">
        <v>0</v>
      </c>
      <c r="AI36" s="68">
        <v>1</v>
      </c>
      <c r="AJ36" s="69">
        <v>280.9878537336985</v>
      </c>
      <c r="AK36" s="69">
        <v>505.00939637819931</v>
      </c>
      <c r="AL36" s="69">
        <v>1158.5479551315307</v>
      </c>
      <c r="AM36" s="69">
        <v>518.54461669921875</v>
      </c>
      <c r="AN36" s="69">
        <v>1602.466552734375</v>
      </c>
      <c r="AO36" s="69">
        <v>1898.178947957357</v>
      </c>
      <c r="AP36" s="69">
        <v>505.70556416511533</v>
      </c>
      <c r="AQ36" s="69">
        <v>1792.2012435913089</v>
      </c>
      <c r="AR36" s="69">
        <v>360.57450601259865</v>
      </c>
      <c r="AS36" s="69">
        <v>545.26733662287381</v>
      </c>
    </row>
    <row r="37" spans="1:45" x14ac:dyDescent="0.25">
      <c r="A37" s="11">
        <v>43069</v>
      </c>
      <c r="B37" s="59"/>
      <c r="C37" s="60">
        <v>0</v>
      </c>
      <c r="D37" s="60">
        <v>0</v>
      </c>
      <c r="E37" s="50">
        <v>0</v>
      </c>
      <c r="F37" s="60">
        <v>0</v>
      </c>
      <c r="G37" s="60">
        <v>0</v>
      </c>
      <c r="H37" s="61">
        <v>0</v>
      </c>
      <c r="I37" s="59">
        <v>159.79926143487279</v>
      </c>
      <c r="J37" s="60">
        <v>458.50273650487168</v>
      </c>
      <c r="K37" s="60">
        <v>25.138637166221926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413.19885387420544</v>
      </c>
      <c r="V37" s="62">
        <v>0</v>
      </c>
      <c r="W37" s="62">
        <v>44.604640630881036</v>
      </c>
      <c r="X37" s="62">
        <v>0</v>
      </c>
      <c r="Y37" s="66">
        <v>183.68017261823024</v>
      </c>
      <c r="Z37" s="66">
        <v>0</v>
      </c>
      <c r="AA37" s="67">
        <v>0</v>
      </c>
      <c r="AB37" s="68">
        <v>57.549680715137193</v>
      </c>
      <c r="AC37" s="69">
        <v>0</v>
      </c>
      <c r="AD37" s="431">
        <v>11.839955907242203</v>
      </c>
      <c r="AE37" s="433">
        <v>0</v>
      </c>
      <c r="AF37" s="69">
        <v>11.925956427057582</v>
      </c>
      <c r="AG37" s="68">
        <v>11.779069355309714</v>
      </c>
      <c r="AH37" s="68">
        <v>0</v>
      </c>
      <c r="AI37" s="68">
        <v>1</v>
      </c>
      <c r="AJ37" s="69">
        <v>282.62673560778302</v>
      </c>
      <c r="AK37" s="69">
        <v>514.15556368827822</v>
      </c>
      <c r="AL37" s="69">
        <v>1132.4275883356731</v>
      </c>
      <c r="AM37" s="69">
        <v>518.54461669921875</v>
      </c>
      <c r="AN37" s="69">
        <v>1602.466552734375</v>
      </c>
      <c r="AO37" s="69">
        <v>1912.6942743937177</v>
      </c>
      <c r="AP37" s="69">
        <v>509.42104887962347</v>
      </c>
      <c r="AQ37" s="69">
        <v>1809.4098662694296</v>
      </c>
      <c r="AR37" s="69">
        <v>326.06178819338476</v>
      </c>
      <c r="AS37" s="69">
        <v>540.86798267364497</v>
      </c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1"/>
      <c r="AE38" s="401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5891.6019221742899</v>
      </c>
      <c r="J39" s="30">
        <f t="shared" si="0"/>
        <v>15878.684442106884</v>
      </c>
      <c r="K39" s="30">
        <f t="shared" si="0"/>
        <v>874.73423634419783</v>
      </c>
      <c r="L39" s="30">
        <f t="shared" si="0"/>
        <v>6.1368942260742144E-4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11967.182351387853</v>
      </c>
      <c r="V39" s="262">
        <f t="shared" si="0"/>
        <v>0</v>
      </c>
      <c r="W39" s="262">
        <f t="shared" si="0"/>
        <v>1345.6704849998159</v>
      </c>
      <c r="X39" s="262">
        <f t="shared" si="0"/>
        <v>0</v>
      </c>
      <c r="Y39" s="262">
        <f t="shared" si="0"/>
        <v>6570.0375050703688</v>
      </c>
      <c r="Z39" s="262">
        <f t="shared" si="0"/>
        <v>0</v>
      </c>
      <c r="AA39" s="270">
        <f t="shared" si="0"/>
        <v>0</v>
      </c>
      <c r="AB39" s="273">
        <f t="shared" si="0"/>
        <v>1562.4409678989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8350.4543337265659</v>
      </c>
      <c r="AK39" s="273">
        <f t="shared" si="1"/>
        <v>15041.446741088233</v>
      </c>
      <c r="AL39" s="273">
        <f t="shared" si="1"/>
        <v>35000.385987536116</v>
      </c>
      <c r="AM39" s="273">
        <f t="shared" si="1"/>
        <v>12878.12079893748</v>
      </c>
      <c r="AN39" s="273">
        <f t="shared" si="1"/>
        <v>45509.852599080405</v>
      </c>
      <c r="AO39" s="273">
        <f t="shared" si="1"/>
        <v>56839.914791488642</v>
      </c>
      <c r="AP39" s="273">
        <f t="shared" si="1"/>
        <v>15140.914673535031</v>
      </c>
      <c r="AQ39" s="273">
        <f t="shared" si="1"/>
        <v>53954.07433636982</v>
      </c>
      <c r="AR39" s="273">
        <f t="shared" si="1"/>
        <v>13049.239643335341</v>
      </c>
      <c r="AS39" s="273">
        <f t="shared" si="1"/>
        <v>18044.394501495361</v>
      </c>
    </row>
    <row r="40" spans="1:45" ht="15.75" thickBot="1" x14ac:dyDescent="0.3">
      <c r="A40" s="47" t="s">
        <v>174</v>
      </c>
      <c r="B40" s="32">
        <f>[3]Projection!$AD$30</f>
        <v>0.82128400199999985</v>
      </c>
      <c r="C40" s="33">
        <f>[3]Projection!$AD$28</f>
        <v>1.16246256</v>
      </c>
      <c r="D40" s="33">
        <f>[3]Projection!$AD$31</f>
        <v>2.504502</v>
      </c>
      <c r="E40" s="33">
        <f>[3]Projection!$AD$26</f>
        <v>3.9898560000000005</v>
      </c>
      <c r="F40" s="33">
        <f>[3]Projection!$AD$23</f>
        <v>0</v>
      </c>
      <c r="G40" s="33">
        <f>[3]Projection!$AD$24</f>
        <v>5.5265000000000002E-2</v>
      </c>
      <c r="H40" s="34">
        <f>[3]Projection!$AD$29</f>
        <v>3.1332129000000002</v>
      </c>
      <c r="I40" s="32">
        <f>[3]Projection!$AD$30</f>
        <v>0.82128400199999985</v>
      </c>
      <c r="J40" s="33">
        <f>[3]Projection!$AD$28</f>
        <v>1.16246256</v>
      </c>
      <c r="K40" s="33">
        <f>[3]Projection!$AD$26</f>
        <v>3.9898560000000005</v>
      </c>
      <c r="L40" s="33">
        <f>[3]Projection!$AD$25</f>
        <v>0</v>
      </c>
      <c r="M40" s="33">
        <f>[3]Projection!$AD$23</f>
        <v>0</v>
      </c>
      <c r="N40" s="34">
        <f>[3]Projection!$AD$23</f>
        <v>0</v>
      </c>
      <c r="O40" s="264">
        <v>15.77</v>
      </c>
      <c r="P40" s="265">
        <v>15.77</v>
      </c>
      <c r="Q40" s="265">
        <v>15.77</v>
      </c>
      <c r="R40" s="265">
        <v>15.77</v>
      </c>
      <c r="S40" s="265">
        <f>[3]Projection!$AD$28</f>
        <v>1.16246256</v>
      </c>
      <c r="T40" s="266">
        <f>[3]Projection!$AD$28</f>
        <v>1.16246256</v>
      </c>
      <c r="U40" s="264">
        <f>[3]Projection!$AD$27</f>
        <v>0.2321</v>
      </c>
      <c r="V40" s="265">
        <f>[3]Projection!$AD$27</f>
        <v>0.2321</v>
      </c>
      <c r="W40" s="265">
        <f>[3]Projection!$AD$22</f>
        <v>0.74349432000000004</v>
      </c>
      <c r="X40" s="265">
        <f>[3]Projection!$AD$22</f>
        <v>0.74349432000000004</v>
      </c>
      <c r="Y40" s="265">
        <f>[3]Projection!$AD$31</f>
        <v>2.504502</v>
      </c>
      <c r="Z40" s="265">
        <f>[3]Projection!$AD$31</f>
        <v>2.504502</v>
      </c>
      <c r="AA40" s="271">
        <v>0</v>
      </c>
      <c r="AB40" s="274">
        <f>[3]Projection!$AD$27</f>
        <v>0.2321</v>
      </c>
      <c r="AC40" s="274">
        <f>[3]Projection!$AD$30</f>
        <v>0.82128400199999985</v>
      </c>
      <c r="AD40" s="403">
        <f>SUM(AD8:AD38)</f>
        <v>353.71975274012544</v>
      </c>
      <c r="AE40" s="403">
        <f>SUM(AE8:AE38)</f>
        <v>0</v>
      </c>
      <c r="AF40" s="277">
        <f>SUM(AF8:AF38)</f>
        <v>361.81574614875831</v>
      </c>
      <c r="AG40" s="277">
        <f>SUM(AG8:AG38)</f>
        <v>355.87820056704777</v>
      </c>
      <c r="AH40" s="277">
        <f>SUM(AH8:AH38)</f>
        <v>0</v>
      </c>
      <c r="AI40" s="277">
        <f>IF(SUM(AG40:AH40)&gt;0, AG40/(AG40+AH40),0)</f>
        <v>1</v>
      </c>
      <c r="AJ40" s="313">
        <v>6.5000000000000002E-2</v>
      </c>
      <c r="AK40" s="313">
        <f t="shared" ref="AK40:AS40" si="2">$AJ$40</f>
        <v>6.5000000000000002E-2</v>
      </c>
      <c r="AL40" s="313">
        <f t="shared" si="2"/>
        <v>6.5000000000000002E-2</v>
      </c>
      <c r="AM40" s="313">
        <f t="shared" si="2"/>
        <v>6.5000000000000002E-2</v>
      </c>
      <c r="AN40" s="313">
        <f t="shared" si="2"/>
        <v>6.5000000000000002E-2</v>
      </c>
      <c r="AO40" s="313">
        <f t="shared" si="2"/>
        <v>6.5000000000000002E-2</v>
      </c>
      <c r="AP40" s="313">
        <f t="shared" si="2"/>
        <v>6.5000000000000002E-2</v>
      </c>
      <c r="AQ40" s="313">
        <f t="shared" si="2"/>
        <v>6.5000000000000002E-2</v>
      </c>
      <c r="AR40" s="313">
        <f t="shared" si="2"/>
        <v>6.5000000000000002E-2</v>
      </c>
      <c r="AS40" s="313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4838.6784048341924</v>
      </c>
      <c r="J41" s="36">
        <f t="shared" si="3"/>
        <v>18458.376166003742</v>
      </c>
      <c r="K41" s="36">
        <f t="shared" si="3"/>
        <v>3490.0636412833164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2777.5830237571208</v>
      </c>
      <c r="V41" s="268">
        <f t="shared" si="3"/>
        <v>0</v>
      </c>
      <c r="W41" s="268">
        <f t="shared" si="3"/>
        <v>1000.4983621890084</v>
      </c>
      <c r="X41" s="268">
        <f t="shared" si="3"/>
        <v>0</v>
      </c>
      <c r="Y41" s="268">
        <f t="shared" si="3"/>
        <v>16454.67207152375</v>
      </c>
      <c r="Z41" s="268">
        <f t="shared" si="3"/>
        <v>0</v>
      </c>
      <c r="AA41" s="272">
        <f t="shared" si="3"/>
        <v>0</v>
      </c>
      <c r="AB41" s="275">
        <f t="shared" si="3"/>
        <v>362.64254864933469</v>
      </c>
      <c r="AC41" s="275">
        <f t="shared" si="3"/>
        <v>0</v>
      </c>
      <c r="AJ41" s="278">
        <f t="shared" ref="AJ41:AS41" si="4">AJ40*AJ39</f>
        <v>542.77953169222678</v>
      </c>
      <c r="AK41" s="278">
        <f t="shared" si="4"/>
        <v>977.69403817073521</v>
      </c>
      <c r="AL41" s="278">
        <f t="shared" si="4"/>
        <v>2275.0250891898477</v>
      </c>
      <c r="AM41" s="278">
        <f t="shared" si="4"/>
        <v>837.07785193093616</v>
      </c>
      <c r="AN41" s="278">
        <f t="shared" si="4"/>
        <v>2958.1404189402265</v>
      </c>
      <c r="AO41" s="278">
        <f t="shared" si="4"/>
        <v>3694.5944614467617</v>
      </c>
      <c r="AP41" s="278">
        <f t="shared" si="4"/>
        <v>984.1594537797771</v>
      </c>
      <c r="AQ41" s="278">
        <f t="shared" si="4"/>
        <v>3507.0148318640386</v>
      </c>
      <c r="AR41" s="278">
        <f t="shared" si="4"/>
        <v>848.20057681679714</v>
      </c>
      <c r="AS41" s="278">
        <f t="shared" si="4"/>
        <v>1172.8856425971985</v>
      </c>
    </row>
    <row r="42" spans="1:45" ht="49.5" customHeight="1" thickTop="1" thickBot="1" x14ac:dyDescent="0.3">
      <c r="A42" s="620" t="s">
        <v>234</v>
      </c>
      <c r="B42" s="621"/>
      <c r="C42" s="621"/>
      <c r="D42" s="621"/>
      <c r="E42" s="621"/>
      <c r="F42" s="621"/>
      <c r="G42" s="621"/>
      <c r="H42" s="621"/>
      <c r="I42" s="621"/>
      <c r="J42" s="621"/>
      <c r="K42" s="614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186</v>
      </c>
      <c r="AJ42" s="295">
        <v>861.8</v>
      </c>
      <c r="AK42" s="278" t="s">
        <v>199</v>
      </c>
      <c r="AL42" s="278">
        <v>2327.65</v>
      </c>
      <c r="AM42" s="278">
        <v>785.7</v>
      </c>
      <c r="AN42" s="278">
        <v>1078.8</v>
      </c>
      <c r="AO42" s="278">
        <v>5952.44</v>
      </c>
      <c r="AP42" s="278">
        <v>955.46</v>
      </c>
      <c r="AQ42" s="278" t="s">
        <v>199</v>
      </c>
      <c r="AR42" s="278">
        <v>134.30000000000001</v>
      </c>
      <c r="AS42" s="278">
        <v>417.81</v>
      </c>
    </row>
    <row r="43" spans="1:45" ht="38.25" customHeight="1" thickTop="1" thickBot="1" x14ac:dyDescent="0.3">
      <c r="A43" s="617" t="s">
        <v>49</v>
      </c>
      <c r="B43" s="613"/>
      <c r="C43" s="289"/>
      <c r="D43" s="613" t="s">
        <v>47</v>
      </c>
      <c r="E43" s="613"/>
      <c r="F43" s="289"/>
      <c r="G43" s="613" t="s">
        <v>48</v>
      </c>
      <c r="H43" s="613"/>
      <c r="I43" s="290"/>
      <c r="J43" s="613" t="s">
        <v>50</v>
      </c>
      <c r="K43" s="614"/>
      <c r="L43" s="44"/>
      <c r="M43" s="44"/>
      <c r="N43" s="44"/>
      <c r="O43" s="45"/>
      <c r="P43" s="45"/>
      <c r="Q43" s="45"/>
      <c r="R43" s="602" t="s">
        <v>168</v>
      </c>
      <c r="S43" s="603"/>
      <c r="T43" s="603"/>
      <c r="U43" s="604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47382.51421824046</v>
      </c>
      <c r="C44" s="12"/>
      <c r="D44" s="282" t="s">
        <v>135</v>
      </c>
      <c r="E44" s="283">
        <f>SUM(B41:H41)+P41+R41+T41+V41+X41+Z41</f>
        <v>0</v>
      </c>
      <c r="F44" s="12"/>
      <c r="G44" s="282" t="s">
        <v>135</v>
      </c>
      <c r="H44" s="283">
        <f>SUM(I41:N41)+O41+Q41+S41+U41+W41+Y41</f>
        <v>47019.871669591128</v>
      </c>
      <c r="I44" s="12"/>
      <c r="J44" s="282" t="s">
        <v>200</v>
      </c>
      <c r="K44" s="283">
        <v>138852.14000000001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408" t="s">
        <v>169</v>
      </c>
      <c r="U44" s="255" t="s">
        <v>170</v>
      </c>
    </row>
    <row r="45" spans="1:45" ht="24" thickBot="1" x14ac:dyDescent="0.4">
      <c r="A45" s="284" t="s">
        <v>185</v>
      </c>
      <c r="B45" s="285">
        <f>SUM(AJ41:AS41)</f>
        <v>17797.571896428544</v>
      </c>
      <c r="C45" s="12"/>
      <c r="D45" s="284" t="s">
        <v>185</v>
      </c>
      <c r="E45" s="285">
        <f>AJ41*(1-$AI$40)+AK41+AL41*0.5+AN41+AO41*(1-$AI$40)+AP41*(1-$AI$40)+AQ41*(1-$AI$40)+AR41*0.5+AS41*0.5</f>
        <v>6083.890111412883</v>
      </c>
      <c r="F45" s="24"/>
      <c r="G45" s="284" t="s">
        <v>185</v>
      </c>
      <c r="H45" s="285">
        <f>AJ41*AI40+AL41*0.5+AM41+AO41*AI40+AP41*AI40+AQ41*AI40+AR41*0.5+AS41*0.5</f>
        <v>11713.681785015662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1345.6704849998159</v>
      </c>
      <c r="U45" s="256">
        <f>(T45*8.34*0.895)/27000</f>
        <v>0.372018081525338</v>
      </c>
    </row>
    <row r="46" spans="1:45" ht="32.25" thickBot="1" x14ac:dyDescent="0.3">
      <c r="A46" s="286" t="s">
        <v>186</v>
      </c>
      <c r="B46" s="287">
        <f>SUM(AJ42:AS42)</f>
        <v>12513.959999999997</v>
      </c>
      <c r="C46" s="12"/>
      <c r="D46" s="286" t="s">
        <v>186</v>
      </c>
      <c r="E46" s="287">
        <f>AJ42*(1-$AI$40)+AL42*0.5+AN42+AO42*(1-$AI$40)+AP42*(1-$AI$40)+AR42*0.5+AS42*0.5</f>
        <v>2518.6800000000003</v>
      </c>
      <c r="F46" s="23"/>
      <c r="G46" s="286" t="s">
        <v>186</v>
      </c>
      <c r="H46" s="287">
        <f>AJ42*AI40+AL42*0.5+AM42+AO42*AI40+AP42*AI40+AR42*0.5+AS42*0.5</f>
        <v>9995.2799999999988</v>
      </c>
      <c r="I46" s="12"/>
      <c r="J46" s="615" t="s">
        <v>201</v>
      </c>
      <c r="K46" s="616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187</v>
      </c>
      <c r="B47" s="287">
        <f>K44</f>
        <v>138852.14000000001</v>
      </c>
      <c r="C47" s="12"/>
      <c r="D47" s="286" t="s">
        <v>189</v>
      </c>
      <c r="E47" s="287">
        <f>K44*0.5</f>
        <v>69426.070000000007</v>
      </c>
      <c r="F47" s="24"/>
      <c r="G47" s="286" t="s">
        <v>187</v>
      </c>
      <c r="H47" s="287">
        <f>K44*0.5</f>
        <v>69426.070000000007</v>
      </c>
      <c r="I47" s="12"/>
      <c r="J47" s="282" t="s">
        <v>200</v>
      </c>
      <c r="K47" s="283">
        <v>75576.38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0</v>
      </c>
      <c r="U47" s="256">
        <f>T47/40000</f>
        <v>0</v>
      </c>
    </row>
    <row r="48" spans="1:45" ht="24" thickBot="1" x14ac:dyDescent="0.3">
      <c r="A48" s="286" t="s">
        <v>188</v>
      </c>
      <c r="B48" s="287">
        <f>K47</f>
        <v>75576.38</v>
      </c>
      <c r="C48" s="12"/>
      <c r="D48" s="286" t="s">
        <v>188</v>
      </c>
      <c r="E48" s="287">
        <f>K47*0.5</f>
        <v>37788.19</v>
      </c>
      <c r="F48" s="23"/>
      <c r="G48" s="286" t="s">
        <v>188</v>
      </c>
      <c r="H48" s="287">
        <f>K47*0.5</f>
        <v>37788.19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6.1368942260742144E-4</v>
      </c>
      <c r="U48" s="256">
        <f>T48*9.34*0.107</f>
        <v>6.1330893516540477E-4</v>
      </c>
    </row>
    <row r="49" spans="1:25" ht="48" thickTop="1" thickBot="1" x14ac:dyDescent="0.3">
      <c r="A49" s="291" t="s">
        <v>196</v>
      </c>
      <c r="B49" s="292">
        <f>AF40</f>
        <v>361.81574614875831</v>
      </c>
      <c r="C49" s="12"/>
      <c r="D49" s="291" t="s">
        <v>197</v>
      </c>
      <c r="E49" s="292">
        <f>AH40</f>
        <v>0</v>
      </c>
      <c r="F49" s="23"/>
      <c r="G49" s="291" t="s">
        <v>198</v>
      </c>
      <c r="H49" s="292">
        <f>AG40</f>
        <v>355.87820056704777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874.73423634419783</v>
      </c>
      <c r="U49" s="256">
        <f>(T49*8.34*1.04)/45000</f>
        <v>0.16860210827455632</v>
      </c>
    </row>
    <row r="50" spans="1:25" ht="48" customHeight="1" thickTop="1" thickBot="1" x14ac:dyDescent="0.3">
      <c r="A50" s="291" t="s">
        <v>238</v>
      </c>
      <c r="B50" s="292">
        <f>SUM(E50+H50)</f>
        <v>353.71975274012544</v>
      </c>
      <c r="C50" s="12"/>
      <c r="D50" s="291" t="s">
        <v>239</v>
      </c>
      <c r="E50" s="292">
        <f>AE40</f>
        <v>0</v>
      </c>
      <c r="F50" s="23"/>
      <c r="G50" s="291" t="s">
        <v>240</v>
      </c>
      <c r="H50" s="292">
        <f>AD40</f>
        <v>353.71975274012544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192</v>
      </c>
      <c r="B51" s="293">
        <f>(SUM(B44:B48)/B50)</f>
        <v>825.85878750539757</v>
      </c>
      <c r="C51" s="12"/>
      <c r="D51" s="291" t="s">
        <v>190</v>
      </c>
      <c r="E51" s="402" t="e">
        <f>SUM(E44:E48)/E50</f>
        <v>#DIV/0!</v>
      </c>
      <c r="F51" s="23"/>
      <c r="G51" s="291" t="s">
        <v>191</v>
      </c>
      <c r="H51" s="402">
        <f>SUM(H44:H48)/H50</f>
        <v>497.40816590435236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13529.623319286753</v>
      </c>
      <c r="U51" s="256">
        <f>T51/2000/8</f>
        <v>0.84560145745542203</v>
      </c>
    </row>
    <row r="52" spans="1:25" ht="48" thickTop="1" thickBot="1" x14ac:dyDescent="0.3">
      <c r="A52" s="281" t="s">
        <v>193</v>
      </c>
      <c r="B52" s="294">
        <f>B51/1000</f>
        <v>0.82585878750539754</v>
      </c>
      <c r="C52" s="12"/>
      <c r="D52" s="281" t="s">
        <v>194</v>
      </c>
      <c r="E52" s="294" t="e">
        <f>E51/1000</f>
        <v>#DIV/0!</v>
      </c>
      <c r="F52" s="12"/>
      <c r="G52" s="281" t="s">
        <v>195</v>
      </c>
      <c r="H52" s="294">
        <f>H51/1000</f>
        <v>0.49740816590435238</v>
      </c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15878.684442106884</v>
      </c>
      <c r="U52" s="256">
        <f>(T52*8.34*1.4)/45000</f>
        <v>4.1199893232453322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0</v>
      </c>
      <c r="U53" s="256">
        <f>(T53*8.34*1.135)/45000</f>
        <v>0</v>
      </c>
    </row>
    <row r="54" spans="1:25" ht="33" thickTop="1" thickBot="1" x14ac:dyDescent="0.3">
      <c r="A54" s="605" t="s">
        <v>51</v>
      </c>
      <c r="B54" s="606"/>
      <c r="C54" s="606"/>
      <c r="D54" s="606"/>
      <c r="E54" s="60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5891.6019221742899</v>
      </c>
      <c r="U54" s="256">
        <f>(T54*8.34*1.029*0.03)/3300</f>
        <v>0.45964457156209682</v>
      </c>
    </row>
    <row r="55" spans="1:25" ht="66.75" customHeight="1" thickBot="1" x14ac:dyDescent="0.3">
      <c r="A55" s="610" t="s">
        <v>202</v>
      </c>
      <c r="B55" s="611"/>
      <c r="C55" s="611"/>
      <c r="D55" s="611"/>
      <c r="E55" s="61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18" t="s">
        <v>158</v>
      </c>
      <c r="S55" s="619"/>
      <c r="T55" s="258">
        <f>$D$39+$Y$39+$Z$39</f>
        <v>6570.0375050703688</v>
      </c>
      <c r="U55" s="259">
        <f>(T55*1.54*8.34)/45000</f>
        <v>1.8751763044471506</v>
      </c>
      <c r="V55" s="326"/>
      <c r="W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3"/>
      <c r="T56" s="653"/>
      <c r="U56" s="653"/>
      <c r="V56" s="324"/>
      <c r="W56" s="325"/>
      <c r="X56" s="323"/>
      <c r="Y56" s="323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3"/>
      <c r="T57" s="653"/>
      <c r="U57" s="653"/>
      <c r="V57" s="324"/>
      <c r="W57" s="325"/>
      <c r="X57" s="323"/>
      <c r="Y57" s="323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3"/>
      <c r="T58" s="653"/>
      <c r="U58" s="653"/>
      <c r="V58" s="324"/>
      <c r="W58" s="325"/>
      <c r="X58" s="323"/>
      <c r="Y58" s="323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3"/>
      <c r="T59" s="653"/>
      <c r="U59" s="653"/>
      <c r="V59" s="324"/>
      <c r="W59" s="325"/>
      <c r="X59" s="323"/>
      <c r="Y59" s="323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3"/>
      <c r="T60" s="653"/>
      <c r="U60" s="653"/>
      <c r="V60" s="324"/>
      <c r="W60" s="325"/>
      <c r="X60" s="323"/>
      <c r="Y60" s="323"/>
    </row>
    <row r="61" spans="1:25" x14ac:dyDescent="0.25">
      <c r="S61" s="323"/>
      <c r="T61" s="653"/>
      <c r="U61" s="653"/>
      <c r="V61" s="324"/>
      <c r="W61" s="325"/>
      <c r="X61" s="323"/>
      <c r="Y61" s="329"/>
    </row>
    <row r="62" spans="1:25" x14ac:dyDescent="0.25">
      <c r="S62" s="323"/>
      <c r="T62" s="653"/>
      <c r="U62" s="653"/>
      <c r="V62" s="324"/>
      <c r="W62" s="325"/>
      <c r="X62" s="323"/>
      <c r="Y62" s="329"/>
    </row>
    <row r="63" spans="1:25" x14ac:dyDescent="0.25">
      <c r="S63" s="323"/>
      <c r="T63" s="653"/>
      <c r="U63" s="653"/>
      <c r="V63" s="324"/>
      <c r="W63" s="325"/>
      <c r="X63" s="323"/>
      <c r="Y63" s="329"/>
    </row>
    <row r="64" spans="1:25" x14ac:dyDescent="0.25">
      <c r="S64" s="323"/>
      <c r="T64" s="323"/>
      <c r="U64" s="323"/>
      <c r="V64" s="323"/>
      <c r="W64" s="323"/>
      <c r="X64" s="323"/>
      <c r="Y64" s="329"/>
    </row>
    <row r="65" spans="19:25" x14ac:dyDescent="0.25">
      <c r="S65" s="323"/>
      <c r="T65" s="323"/>
      <c r="U65" s="323"/>
      <c r="V65" s="323"/>
      <c r="W65" s="323"/>
      <c r="X65" s="323"/>
      <c r="Y65" s="329"/>
    </row>
    <row r="66" spans="19:25" x14ac:dyDescent="0.25">
      <c r="S66" s="12"/>
      <c r="T66" s="12"/>
      <c r="U66" s="12"/>
      <c r="V66" s="12"/>
      <c r="W66" s="12"/>
      <c r="X66" s="12"/>
    </row>
    <row r="67" spans="19:25" x14ac:dyDescent="0.25">
      <c r="S67" s="12"/>
      <c r="T67" s="12"/>
      <c r="U67" s="12"/>
      <c r="V67" s="12"/>
      <c r="W67" s="12"/>
      <c r="X67" s="12"/>
    </row>
    <row r="68" spans="19:25" x14ac:dyDescent="0.25">
      <c r="S68" s="12"/>
      <c r="T68" s="12"/>
      <c r="U68" s="12"/>
      <c r="V68" s="12"/>
      <c r="W68" s="12"/>
      <c r="X68" s="12"/>
    </row>
    <row r="69" spans="19:25" x14ac:dyDescent="0.25">
      <c r="S69" s="12"/>
      <c r="T69" s="12"/>
      <c r="U69" s="12"/>
      <c r="V69" s="12"/>
      <c r="W69" s="12"/>
      <c r="X69" s="12"/>
    </row>
    <row r="70" spans="19:25" x14ac:dyDescent="0.25">
      <c r="S70" s="12"/>
      <c r="T70" s="12"/>
      <c r="U70" s="12"/>
      <c r="V70" s="12"/>
      <c r="W70" s="12"/>
      <c r="X70" s="12"/>
    </row>
  </sheetData>
  <sheetProtection algorithmName="SHA-512" hashValue="h9I87aRwAcbv1Azhstlat+9cvjN3Ki8Ktw0jspTF6gVlNzgBkpoTx+5FGGIqtZKiUshrKtdHXJEwzfs0w4zPnw==" saltValue="T7cfiZI97EFXEfHIWEXRig==" spinCount="100000" sheet="1" objects="1" scenarios="1" selectLockedCells="1" selectUnlockedCells="1"/>
  <mergeCells count="40">
    <mergeCell ref="T63:U63"/>
    <mergeCell ref="J46:K46"/>
    <mergeCell ref="A54:E54"/>
    <mergeCell ref="A55:E55"/>
    <mergeCell ref="R55:S55"/>
    <mergeCell ref="T56:U56"/>
    <mergeCell ref="T57:U57"/>
    <mergeCell ref="T58:U58"/>
    <mergeCell ref="T59:U59"/>
    <mergeCell ref="T60:U60"/>
    <mergeCell ref="T61:U61"/>
    <mergeCell ref="T62:U62"/>
    <mergeCell ref="AP4:AP5"/>
    <mergeCell ref="AQ4:AQ5"/>
    <mergeCell ref="AR4:AR5"/>
    <mergeCell ref="AS4:AS5"/>
    <mergeCell ref="A42:K42"/>
    <mergeCell ref="AJ4:AJ5"/>
    <mergeCell ref="AK4:AK5"/>
    <mergeCell ref="AL4:AL5"/>
    <mergeCell ref="AM4:AM5"/>
    <mergeCell ref="AN4:AN5"/>
    <mergeCell ref="AO4:AO5"/>
    <mergeCell ref="AD4:AD5"/>
    <mergeCell ref="AE4:AE5"/>
    <mergeCell ref="AF4:AF5"/>
    <mergeCell ref="AG4:AG5"/>
    <mergeCell ref="AH4:AH5"/>
    <mergeCell ref="A43:B43"/>
    <mergeCell ref="D43:E43"/>
    <mergeCell ref="G43:H43"/>
    <mergeCell ref="J43:K43"/>
    <mergeCell ref="R43:U43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56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66"/>
  <sheetViews>
    <sheetView topLeftCell="A2" zoomScale="80" zoomScaleNormal="80" workbookViewId="0">
      <selection activeCell="I50" sqref="I50"/>
    </sheetView>
  </sheetViews>
  <sheetFormatPr defaultRowHeight="15" x14ac:dyDescent="0.25"/>
  <cols>
    <col min="1" max="1" width="38.85546875" style="429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570312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417"/>
      <c r="BB3" t="s">
        <v>171</v>
      </c>
      <c r="BC3" s="260" t="s">
        <v>208</v>
      </c>
    </row>
    <row r="4" spans="1:55" ht="30" customHeight="1" thickTop="1" x14ac:dyDescent="0.25">
      <c r="A4" s="418"/>
      <c r="B4" s="623" t="s">
        <v>3</v>
      </c>
      <c r="C4" s="624"/>
      <c r="D4" s="624"/>
      <c r="E4" s="624"/>
      <c r="F4" s="624"/>
      <c r="G4" s="624"/>
      <c r="H4" s="625"/>
      <c r="I4" s="623" t="s">
        <v>4</v>
      </c>
      <c r="J4" s="624"/>
      <c r="K4" s="624"/>
      <c r="L4" s="624"/>
      <c r="M4" s="624"/>
      <c r="N4" s="625"/>
      <c r="O4" s="629" t="s">
        <v>5</v>
      </c>
      <c r="P4" s="630"/>
      <c r="Q4" s="631"/>
      <c r="R4" s="631"/>
      <c r="S4" s="631"/>
      <c r="T4" s="632"/>
      <c r="U4" s="623" t="s">
        <v>6</v>
      </c>
      <c r="V4" s="636"/>
      <c r="W4" s="636"/>
      <c r="X4" s="636"/>
      <c r="Y4" s="636"/>
      <c r="Z4" s="636"/>
      <c r="AA4" s="637"/>
      <c r="AB4" s="641" t="s">
        <v>7</v>
      </c>
      <c r="AC4" s="643" t="s">
        <v>8</v>
      </c>
      <c r="AD4" s="608" t="s">
        <v>237</v>
      </c>
      <c r="AE4" s="608" t="s">
        <v>236</v>
      </c>
      <c r="AF4" s="608" t="s">
        <v>27</v>
      </c>
      <c r="AG4" s="608" t="s">
        <v>31</v>
      </c>
      <c r="AH4" s="608" t="s">
        <v>32</v>
      </c>
      <c r="AI4" s="608" t="s">
        <v>33</v>
      </c>
      <c r="AJ4" s="641" t="s">
        <v>175</v>
      </c>
      <c r="AK4" s="641" t="s">
        <v>176</v>
      </c>
      <c r="AL4" s="641" t="s">
        <v>177</v>
      </c>
      <c r="AM4" s="641" t="s">
        <v>178</v>
      </c>
      <c r="AN4" s="641" t="s">
        <v>179</v>
      </c>
      <c r="AO4" s="641" t="s">
        <v>180</v>
      </c>
      <c r="AP4" s="641" t="s">
        <v>181</v>
      </c>
      <c r="AQ4" s="641" t="s">
        <v>184</v>
      </c>
      <c r="AR4" s="641" t="s">
        <v>182</v>
      </c>
      <c r="AS4" s="641" t="s">
        <v>183</v>
      </c>
    </row>
    <row r="5" spans="1:55" ht="30" customHeight="1" thickBot="1" x14ac:dyDescent="0.3">
      <c r="A5" s="418"/>
      <c r="B5" s="626"/>
      <c r="C5" s="627"/>
      <c r="D5" s="627"/>
      <c r="E5" s="627"/>
      <c r="F5" s="627"/>
      <c r="G5" s="627"/>
      <c r="H5" s="628"/>
      <c r="I5" s="626"/>
      <c r="J5" s="627"/>
      <c r="K5" s="627"/>
      <c r="L5" s="627"/>
      <c r="M5" s="627"/>
      <c r="N5" s="628"/>
      <c r="O5" s="633"/>
      <c r="P5" s="634"/>
      <c r="Q5" s="634"/>
      <c r="R5" s="634"/>
      <c r="S5" s="634"/>
      <c r="T5" s="635"/>
      <c r="U5" s="638"/>
      <c r="V5" s="639"/>
      <c r="W5" s="639"/>
      <c r="X5" s="639"/>
      <c r="Y5" s="639"/>
      <c r="Z5" s="639"/>
      <c r="AA5" s="640"/>
      <c r="AB5" s="642"/>
      <c r="AC5" s="644"/>
      <c r="AD5" s="609"/>
      <c r="AE5" s="609"/>
      <c r="AF5" s="622"/>
      <c r="AG5" s="622"/>
      <c r="AH5" s="622"/>
      <c r="AI5" s="622"/>
      <c r="AJ5" s="609"/>
      <c r="AK5" s="609"/>
      <c r="AL5" s="609"/>
      <c r="AM5" s="609"/>
      <c r="AN5" s="609"/>
      <c r="AO5" s="609"/>
      <c r="AP5" s="609"/>
      <c r="AQ5" s="609"/>
      <c r="AR5" s="609"/>
      <c r="AS5" s="609"/>
    </row>
    <row r="6" spans="1:55" ht="18" x14ac:dyDescent="0.25">
      <c r="A6" s="419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419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2" t="s">
        <v>23</v>
      </c>
      <c r="AD7" s="399" t="s">
        <v>28</v>
      </c>
      <c r="AE7" s="399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  <c r="AR7" s="22" t="s">
        <v>172</v>
      </c>
      <c r="AS7" s="22" t="s">
        <v>172</v>
      </c>
    </row>
    <row r="8" spans="1:55" s="372" customFormat="1" ht="15" customHeight="1" x14ac:dyDescent="0.25">
      <c r="A8" s="11">
        <v>43070</v>
      </c>
      <c r="B8" s="366"/>
      <c r="C8" s="367">
        <v>0</v>
      </c>
      <c r="D8" s="367">
        <v>0</v>
      </c>
      <c r="E8" s="367">
        <v>0</v>
      </c>
      <c r="F8" s="367">
        <v>0</v>
      </c>
      <c r="G8" s="367">
        <v>0</v>
      </c>
      <c r="H8" s="368">
        <v>0</v>
      </c>
      <c r="I8" s="366">
        <v>156.1115843693415</v>
      </c>
      <c r="J8" s="367">
        <v>457.67518246968501</v>
      </c>
      <c r="K8" s="367">
        <v>25.175752862294519</v>
      </c>
      <c r="L8" s="369">
        <v>0</v>
      </c>
      <c r="M8" s="367">
        <v>0</v>
      </c>
      <c r="N8" s="368">
        <v>0</v>
      </c>
      <c r="O8" s="366">
        <v>0</v>
      </c>
      <c r="P8" s="367">
        <v>0</v>
      </c>
      <c r="Q8" s="367">
        <v>0</v>
      </c>
      <c r="R8" s="367">
        <v>0</v>
      </c>
      <c r="S8" s="367">
        <v>0</v>
      </c>
      <c r="T8" s="368">
        <v>0</v>
      </c>
      <c r="U8" s="366">
        <v>396.58628395928383</v>
      </c>
      <c r="V8" s="367">
        <v>0</v>
      </c>
      <c r="W8" s="367">
        <v>45.48591881990432</v>
      </c>
      <c r="X8" s="367">
        <v>0</v>
      </c>
      <c r="Y8" s="367">
        <v>174.30833058357257</v>
      </c>
      <c r="Z8" s="367">
        <v>0</v>
      </c>
      <c r="AA8" s="368">
        <v>0</v>
      </c>
      <c r="AB8" s="370">
        <v>61.304586950938848</v>
      </c>
      <c r="AC8" s="371">
        <v>0</v>
      </c>
      <c r="AD8" s="430">
        <v>11.820831539947411</v>
      </c>
      <c r="AE8" s="430">
        <v>0</v>
      </c>
      <c r="AF8" s="371">
        <v>11.716121274232881</v>
      </c>
      <c r="AG8" s="371">
        <v>11.58326602418949</v>
      </c>
      <c r="AH8" s="371">
        <v>0</v>
      </c>
      <c r="AI8" s="371">
        <v>1</v>
      </c>
      <c r="AJ8" s="371">
        <v>274.38458016713463</v>
      </c>
      <c r="AK8" s="371">
        <v>484.68040982882195</v>
      </c>
      <c r="AL8" s="371">
        <v>1169.4001773198447</v>
      </c>
      <c r="AM8" s="371">
        <v>518.54461669921875</v>
      </c>
      <c r="AN8" s="371">
        <v>1602.466552734375</v>
      </c>
      <c r="AO8" s="371">
        <v>1889.732898585002</v>
      </c>
      <c r="AP8" s="371">
        <v>506.58925512631737</v>
      </c>
      <c r="AQ8" s="371">
        <v>1800.9847856521606</v>
      </c>
      <c r="AR8" s="371">
        <v>315.70898024241131</v>
      </c>
      <c r="AS8" s="371">
        <v>551.09820426305134</v>
      </c>
    </row>
    <row r="9" spans="1:55" s="372" customFormat="1" ht="15" customHeight="1" x14ac:dyDescent="0.25">
      <c r="A9" s="11">
        <v>43071</v>
      </c>
      <c r="B9" s="366"/>
      <c r="C9" s="367">
        <v>0</v>
      </c>
      <c r="D9" s="367">
        <v>0</v>
      </c>
      <c r="E9" s="367">
        <v>0</v>
      </c>
      <c r="F9" s="367">
        <v>0</v>
      </c>
      <c r="G9" s="367">
        <v>0</v>
      </c>
      <c r="H9" s="368">
        <v>0</v>
      </c>
      <c r="I9" s="366">
        <v>148.45825471083319</v>
      </c>
      <c r="J9" s="367">
        <v>457.53195654551115</v>
      </c>
      <c r="K9" s="367">
        <v>24.939241344730057</v>
      </c>
      <c r="L9" s="369">
        <v>0</v>
      </c>
      <c r="M9" s="367">
        <v>0</v>
      </c>
      <c r="N9" s="368">
        <v>0</v>
      </c>
      <c r="O9" s="366">
        <v>0</v>
      </c>
      <c r="P9" s="367">
        <v>0</v>
      </c>
      <c r="Q9" s="367">
        <v>0</v>
      </c>
      <c r="R9" s="367">
        <v>0</v>
      </c>
      <c r="S9" s="367">
        <v>0</v>
      </c>
      <c r="T9" s="368">
        <v>0</v>
      </c>
      <c r="U9" s="366">
        <v>398.24195304447113</v>
      </c>
      <c r="V9" s="367">
        <v>0</v>
      </c>
      <c r="W9" s="367">
        <v>46.055172046025568</v>
      </c>
      <c r="X9" s="367">
        <v>0</v>
      </c>
      <c r="Y9" s="367">
        <v>168.99190183480596</v>
      </c>
      <c r="Z9" s="367">
        <v>0</v>
      </c>
      <c r="AA9" s="368">
        <v>0</v>
      </c>
      <c r="AB9" s="370">
        <v>59.147728893492335</v>
      </c>
      <c r="AC9" s="371">
        <v>0</v>
      </c>
      <c r="AD9" s="431">
        <v>11.816398871550355</v>
      </c>
      <c r="AE9" s="431">
        <v>0</v>
      </c>
      <c r="AF9" s="371">
        <v>12.010490185684626</v>
      </c>
      <c r="AG9" s="371">
        <v>11.879900648798133</v>
      </c>
      <c r="AH9" s="371">
        <v>0</v>
      </c>
      <c r="AI9" s="371">
        <v>1</v>
      </c>
      <c r="AJ9" s="371">
        <v>273.64863918622336</v>
      </c>
      <c r="AK9" s="371">
        <v>482.17465507189428</v>
      </c>
      <c r="AL9" s="371">
        <v>1122.2021013259887</v>
      </c>
      <c r="AM9" s="371">
        <v>518.54461669921875</v>
      </c>
      <c r="AN9" s="371">
        <v>1602.466552734375</v>
      </c>
      <c r="AO9" s="371">
        <v>1822.4761329650883</v>
      </c>
      <c r="AP9" s="371">
        <v>517.23061184883113</v>
      </c>
      <c r="AQ9" s="371">
        <v>1791.0583412170408</v>
      </c>
      <c r="AR9" s="371">
        <v>320.70903385480244</v>
      </c>
      <c r="AS9" s="371">
        <v>521.35283161799111</v>
      </c>
    </row>
    <row r="10" spans="1:55" x14ac:dyDescent="0.25">
      <c r="A10" s="11">
        <v>43072</v>
      </c>
      <c r="B10" s="59"/>
      <c r="C10" s="60">
        <v>0</v>
      </c>
      <c r="D10" s="60">
        <v>0</v>
      </c>
      <c r="E10" s="367">
        <v>0</v>
      </c>
      <c r="F10" s="60">
        <v>0</v>
      </c>
      <c r="G10" s="60">
        <v>0</v>
      </c>
      <c r="H10" s="61">
        <v>0</v>
      </c>
      <c r="I10" s="59">
        <v>147.94240930080414</v>
      </c>
      <c r="J10" s="60">
        <v>457.38932784398332</v>
      </c>
      <c r="K10" s="60">
        <v>25.049509397149045</v>
      </c>
      <c r="L10" s="50">
        <v>0</v>
      </c>
      <c r="M10" s="60">
        <v>0</v>
      </c>
      <c r="N10" s="61">
        <v>0</v>
      </c>
      <c r="O10" s="366">
        <v>0</v>
      </c>
      <c r="P10" s="60">
        <v>0</v>
      </c>
      <c r="Q10" s="367">
        <v>0</v>
      </c>
      <c r="R10" s="367">
        <v>0</v>
      </c>
      <c r="S10" s="60">
        <v>0</v>
      </c>
      <c r="T10" s="64">
        <v>0</v>
      </c>
      <c r="U10" s="65">
        <v>393.88797200521168</v>
      </c>
      <c r="V10" s="62">
        <v>0</v>
      </c>
      <c r="W10" s="62">
        <v>44.065639348824817</v>
      </c>
      <c r="X10" s="62">
        <v>0</v>
      </c>
      <c r="Y10" s="66">
        <v>167.02194549242665</v>
      </c>
      <c r="Z10" s="66">
        <v>0</v>
      </c>
      <c r="AA10" s="67">
        <v>0</v>
      </c>
      <c r="AB10" s="68">
        <v>55.746741739909147</v>
      </c>
      <c r="AC10" s="69">
        <v>0</v>
      </c>
      <c r="AD10" s="431">
        <v>11.814000300628123</v>
      </c>
      <c r="AE10" s="431">
        <v>0</v>
      </c>
      <c r="AF10" s="69">
        <v>11.865081644389385</v>
      </c>
      <c r="AG10" s="68">
        <v>11.719202137709669</v>
      </c>
      <c r="AH10" s="68">
        <v>0</v>
      </c>
      <c r="AI10" s="68">
        <v>1</v>
      </c>
      <c r="AJ10" s="69">
        <v>267.74825290044151</v>
      </c>
      <c r="AK10" s="69">
        <v>469.54416969617216</v>
      </c>
      <c r="AL10" s="69">
        <v>1138.6842527389526</v>
      </c>
      <c r="AM10" s="69">
        <v>518.54461669921875</v>
      </c>
      <c r="AN10" s="69">
        <v>1602.466552734375</v>
      </c>
      <c r="AO10" s="69">
        <v>1828.2376806894936</v>
      </c>
      <c r="AP10" s="69">
        <v>503.33240591684978</v>
      </c>
      <c r="AQ10" s="69">
        <v>1799.9438673655191</v>
      </c>
      <c r="AR10" s="69">
        <v>316.98770728111265</v>
      </c>
      <c r="AS10" s="69">
        <v>537.94953902562463</v>
      </c>
    </row>
    <row r="11" spans="1:55" s="416" customFormat="1" x14ac:dyDescent="0.25">
      <c r="A11" s="11">
        <v>43073</v>
      </c>
      <c r="B11" s="410"/>
      <c r="C11" s="411">
        <v>0</v>
      </c>
      <c r="D11" s="411">
        <v>0</v>
      </c>
      <c r="E11" s="367">
        <v>0</v>
      </c>
      <c r="F11" s="411">
        <v>0</v>
      </c>
      <c r="G11" s="411">
        <v>0</v>
      </c>
      <c r="H11" s="412">
        <v>0</v>
      </c>
      <c r="I11" s="410">
        <v>148.19282062053679</v>
      </c>
      <c r="J11" s="411">
        <v>457.74521045684747</v>
      </c>
      <c r="K11" s="411">
        <v>25.022322688003392</v>
      </c>
      <c r="L11" s="413">
        <v>0</v>
      </c>
      <c r="M11" s="411">
        <v>0</v>
      </c>
      <c r="N11" s="412">
        <v>0</v>
      </c>
      <c r="O11" s="366">
        <v>0</v>
      </c>
      <c r="P11" s="411">
        <v>0</v>
      </c>
      <c r="Q11" s="367">
        <v>0</v>
      </c>
      <c r="R11" s="367">
        <v>0</v>
      </c>
      <c r="S11" s="411">
        <v>0</v>
      </c>
      <c r="T11" s="412">
        <v>0</v>
      </c>
      <c r="U11" s="410">
        <v>392.7114428414223</v>
      </c>
      <c r="V11" s="411">
        <v>0</v>
      </c>
      <c r="W11" s="411">
        <v>44.327125465869912</v>
      </c>
      <c r="X11" s="411">
        <v>0</v>
      </c>
      <c r="Y11" s="411">
        <v>165.97021396160116</v>
      </c>
      <c r="Z11" s="411">
        <v>0</v>
      </c>
      <c r="AA11" s="412">
        <v>0</v>
      </c>
      <c r="AB11" s="414">
        <v>55.765498948098049</v>
      </c>
      <c r="AC11" s="415">
        <v>0</v>
      </c>
      <c r="AD11" s="431">
        <v>11.836518120425904</v>
      </c>
      <c r="AE11" s="414">
        <v>0</v>
      </c>
      <c r="AF11" s="415">
        <v>11.790315755208335</v>
      </c>
      <c r="AG11" s="415">
        <v>11.649790888515138</v>
      </c>
      <c r="AH11" s="415">
        <v>0</v>
      </c>
      <c r="AI11" s="415">
        <v>1</v>
      </c>
      <c r="AJ11" s="415">
        <v>296.17522215843201</v>
      </c>
      <c r="AK11" s="415">
        <v>540.14977841377254</v>
      </c>
      <c r="AL11" s="415">
        <v>1111.3175864537557</v>
      </c>
      <c r="AM11" s="415">
        <v>497.43418159484861</v>
      </c>
      <c r="AN11" s="415">
        <v>1602.466552734375</v>
      </c>
      <c r="AO11" s="415">
        <v>1926.9048845926923</v>
      </c>
      <c r="AP11" s="415">
        <v>539.76775827407823</v>
      </c>
      <c r="AQ11" s="415">
        <v>1790.3860913594563</v>
      </c>
      <c r="AR11" s="415">
        <v>322.47965483665473</v>
      </c>
      <c r="AS11" s="415">
        <v>549.32955493927011</v>
      </c>
    </row>
    <row r="12" spans="1:55" x14ac:dyDescent="0.25">
      <c r="A12" s="11">
        <v>43074</v>
      </c>
      <c r="B12" s="59"/>
      <c r="C12" s="60">
        <v>0</v>
      </c>
      <c r="D12" s="60">
        <v>0</v>
      </c>
      <c r="E12" s="367">
        <v>0</v>
      </c>
      <c r="F12" s="60">
        <v>0</v>
      </c>
      <c r="G12" s="60">
        <v>0</v>
      </c>
      <c r="H12" s="61">
        <v>0</v>
      </c>
      <c r="I12" s="59">
        <v>148.62622224489854</v>
      </c>
      <c r="J12" s="60">
        <v>457.54372523625636</v>
      </c>
      <c r="K12" s="60">
        <v>25.033591152230922</v>
      </c>
      <c r="L12" s="50">
        <v>0</v>
      </c>
      <c r="M12" s="60">
        <v>0</v>
      </c>
      <c r="N12" s="61">
        <v>0</v>
      </c>
      <c r="O12" s="366">
        <v>0</v>
      </c>
      <c r="P12" s="60">
        <v>0</v>
      </c>
      <c r="Q12" s="367">
        <v>0</v>
      </c>
      <c r="R12" s="367">
        <v>0</v>
      </c>
      <c r="S12" s="60">
        <v>0</v>
      </c>
      <c r="T12" s="64">
        <v>0</v>
      </c>
      <c r="U12" s="65">
        <v>391.13768471611968</v>
      </c>
      <c r="V12" s="62">
        <v>0</v>
      </c>
      <c r="W12" s="62">
        <v>45.091939067840549</v>
      </c>
      <c r="X12" s="62">
        <v>0</v>
      </c>
      <c r="Y12" s="66">
        <v>172.1369892358781</v>
      </c>
      <c r="Z12" s="66">
        <v>0</v>
      </c>
      <c r="AA12" s="67">
        <v>0</v>
      </c>
      <c r="AB12" s="68">
        <v>56.071655228401745</v>
      </c>
      <c r="AC12" s="69">
        <v>0</v>
      </c>
      <c r="AD12" s="431">
        <v>11.833392742401863</v>
      </c>
      <c r="AE12" s="431">
        <v>0</v>
      </c>
      <c r="AF12" s="69">
        <v>11.883781953321552</v>
      </c>
      <c r="AG12" s="68">
        <v>11.739893258581773</v>
      </c>
      <c r="AH12" s="68">
        <v>0</v>
      </c>
      <c r="AI12" s="68">
        <v>1</v>
      </c>
      <c r="AJ12" s="69">
        <v>305.70181013743087</v>
      </c>
      <c r="AK12" s="69">
        <v>590.31424829165144</v>
      </c>
      <c r="AL12" s="69">
        <v>1133.0333042780558</v>
      </c>
      <c r="AM12" s="69">
        <v>462.86874389648437</v>
      </c>
      <c r="AN12" s="69">
        <v>1602.466552734375</v>
      </c>
      <c r="AO12" s="69">
        <v>2051.8031355539956</v>
      </c>
      <c r="AP12" s="69">
        <v>588.79900158246369</v>
      </c>
      <c r="AQ12" s="69">
        <v>1780.8145691553752</v>
      </c>
      <c r="AR12" s="69">
        <v>316.57354307174683</v>
      </c>
      <c r="AS12" s="69">
        <v>561.34072039922069</v>
      </c>
    </row>
    <row r="13" spans="1:55" x14ac:dyDescent="0.25">
      <c r="A13" s="11">
        <v>43075</v>
      </c>
      <c r="B13" s="59"/>
      <c r="C13" s="60">
        <v>0</v>
      </c>
      <c r="D13" s="60">
        <v>0</v>
      </c>
      <c r="E13" s="367">
        <v>0</v>
      </c>
      <c r="F13" s="60">
        <v>0</v>
      </c>
      <c r="G13" s="60">
        <v>0</v>
      </c>
      <c r="H13" s="61">
        <v>0</v>
      </c>
      <c r="I13" s="59">
        <v>148.72989606857314</v>
      </c>
      <c r="J13" s="60">
        <v>458.18075612386002</v>
      </c>
      <c r="K13" s="60">
        <v>25.122454927861703</v>
      </c>
      <c r="L13" s="50">
        <v>0</v>
      </c>
      <c r="M13" s="60">
        <v>0</v>
      </c>
      <c r="N13" s="61">
        <v>0</v>
      </c>
      <c r="O13" s="366">
        <v>0</v>
      </c>
      <c r="P13" s="60">
        <v>0</v>
      </c>
      <c r="Q13" s="367">
        <v>0</v>
      </c>
      <c r="R13" s="367">
        <v>0</v>
      </c>
      <c r="S13" s="60">
        <v>0</v>
      </c>
      <c r="T13" s="64">
        <v>0</v>
      </c>
      <c r="U13" s="65">
        <v>393.57267549302497</v>
      </c>
      <c r="V13" s="62">
        <v>0</v>
      </c>
      <c r="W13" s="62">
        <v>46.030396433671363</v>
      </c>
      <c r="X13" s="62">
        <v>0</v>
      </c>
      <c r="Y13" s="66">
        <v>172.58377968470262</v>
      </c>
      <c r="Z13" s="66">
        <v>0</v>
      </c>
      <c r="AA13" s="67">
        <v>0</v>
      </c>
      <c r="AB13" s="68">
        <v>56.153097783194234</v>
      </c>
      <c r="AC13" s="69">
        <v>0</v>
      </c>
      <c r="AD13" s="431">
        <v>11.771473761438388</v>
      </c>
      <c r="AE13" s="431">
        <v>0</v>
      </c>
      <c r="AF13" s="69">
        <v>11.945349108510554</v>
      </c>
      <c r="AG13" s="68">
        <v>11.813327429493418</v>
      </c>
      <c r="AH13" s="68">
        <v>0</v>
      </c>
      <c r="AI13" s="68">
        <v>1</v>
      </c>
      <c r="AJ13" s="69">
        <v>319.52630562782281</v>
      </c>
      <c r="AK13" s="69">
        <v>627.04387613932295</v>
      </c>
      <c r="AL13" s="69">
        <v>1099.8721687316895</v>
      </c>
      <c r="AM13" s="69">
        <v>462.86874389648437</v>
      </c>
      <c r="AN13" s="69">
        <v>1602.466552734375</v>
      </c>
      <c r="AO13" s="69">
        <v>2133.4957904815674</v>
      </c>
      <c r="AP13" s="69">
        <v>623.65554453531888</v>
      </c>
      <c r="AQ13" s="69">
        <v>1779.9875904083256</v>
      </c>
      <c r="AR13" s="69">
        <v>341.69359594980875</v>
      </c>
      <c r="AS13" s="69">
        <v>583.52211014429713</v>
      </c>
    </row>
    <row r="14" spans="1:55" x14ac:dyDescent="0.25">
      <c r="A14" s="11">
        <v>43076</v>
      </c>
      <c r="B14" s="59"/>
      <c r="C14" s="60">
        <v>0</v>
      </c>
      <c r="D14" s="60">
        <v>0</v>
      </c>
      <c r="E14" s="367">
        <v>0</v>
      </c>
      <c r="F14" s="60">
        <v>0</v>
      </c>
      <c r="G14" s="60">
        <v>0</v>
      </c>
      <c r="H14" s="61">
        <v>0</v>
      </c>
      <c r="I14" s="59">
        <v>149.96500094731647</v>
      </c>
      <c r="J14" s="60">
        <v>460.51458574930751</v>
      </c>
      <c r="K14" s="60">
        <v>25.286140507459663</v>
      </c>
      <c r="L14" s="50">
        <v>0</v>
      </c>
      <c r="M14" s="60">
        <v>0</v>
      </c>
      <c r="N14" s="61">
        <v>0</v>
      </c>
      <c r="O14" s="366">
        <v>0</v>
      </c>
      <c r="P14" s="60">
        <v>0</v>
      </c>
      <c r="Q14" s="367">
        <v>0</v>
      </c>
      <c r="R14" s="367">
        <v>0</v>
      </c>
      <c r="S14" s="60">
        <v>0</v>
      </c>
      <c r="T14" s="64">
        <v>0</v>
      </c>
      <c r="U14" s="65">
        <v>386.11182420518873</v>
      </c>
      <c r="V14" s="62">
        <v>0</v>
      </c>
      <c r="W14" s="62">
        <v>44.450518782933543</v>
      </c>
      <c r="X14" s="62">
        <v>0</v>
      </c>
      <c r="Y14" s="66">
        <v>181.01472665468839</v>
      </c>
      <c r="Z14" s="66">
        <v>0</v>
      </c>
      <c r="AA14" s="67">
        <v>0</v>
      </c>
      <c r="AB14" s="68">
        <v>56.609495618609166</v>
      </c>
      <c r="AC14" s="69">
        <v>0</v>
      </c>
      <c r="AD14" s="431">
        <v>11.800383233815438</v>
      </c>
      <c r="AE14" s="431">
        <v>0</v>
      </c>
      <c r="AF14" s="69">
        <v>11.99238262739447</v>
      </c>
      <c r="AG14" s="68">
        <v>11.775194514037448</v>
      </c>
      <c r="AH14" s="68">
        <v>0</v>
      </c>
      <c r="AI14" s="68">
        <v>1</v>
      </c>
      <c r="AJ14" s="69">
        <v>323.93625755310052</v>
      </c>
      <c r="AK14" s="69">
        <v>660.12048778533915</v>
      </c>
      <c r="AL14" s="69">
        <v>1099.6632858912149</v>
      </c>
      <c r="AM14" s="69">
        <v>462.86874389648437</v>
      </c>
      <c r="AN14" s="69">
        <v>1602.466552734375</v>
      </c>
      <c r="AO14" s="69">
        <v>2150.7521684010826</v>
      </c>
      <c r="AP14" s="69">
        <v>655.37869729995714</v>
      </c>
      <c r="AQ14" s="69">
        <v>1771.472828801473</v>
      </c>
      <c r="AR14" s="69">
        <v>358.3715969085693</v>
      </c>
      <c r="AS14" s="69">
        <v>553.06967182159417</v>
      </c>
    </row>
    <row r="15" spans="1:55" x14ac:dyDescent="0.25">
      <c r="A15" s="11">
        <v>43077</v>
      </c>
      <c r="B15" s="59"/>
      <c r="C15" s="60">
        <v>0</v>
      </c>
      <c r="D15" s="60">
        <v>0</v>
      </c>
      <c r="E15" s="367">
        <v>0</v>
      </c>
      <c r="F15" s="60">
        <v>0</v>
      </c>
      <c r="G15" s="60">
        <v>0</v>
      </c>
      <c r="H15" s="61">
        <v>0</v>
      </c>
      <c r="I15" s="59">
        <v>151.06881988048556</v>
      </c>
      <c r="J15" s="60">
        <v>460.82440884908021</v>
      </c>
      <c r="K15" s="60">
        <v>25.245281093815994</v>
      </c>
      <c r="L15" s="50">
        <v>0</v>
      </c>
      <c r="M15" s="60">
        <v>0</v>
      </c>
      <c r="N15" s="61">
        <v>0</v>
      </c>
      <c r="O15" s="366">
        <v>0</v>
      </c>
      <c r="P15" s="60">
        <v>0</v>
      </c>
      <c r="Q15" s="367">
        <v>0</v>
      </c>
      <c r="R15" s="367">
        <v>0</v>
      </c>
      <c r="S15" s="60">
        <v>0</v>
      </c>
      <c r="T15" s="64">
        <v>0</v>
      </c>
      <c r="U15" s="65">
        <v>410.84389296637528</v>
      </c>
      <c r="V15" s="62">
        <v>0</v>
      </c>
      <c r="W15" s="62">
        <v>44.707282177607233</v>
      </c>
      <c r="X15" s="62">
        <v>0</v>
      </c>
      <c r="Y15" s="66">
        <v>172.83421288331391</v>
      </c>
      <c r="Z15" s="66">
        <v>0</v>
      </c>
      <c r="AA15" s="67">
        <v>0</v>
      </c>
      <c r="AB15" s="68">
        <v>56.502873407469046</v>
      </c>
      <c r="AC15" s="69">
        <v>0</v>
      </c>
      <c r="AD15" s="431">
        <v>11.761073930435593</v>
      </c>
      <c r="AE15" s="431">
        <v>0</v>
      </c>
      <c r="AF15" s="69">
        <v>11.933006228341</v>
      </c>
      <c r="AG15" s="68">
        <v>11.721076356610206</v>
      </c>
      <c r="AH15" s="68">
        <v>0</v>
      </c>
      <c r="AI15" s="68">
        <v>1</v>
      </c>
      <c r="AJ15" s="69">
        <v>305.85754771232604</v>
      </c>
      <c r="AK15" s="69">
        <v>605.0076008478801</v>
      </c>
      <c r="AL15" s="69">
        <v>1170.5595369338987</v>
      </c>
      <c r="AM15" s="69">
        <v>462.86874389648437</v>
      </c>
      <c r="AN15" s="69">
        <v>1602.466552734375</v>
      </c>
      <c r="AO15" s="69">
        <v>2119.5991200764975</v>
      </c>
      <c r="AP15" s="69">
        <v>586.03271171251936</v>
      </c>
      <c r="AQ15" s="69">
        <v>1800.2161722183228</v>
      </c>
      <c r="AR15" s="69">
        <v>372.83973809878029</v>
      </c>
      <c r="AS15" s="69">
        <v>543.03184035619097</v>
      </c>
    </row>
    <row r="16" spans="1:55" x14ac:dyDescent="0.25">
      <c r="A16" s="11">
        <v>43078</v>
      </c>
      <c r="B16" s="59"/>
      <c r="C16" s="60">
        <v>0</v>
      </c>
      <c r="D16" s="60">
        <v>0</v>
      </c>
      <c r="E16" s="367">
        <v>0</v>
      </c>
      <c r="F16" s="60">
        <v>0</v>
      </c>
      <c r="G16" s="60">
        <v>0</v>
      </c>
      <c r="H16" s="61">
        <v>0</v>
      </c>
      <c r="I16" s="59">
        <v>150.69003725846608</v>
      </c>
      <c r="J16" s="60">
        <v>460.57425711949583</v>
      </c>
      <c r="K16" s="60">
        <v>25.204423506061254</v>
      </c>
      <c r="L16" s="50">
        <v>0</v>
      </c>
      <c r="M16" s="60">
        <v>0</v>
      </c>
      <c r="N16" s="61">
        <v>0</v>
      </c>
      <c r="O16" s="366">
        <v>0</v>
      </c>
      <c r="P16" s="60">
        <v>0</v>
      </c>
      <c r="Q16" s="367">
        <v>0</v>
      </c>
      <c r="R16" s="367">
        <v>0</v>
      </c>
      <c r="S16" s="60">
        <v>0</v>
      </c>
      <c r="T16" s="64">
        <v>0</v>
      </c>
      <c r="U16" s="65">
        <v>410.66608579423746</v>
      </c>
      <c r="V16" s="62">
        <v>0</v>
      </c>
      <c r="W16" s="62">
        <v>46.645619618892674</v>
      </c>
      <c r="X16" s="62">
        <v>0</v>
      </c>
      <c r="Y16" s="66">
        <v>178.4601976633071</v>
      </c>
      <c r="Z16" s="66">
        <v>0</v>
      </c>
      <c r="AA16" s="67">
        <v>0</v>
      </c>
      <c r="AB16" s="68">
        <v>56.391292442215047</v>
      </c>
      <c r="AC16" s="69">
        <v>0</v>
      </c>
      <c r="AD16" s="431">
        <v>11.711497972838698</v>
      </c>
      <c r="AE16" s="431">
        <v>0</v>
      </c>
      <c r="AF16" s="69">
        <v>12.282163909408794</v>
      </c>
      <c r="AG16" s="68">
        <v>11.999271789807791</v>
      </c>
      <c r="AH16" s="68">
        <v>0</v>
      </c>
      <c r="AI16" s="68">
        <v>1</v>
      </c>
      <c r="AJ16" s="69">
        <v>297.79458699226387</v>
      </c>
      <c r="AK16" s="69">
        <v>566.35966081619256</v>
      </c>
      <c r="AL16" s="69">
        <v>1109.3262520472208</v>
      </c>
      <c r="AM16" s="69">
        <v>462.86874389648437</v>
      </c>
      <c r="AN16" s="69">
        <v>1602.466552734375</v>
      </c>
      <c r="AO16" s="69">
        <v>2016.694920349121</v>
      </c>
      <c r="AP16" s="69">
        <v>550.28137912750253</v>
      </c>
      <c r="AQ16" s="69">
        <v>1780.672701517741</v>
      </c>
      <c r="AR16" s="69">
        <v>385.76277178128561</v>
      </c>
      <c r="AS16" s="69">
        <v>527.20671819051108</v>
      </c>
    </row>
    <row r="17" spans="1:45" x14ac:dyDescent="0.25">
      <c r="A17" s="11">
        <v>43079</v>
      </c>
      <c r="B17" s="49"/>
      <c r="C17" s="60">
        <v>0</v>
      </c>
      <c r="D17" s="50">
        <v>0</v>
      </c>
      <c r="E17" s="367">
        <v>0</v>
      </c>
      <c r="F17" s="50">
        <v>0</v>
      </c>
      <c r="G17" s="50">
        <v>0</v>
      </c>
      <c r="H17" s="51">
        <v>0</v>
      </c>
      <c r="I17" s="49">
        <v>150.39703358014432</v>
      </c>
      <c r="J17" s="50">
        <v>460.49759098688764</v>
      </c>
      <c r="K17" s="50">
        <v>25.160319804151829</v>
      </c>
      <c r="L17" s="50">
        <v>0</v>
      </c>
      <c r="M17" s="50">
        <v>0</v>
      </c>
      <c r="N17" s="51">
        <v>0</v>
      </c>
      <c r="O17" s="366">
        <v>0</v>
      </c>
      <c r="P17" s="50">
        <v>0</v>
      </c>
      <c r="Q17" s="367">
        <v>0</v>
      </c>
      <c r="R17" s="367">
        <v>0</v>
      </c>
      <c r="S17" s="50">
        <v>0</v>
      </c>
      <c r="T17" s="52">
        <v>0</v>
      </c>
      <c r="U17" s="71">
        <v>404.40788637797112</v>
      </c>
      <c r="V17" s="66">
        <v>0</v>
      </c>
      <c r="W17" s="62">
        <v>46.127695683638272</v>
      </c>
      <c r="X17" s="62">
        <v>0</v>
      </c>
      <c r="Y17" s="66">
        <v>176.36851482391353</v>
      </c>
      <c r="Z17" s="66">
        <v>0</v>
      </c>
      <c r="AA17" s="67">
        <v>0</v>
      </c>
      <c r="AB17" s="68">
        <v>56.401380581325569</v>
      </c>
      <c r="AC17" s="69">
        <v>0</v>
      </c>
      <c r="AD17" s="431">
        <v>11.710710860461242</v>
      </c>
      <c r="AE17" s="431">
        <v>0</v>
      </c>
      <c r="AF17" s="69">
        <v>12.03963845769565</v>
      </c>
      <c r="AG17" s="68">
        <v>11.816179995627964</v>
      </c>
      <c r="AH17" s="68">
        <v>0</v>
      </c>
      <c r="AI17" s="68">
        <v>1</v>
      </c>
      <c r="AJ17" s="69">
        <v>300.66372598012282</v>
      </c>
      <c r="AK17" s="69">
        <v>561.31614313125601</v>
      </c>
      <c r="AL17" s="69">
        <v>1156.0483530044555</v>
      </c>
      <c r="AM17" s="69">
        <v>462.86874389648437</v>
      </c>
      <c r="AN17" s="69">
        <v>1602.466552734375</v>
      </c>
      <c r="AO17" s="69">
        <v>1992.8236760457357</v>
      </c>
      <c r="AP17" s="69">
        <v>537.09515549341813</v>
      </c>
      <c r="AQ17" s="69">
        <v>1776.0667898813881</v>
      </c>
      <c r="AR17" s="69">
        <v>386.83166537284853</v>
      </c>
      <c r="AS17" s="69">
        <v>528.699938805898</v>
      </c>
    </row>
    <row r="18" spans="1:45" x14ac:dyDescent="0.25">
      <c r="A18" s="11">
        <v>43080</v>
      </c>
      <c r="B18" s="59"/>
      <c r="C18" s="60">
        <v>38.520307415723863</v>
      </c>
      <c r="D18" s="60">
        <v>424.36964179674692</v>
      </c>
      <c r="E18" s="60">
        <v>10.881065221130838</v>
      </c>
      <c r="F18" s="60">
        <v>0</v>
      </c>
      <c r="G18" s="60">
        <v>1317.9747357686372</v>
      </c>
      <c r="H18" s="61">
        <v>14.537866329153356</v>
      </c>
      <c r="I18" s="59">
        <v>158.73760316371923</v>
      </c>
      <c r="J18" s="60">
        <v>486.75940748850456</v>
      </c>
      <c r="K18" s="60">
        <v>26.640638979772724</v>
      </c>
      <c r="L18" s="50">
        <v>0</v>
      </c>
      <c r="M18" s="60">
        <v>0</v>
      </c>
      <c r="N18" s="61">
        <v>0</v>
      </c>
      <c r="O18" s="366">
        <v>0</v>
      </c>
      <c r="P18" s="60">
        <v>0</v>
      </c>
      <c r="Q18" s="367">
        <v>0</v>
      </c>
      <c r="R18" s="367">
        <v>0</v>
      </c>
      <c r="S18" s="60">
        <v>0</v>
      </c>
      <c r="T18" s="64">
        <v>0</v>
      </c>
      <c r="U18" s="65">
        <v>404.83443436656125</v>
      </c>
      <c r="V18" s="66">
        <v>0</v>
      </c>
      <c r="W18" s="62">
        <v>46.206037415114288</v>
      </c>
      <c r="X18" s="62">
        <v>0</v>
      </c>
      <c r="Y18" s="66">
        <v>171.76884481491609</v>
      </c>
      <c r="Z18" s="66">
        <v>0</v>
      </c>
      <c r="AA18" s="67">
        <v>0</v>
      </c>
      <c r="AB18" s="68">
        <v>70.150140351719244</v>
      </c>
      <c r="AC18" s="69">
        <v>0</v>
      </c>
      <c r="AD18" s="431">
        <v>12.860107922741445</v>
      </c>
      <c r="AE18" s="431">
        <v>3.1719995934109901</v>
      </c>
      <c r="AF18" s="69">
        <v>11.728971773386011</v>
      </c>
      <c r="AG18" s="68">
        <v>11.832545870253275</v>
      </c>
      <c r="AH18" s="68">
        <v>-0.31380922231407082</v>
      </c>
      <c r="AI18" s="68">
        <v>1.0272433715524014</v>
      </c>
      <c r="AJ18" s="69">
        <v>300.93496586481729</v>
      </c>
      <c r="AK18" s="69">
        <v>866.56534903844181</v>
      </c>
      <c r="AL18" s="69">
        <v>2055.0431065877278</v>
      </c>
      <c r="AM18" s="69">
        <v>462.86874389648437</v>
      </c>
      <c r="AN18" s="69">
        <v>1602.466552734375</v>
      </c>
      <c r="AO18" s="69">
        <v>2189.6675352732341</v>
      </c>
      <c r="AP18" s="69">
        <v>541.11403309504192</v>
      </c>
      <c r="AQ18" s="69">
        <v>1862.1366761525476</v>
      </c>
      <c r="AR18" s="69">
        <v>353.31286171277367</v>
      </c>
      <c r="AS18" s="69">
        <v>579.97827116648352</v>
      </c>
    </row>
    <row r="19" spans="1:45" x14ac:dyDescent="0.25">
      <c r="A19" s="11">
        <v>43081</v>
      </c>
      <c r="B19" s="59"/>
      <c r="C19" s="60">
        <v>56.92109407981264</v>
      </c>
      <c r="D19" s="60">
        <v>615.65178543726483</v>
      </c>
      <c r="E19" s="60">
        <v>16.051645176609359</v>
      </c>
      <c r="F19" s="60">
        <v>0</v>
      </c>
      <c r="G19" s="60">
        <v>2705.7861662546816</v>
      </c>
      <c r="H19" s="61">
        <v>29.241242747505563</v>
      </c>
      <c r="I19" s="59">
        <v>130.72321050564426</v>
      </c>
      <c r="J19" s="60">
        <v>420.62407952944403</v>
      </c>
      <c r="K19" s="60">
        <v>21.586645479003586</v>
      </c>
      <c r="L19" s="50">
        <v>0</v>
      </c>
      <c r="M19" s="60">
        <v>0</v>
      </c>
      <c r="N19" s="61">
        <v>0</v>
      </c>
      <c r="O19" s="366">
        <v>0</v>
      </c>
      <c r="P19" s="60">
        <v>0</v>
      </c>
      <c r="Q19" s="367">
        <v>0</v>
      </c>
      <c r="R19" s="367">
        <v>0</v>
      </c>
      <c r="S19" s="60">
        <v>0</v>
      </c>
      <c r="T19" s="64">
        <v>0</v>
      </c>
      <c r="U19" s="65">
        <v>343.24474729302892</v>
      </c>
      <c r="V19" s="62">
        <v>76.837838698722564</v>
      </c>
      <c r="W19" s="62">
        <v>38.146872140026851</v>
      </c>
      <c r="X19" s="62">
        <v>8.5394553929003596</v>
      </c>
      <c r="Y19" s="66">
        <v>166.90742213342838</v>
      </c>
      <c r="Z19" s="66">
        <v>37.363443084416375</v>
      </c>
      <c r="AA19" s="67">
        <v>0</v>
      </c>
      <c r="AB19" s="68">
        <v>63.678640574879132</v>
      </c>
      <c r="AC19" s="69">
        <v>0</v>
      </c>
      <c r="AD19" s="431">
        <v>10.615450482941323</v>
      </c>
      <c r="AE19" s="431">
        <v>4.6383447734846914</v>
      </c>
      <c r="AF19" s="69">
        <v>12.467885571055927</v>
      </c>
      <c r="AG19" s="68">
        <v>10.016326398824152</v>
      </c>
      <c r="AH19" s="68">
        <v>2.2422276764793998</v>
      </c>
      <c r="AI19" s="68">
        <v>0.8170887314518881</v>
      </c>
      <c r="AJ19" s="69">
        <v>295.84963738123582</v>
      </c>
      <c r="AK19" s="69">
        <v>1016.8321421305338</v>
      </c>
      <c r="AL19" s="69">
        <v>3030.6848416646321</v>
      </c>
      <c r="AM19" s="69">
        <v>462.86874389648437</v>
      </c>
      <c r="AN19" s="69">
        <v>1602.466552734375</v>
      </c>
      <c r="AO19" s="69">
        <v>2499.5175154368076</v>
      </c>
      <c r="AP19" s="69">
        <v>579.50153579711923</v>
      </c>
      <c r="AQ19" s="69">
        <v>1842.2315872828162</v>
      </c>
      <c r="AR19" s="69">
        <v>327.23930621147156</v>
      </c>
      <c r="AS19" s="69">
        <v>558.13090470631914</v>
      </c>
    </row>
    <row r="20" spans="1:45" x14ac:dyDescent="0.25">
      <c r="A20" s="11">
        <v>43082</v>
      </c>
      <c r="B20" s="59"/>
      <c r="C20" s="60">
        <v>54.393902927637363</v>
      </c>
      <c r="D20" s="60">
        <v>600.77779617309432</v>
      </c>
      <c r="E20" s="60">
        <v>15.499401681125196</v>
      </c>
      <c r="F20" s="60">
        <v>0</v>
      </c>
      <c r="G20" s="60">
        <v>1689.9817307790074</v>
      </c>
      <c r="H20" s="61">
        <v>27.889611802498532</v>
      </c>
      <c r="I20" s="59">
        <v>109.30798316399249</v>
      </c>
      <c r="J20" s="60">
        <v>367.93878103892109</v>
      </c>
      <c r="K20" s="60">
        <v>16.920401766399536</v>
      </c>
      <c r="L20" s="50">
        <v>0</v>
      </c>
      <c r="M20" s="60">
        <v>0</v>
      </c>
      <c r="N20" s="61">
        <v>0</v>
      </c>
      <c r="O20" s="366">
        <v>0</v>
      </c>
      <c r="P20" s="60">
        <v>0</v>
      </c>
      <c r="Q20" s="367">
        <v>0</v>
      </c>
      <c r="R20" s="367">
        <v>0</v>
      </c>
      <c r="S20" s="60">
        <v>0</v>
      </c>
      <c r="T20" s="64">
        <v>0</v>
      </c>
      <c r="U20" s="65">
        <v>271.17864379758953</v>
      </c>
      <c r="V20" s="62">
        <v>152.49889475628262</v>
      </c>
      <c r="W20" s="62">
        <v>30.162429671786715</v>
      </c>
      <c r="X20" s="62">
        <v>16.962018556095696</v>
      </c>
      <c r="Y20" s="66">
        <v>138.30709831812158</v>
      </c>
      <c r="Z20" s="66">
        <v>77.777804826714515</v>
      </c>
      <c r="AA20" s="67">
        <v>0</v>
      </c>
      <c r="AB20" s="68">
        <v>54.023532570732861</v>
      </c>
      <c r="AC20" s="69">
        <v>0</v>
      </c>
      <c r="AD20" s="431">
        <v>8.4356333548805118</v>
      </c>
      <c r="AE20" s="431">
        <v>4.449674230160233</v>
      </c>
      <c r="AF20" s="69">
        <v>12.310753030909451</v>
      </c>
      <c r="AG20" s="68">
        <v>7.7691915975044115</v>
      </c>
      <c r="AH20" s="68">
        <v>4.3690502879480499</v>
      </c>
      <c r="AI20" s="68">
        <v>0.64005905227640048</v>
      </c>
      <c r="AJ20" s="69">
        <v>296.07191610336304</v>
      </c>
      <c r="AK20" s="69">
        <v>1015.425610033671</v>
      </c>
      <c r="AL20" s="69">
        <v>2979.245859527588</v>
      </c>
      <c r="AM20" s="69">
        <v>462.86874389648437</v>
      </c>
      <c r="AN20" s="69">
        <v>1602.466552734375</v>
      </c>
      <c r="AO20" s="69">
        <v>2559.9494431813559</v>
      </c>
      <c r="AP20" s="69">
        <v>556.06546503702793</v>
      </c>
      <c r="AQ20" s="69">
        <v>1848.9712329864501</v>
      </c>
      <c r="AR20" s="69">
        <v>346.77948770523068</v>
      </c>
      <c r="AS20" s="69">
        <v>526.38176279067989</v>
      </c>
    </row>
    <row r="21" spans="1:45" x14ac:dyDescent="0.25">
      <c r="A21" s="11">
        <v>43083</v>
      </c>
      <c r="B21" s="59"/>
      <c r="C21" s="60">
        <v>54.293236553669153</v>
      </c>
      <c r="D21" s="60">
        <v>596.11814139683918</v>
      </c>
      <c r="E21" s="60">
        <v>15.302340471744557</v>
      </c>
      <c r="F21" s="60">
        <v>0</v>
      </c>
      <c r="G21" s="60">
        <v>1500.8466544469109</v>
      </c>
      <c r="H21" s="61">
        <v>28.071712611119011</v>
      </c>
      <c r="I21" s="59">
        <v>107.70008866786961</v>
      </c>
      <c r="J21" s="60">
        <v>362.74722250302665</v>
      </c>
      <c r="K21" s="60">
        <v>16.956893282632024</v>
      </c>
      <c r="L21" s="50">
        <v>0</v>
      </c>
      <c r="M21" s="60">
        <v>0</v>
      </c>
      <c r="N21" s="61">
        <v>0</v>
      </c>
      <c r="O21" s="366">
        <v>0</v>
      </c>
      <c r="P21" s="60">
        <v>0</v>
      </c>
      <c r="Q21" s="367">
        <v>0</v>
      </c>
      <c r="R21" s="367">
        <v>0</v>
      </c>
      <c r="S21" s="60">
        <v>0</v>
      </c>
      <c r="T21" s="64">
        <v>0</v>
      </c>
      <c r="U21" s="65">
        <v>270.85387450093936</v>
      </c>
      <c r="V21" s="62">
        <v>152.38153610459597</v>
      </c>
      <c r="W21" s="62">
        <v>31.304943026268386</v>
      </c>
      <c r="X21" s="62">
        <v>17.612062278227047</v>
      </c>
      <c r="Y21" s="66">
        <v>121.98997700167145</v>
      </c>
      <c r="Z21" s="66">
        <v>68.631176567550128</v>
      </c>
      <c r="AA21" s="67">
        <v>0</v>
      </c>
      <c r="AB21" s="68">
        <v>56.080764510896671</v>
      </c>
      <c r="AC21" s="69">
        <v>0</v>
      </c>
      <c r="AD21" s="431">
        <v>8.3377816951010111</v>
      </c>
      <c r="AE21" s="431">
        <v>4.4570562396944027</v>
      </c>
      <c r="AF21" s="69">
        <v>12.642891150712961</v>
      </c>
      <c r="AG21" s="68">
        <v>7.9988424033129242</v>
      </c>
      <c r="AH21" s="68">
        <v>4.5001235249864378</v>
      </c>
      <c r="AI21" s="68">
        <v>0.63996033345466241</v>
      </c>
      <c r="AJ21" s="69">
        <v>314.59736081759144</v>
      </c>
      <c r="AK21" s="69">
        <v>1072.6331694920857</v>
      </c>
      <c r="AL21" s="69">
        <v>2898.6035352071126</v>
      </c>
      <c r="AM21" s="69">
        <v>462.86874389648437</v>
      </c>
      <c r="AN21" s="69">
        <v>1602.466552734375</v>
      </c>
      <c r="AO21" s="69">
        <v>2604.2431011199947</v>
      </c>
      <c r="AP21" s="69">
        <v>596.63635708491006</v>
      </c>
      <c r="AQ21" s="69">
        <v>1807.9590499877932</v>
      </c>
      <c r="AR21" s="69">
        <v>354.89120065371196</v>
      </c>
      <c r="AS21" s="69">
        <v>577.73398094177242</v>
      </c>
    </row>
    <row r="22" spans="1:45" x14ac:dyDescent="0.25">
      <c r="A22" s="11">
        <v>43084</v>
      </c>
      <c r="B22" s="59"/>
      <c r="C22" s="60">
        <v>55.081596330801631</v>
      </c>
      <c r="D22" s="60">
        <v>591.51662562688205</v>
      </c>
      <c r="E22" s="60">
        <v>15.135997257133347</v>
      </c>
      <c r="F22" s="60">
        <v>0</v>
      </c>
      <c r="G22" s="60">
        <v>1500.057785987851</v>
      </c>
      <c r="H22" s="61">
        <v>28.154594443241809</v>
      </c>
      <c r="I22" s="59">
        <v>107.80235025882695</v>
      </c>
      <c r="J22" s="60">
        <v>362.05309699376369</v>
      </c>
      <c r="K22" s="60">
        <v>16.78245457758506</v>
      </c>
      <c r="L22" s="50">
        <v>0</v>
      </c>
      <c r="M22" s="60">
        <v>0</v>
      </c>
      <c r="N22" s="61">
        <v>0</v>
      </c>
      <c r="O22" s="366">
        <v>0</v>
      </c>
      <c r="P22" s="60">
        <v>0</v>
      </c>
      <c r="Q22" s="367">
        <v>0</v>
      </c>
      <c r="R22" s="367">
        <v>0</v>
      </c>
      <c r="S22" s="60">
        <v>0</v>
      </c>
      <c r="T22" s="64">
        <v>0</v>
      </c>
      <c r="U22" s="65">
        <v>256.68491247782583</v>
      </c>
      <c r="V22" s="62">
        <v>144.40213164465453</v>
      </c>
      <c r="W22" s="62">
        <v>29.087145211740317</v>
      </c>
      <c r="X22" s="62">
        <v>16.36343068039012</v>
      </c>
      <c r="Y22" s="66">
        <v>106.44902461647681</v>
      </c>
      <c r="Z22" s="66">
        <v>59.884571779969512</v>
      </c>
      <c r="AA22" s="67">
        <v>0</v>
      </c>
      <c r="AB22" s="68">
        <v>56.052507448195378</v>
      </c>
      <c r="AC22" s="69">
        <v>0</v>
      </c>
      <c r="AD22" s="431">
        <v>8.3467932924789068</v>
      </c>
      <c r="AE22" s="431">
        <v>4.4684203799267506</v>
      </c>
      <c r="AF22" s="69">
        <v>12.012940126657499</v>
      </c>
      <c r="AG22" s="68">
        <v>7.5949855686438594</v>
      </c>
      <c r="AH22" s="68">
        <v>4.2726784965100162</v>
      </c>
      <c r="AI22" s="68">
        <v>0.63997308374648398</v>
      </c>
      <c r="AJ22" s="69">
        <v>309.87735075950627</v>
      </c>
      <c r="AK22" s="69">
        <v>1062.5513345718382</v>
      </c>
      <c r="AL22" s="69">
        <v>2933.5610708872473</v>
      </c>
      <c r="AM22" s="69">
        <v>462.86874389648437</v>
      </c>
      <c r="AN22" s="69">
        <v>1602.466552734375</v>
      </c>
      <c r="AO22" s="69">
        <v>2609.0633860270177</v>
      </c>
      <c r="AP22" s="69">
        <v>589.52665553092959</v>
      </c>
      <c r="AQ22" s="69">
        <v>1835.7634797414144</v>
      </c>
      <c r="AR22" s="69">
        <v>361.1264029026031</v>
      </c>
      <c r="AS22" s="69">
        <v>571.4796404838562</v>
      </c>
    </row>
    <row r="23" spans="1:45" x14ac:dyDescent="0.25">
      <c r="A23" s="11">
        <v>43085</v>
      </c>
      <c r="B23" s="59"/>
      <c r="C23" s="60">
        <v>55.242086215814162</v>
      </c>
      <c r="D23" s="60">
        <v>590.65128129323216</v>
      </c>
      <c r="E23" s="60">
        <v>15.403305643300198</v>
      </c>
      <c r="F23" s="60">
        <v>0</v>
      </c>
      <c r="G23" s="60">
        <v>1433.871933746339</v>
      </c>
      <c r="H23" s="61">
        <v>27.160977436105458</v>
      </c>
      <c r="I23" s="59">
        <v>107.60540277163184</v>
      </c>
      <c r="J23" s="60">
        <v>315.89533537228903</v>
      </c>
      <c r="K23" s="60">
        <v>16.958127496143177</v>
      </c>
      <c r="L23" s="50">
        <v>0</v>
      </c>
      <c r="M23" s="60">
        <v>0</v>
      </c>
      <c r="N23" s="61">
        <v>0</v>
      </c>
      <c r="O23" s="366">
        <v>0</v>
      </c>
      <c r="P23" s="60">
        <v>0</v>
      </c>
      <c r="Q23" s="367">
        <v>0</v>
      </c>
      <c r="R23" s="367">
        <v>0</v>
      </c>
      <c r="S23" s="60">
        <v>0</v>
      </c>
      <c r="T23" s="64">
        <v>0</v>
      </c>
      <c r="U23" s="65">
        <v>269.50030259132069</v>
      </c>
      <c r="V23" s="62">
        <v>151.57536879539697</v>
      </c>
      <c r="W23" s="62">
        <v>31.68710811885725</v>
      </c>
      <c r="X23" s="62">
        <v>17.821817092572299</v>
      </c>
      <c r="Y23" s="66">
        <v>110.31819987884226</v>
      </c>
      <c r="Z23" s="66">
        <v>62.04639353164999</v>
      </c>
      <c r="AA23" s="67">
        <v>0</v>
      </c>
      <c r="AB23" s="68">
        <v>56.073489848771509</v>
      </c>
      <c r="AC23" s="69">
        <v>0</v>
      </c>
      <c r="AD23" s="431">
        <v>8.3310145846708501</v>
      </c>
      <c r="AE23" s="431">
        <v>4.4842909239969018</v>
      </c>
      <c r="AF23" s="69">
        <v>12.639398929145587</v>
      </c>
      <c r="AG23" s="68">
        <v>8.0011527975092722</v>
      </c>
      <c r="AH23" s="68">
        <v>4.50009767859106</v>
      </c>
      <c r="AI23" s="68">
        <v>0.6400281966036705</v>
      </c>
      <c r="AJ23" s="69">
        <v>300.05647422472634</v>
      </c>
      <c r="AK23" s="69">
        <v>1026.4664587656657</v>
      </c>
      <c r="AL23" s="69">
        <v>2922.7651977539062</v>
      </c>
      <c r="AM23" s="69">
        <v>462.86874389648437</v>
      </c>
      <c r="AN23" s="69">
        <v>1602.466552734375</v>
      </c>
      <c r="AO23" s="69">
        <v>2474.0898946126304</v>
      </c>
      <c r="AP23" s="69">
        <v>552.0887156327567</v>
      </c>
      <c r="AQ23" s="69">
        <v>1820.8629362742104</v>
      </c>
      <c r="AR23" s="69">
        <v>360.77917544047034</v>
      </c>
      <c r="AS23" s="69">
        <v>527.34056510925291</v>
      </c>
    </row>
    <row r="24" spans="1:45" x14ac:dyDescent="0.25">
      <c r="A24" s="11">
        <v>43086</v>
      </c>
      <c r="B24" s="59"/>
      <c r="C24" s="60">
        <v>55.74869164625823</v>
      </c>
      <c r="D24" s="60">
        <v>660.73847780227698</v>
      </c>
      <c r="E24" s="60">
        <v>15.386344056328113</v>
      </c>
      <c r="F24" s="60">
        <v>0</v>
      </c>
      <c r="G24" s="60">
        <v>1366.005916341147</v>
      </c>
      <c r="H24" s="61">
        <v>28.282136678695707</v>
      </c>
      <c r="I24" s="59">
        <v>108.32132111390428</v>
      </c>
      <c r="J24" s="60">
        <v>311.91024792989049</v>
      </c>
      <c r="K24" s="60">
        <v>16.941078426937274</v>
      </c>
      <c r="L24" s="50">
        <v>0</v>
      </c>
      <c r="M24" s="60">
        <v>0</v>
      </c>
      <c r="N24" s="61">
        <v>0</v>
      </c>
      <c r="O24" s="366">
        <v>0</v>
      </c>
      <c r="P24" s="60">
        <v>0</v>
      </c>
      <c r="Q24" s="367">
        <v>0</v>
      </c>
      <c r="R24" s="367">
        <v>0</v>
      </c>
      <c r="S24" s="60">
        <v>0</v>
      </c>
      <c r="T24" s="64">
        <v>0</v>
      </c>
      <c r="U24" s="65">
        <v>264.45459713754263</v>
      </c>
      <c r="V24" s="62">
        <v>148.60044815986865</v>
      </c>
      <c r="W24" s="62">
        <v>30.785289184546752</v>
      </c>
      <c r="X24" s="62">
        <v>17.298650955859554</v>
      </c>
      <c r="Y24" s="66">
        <v>111.67101236739717</v>
      </c>
      <c r="Z24" s="66">
        <v>62.749381798913248</v>
      </c>
      <c r="AA24" s="67">
        <v>0</v>
      </c>
      <c r="AB24" s="68">
        <v>56.331808182927375</v>
      </c>
      <c r="AC24" s="69">
        <v>0</v>
      </c>
      <c r="AD24" s="431">
        <v>8.383497391194414</v>
      </c>
      <c r="AE24" s="431">
        <v>4.4985856462490172</v>
      </c>
      <c r="AF24" s="69">
        <v>12.468022904131148</v>
      </c>
      <c r="AG24" s="68">
        <v>7.891635962014302</v>
      </c>
      <c r="AH24" s="68">
        <v>4.434412006307233</v>
      </c>
      <c r="AI24" s="68">
        <v>0.64024056877728697</v>
      </c>
      <c r="AJ24" s="69">
        <v>311.27059650421143</v>
      </c>
      <c r="AK24" s="69">
        <v>1069.8478440602621</v>
      </c>
      <c r="AL24" s="69">
        <v>2890.4394555409749</v>
      </c>
      <c r="AM24" s="69">
        <v>462.86874389648437</v>
      </c>
      <c r="AN24" s="69">
        <v>1602.466552734375</v>
      </c>
      <c r="AO24" s="69">
        <v>2548.702756754557</v>
      </c>
      <c r="AP24" s="69">
        <v>599.93093612988787</v>
      </c>
      <c r="AQ24" s="69">
        <v>1819.0102502187096</v>
      </c>
      <c r="AR24" s="69">
        <v>368.99362672169997</v>
      </c>
      <c r="AS24" s="69">
        <v>542.34342199961338</v>
      </c>
    </row>
    <row r="25" spans="1:45" x14ac:dyDescent="0.25">
      <c r="A25" s="11">
        <v>43087</v>
      </c>
      <c r="B25" s="59"/>
      <c r="C25" s="60">
        <v>54.947872352600314</v>
      </c>
      <c r="D25" s="60">
        <v>694.9291481018065</v>
      </c>
      <c r="E25" s="60">
        <v>15.326479104657961</v>
      </c>
      <c r="F25" s="60">
        <v>0</v>
      </c>
      <c r="G25" s="60">
        <v>1584.2544851938824</v>
      </c>
      <c r="H25" s="61">
        <v>28.314454191923257</v>
      </c>
      <c r="I25" s="59">
        <v>108.25771320660897</v>
      </c>
      <c r="J25" s="60">
        <v>311.31927801767995</v>
      </c>
      <c r="K25" s="60">
        <v>16.997115949789666</v>
      </c>
      <c r="L25" s="50">
        <v>0</v>
      </c>
      <c r="M25" s="60">
        <v>0</v>
      </c>
      <c r="N25" s="61">
        <v>0</v>
      </c>
      <c r="O25" s="366">
        <v>0</v>
      </c>
      <c r="P25" s="60">
        <v>0</v>
      </c>
      <c r="Q25" s="367">
        <v>0</v>
      </c>
      <c r="R25" s="367">
        <v>0</v>
      </c>
      <c r="S25" s="60">
        <v>0</v>
      </c>
      <c r="T25" s="64">
        <v>0</v>
      </c>
      <c r="U25" s="65">
        <v>263.4304526157573</v>
      </c>
      <c r="V25" s="62">
        <v>148.16370036462712</v>
      </c>
      <c r="W25" s="62">
        <v>30.323660318479558</v>
      </c>
      <c r="X25" s="62">
        <v>17.055225304339753</v>
      </c>
      <c r="Y25" s="66">
        <v>109.82271977876643</v>
      </c>
      <c r="Z25" s="66">
        <v>61.768639065672893</v>
      </c>
      <c r="AA25" s="67">
        <v>0</v>
      </c>
      <c r="AB25" s="68">
        <v>56.466198635100916</v>
      </c>
      <c r="AC25" s="69">
        <v>0</v>
      </c>
      <c r="AD25" s="431">
        <v>8.3745392932787173</v>
      </c>
      <c r="AE25" s="431">
        <v>4.4969258363947002</v>
      </c>
      <c r="AF25" s="69">
        <v>12.487771164046411</v>
      </c>
      <c r="AG25" s="68">
        <v>7.8929341329259843</v>
      </c>
      <c r="AH25" s="68">
        <v>4.4392981762604018</v>
      </c>
      <c r="AI25" s="68">
        <v>0.64002476883657711</v>
      </c>
      <c r="AJ25" s="69">
        <v>304.23737123807274</v>
      </c>
      <c r="AK25" s="69">
        <v>1039.188864771525</v>
      </c>
      <c r="AL25" s="69">
        <v>2831.7724945068362</v>
      </c>
      <c r="AM25" s="69">
        <v>462.86874389648437</v>
      </c>
      <c r="AN25" s="69">
        <v>1602.466552734375</v>
      </c>
      <c r="AO25" s="69">
        <v>2584.5395568847657</v>
      </c>
      <c r="AP25" s="69">
        <v>575.13595779736841</v>
      </c>
      <c r="AQ25" s="69">
        <v>1779.163378016154</v>
      </c>
      <c r="AR25" s="69">
        <v>369.53094847997028</v>
      </c>
      <c r="AS25" s="69">
        <v>555.31514256795242</v>
      </c>
    </row>
    <row r="26" spans="1:45" x14ac:dyDescent="0.25">
      <c r="A26" s="11">
        <v>43088</v>
      </c>
      <c r="B26" s="59"/>
      <c r="C26" s="60">
        <v>57.048547271887678</v>
      </c>
      <c r="D26" s="60">
        <v>740.03905556996745</v>
      </c>
      <c r="E26" s="60">
        <v>16.000569537281976</v>
      </c>
      <c r="F26" s="60">
        <v>0</v>
      </c>
      <c r="G26" s="60">
        <v>1702.0923997243221</v>
      </c>
      <c r="H26" s="61">
        <v>29.299494006236479</v>
      </c>
      <c r="I26" s="59">
        <v>108.50165936152133</v>
      </c>
      <c r="J26" s="60">
        <v>311.97552700042752</v>
      </c>
      <c r="K26" s="60">
        <v>17.199832970400657</v>
      </c>
      <c r="L26" s="50">
        <v>0</v>
      </c>
      <c r="M26" s="60">
        <v>0</v>
      </c>
      <c r="N26" s="61">
        <v>0</v>
      </c>
      <c r="O26" s="366">
        <v>0</v>
      </c>
      <c r="P26" s="60">
        <v>0</v>
      </c>
      <c r="Q26" s="367">
        <v>0</v>
      </c>
      <c r="R26" s="367">
        <v>0</v>
      </c>
      <c r="S26" s="60">
        <v>0</v>
      </c>
      <c r="T26" s="64">
        <v>0</v>
      </c>
      <c r="U26" s="65">
        <v>263.08744039136809</v>
      </c>
      <c r="V26" s="62">
        <v>152.78426671956694</v>
      </c>
      <c r="W26" s="62">
        <v>30.882006755384651</v>
      </c>
      <c r="X26" s="62">
        <v>17.9342835596076</v>
      </c>
      <c r="Y26" s="66">
        <v>106.30836784102954</v>
      </c>
      <c r="Z26" s="66">
        <v>61.737063550368553</v>
      </c>
      <c r="AA26" s="67">
        <v>0</v>
      </c>
      <c r="AB26" s="68">
        <v>56.854229776064102</v>
      </c>
      <c r="AC26" s="69">
        <v>0</v>
      </c>
      <c r="AD26" s="431">
        <v>8.3964530331396716</v>
      </c>
      <c r="AE26" s="431">
        <v>4.6467340990423347</v>
      </c>
      <c r="AF26" s="69">
        <v>12.606849278344054</v>
      </c>
      <c r="AG26" s="68">
        <v>7.8790560671958856</v>
      </c>
      <c r="AH26" s="68">
        <v>4.5756490765127946</v>
      </c>
      <c r="AI26" s="68">
        <v>0.63261682844221168</v>
      </c>
      <c r="AJ26" s="69">
        <v>300.00716396967562</v>
      </c>
      <c r="AK26" s="69">
        <v>1018.3485003789265</v>
      </c>
      <c r="AL26" s="69">
        <v>2892.7322680155439</v>
      </c>
      <c r="AM26" s="69">
        <v>462.86874389648437</v>
      </c>
      <c r="AN26" s="69">
        <v>1602.466552734375</v>
      </c>
      <c r="AO26" s="69">
        <v>2573.3596200307211</v>
      </c>
      <c r="AP26" s="69">
        <v>551.88334906895943</v>
      </c>
      <c r="AQ26" s="69">
        <v>1801.4147052764893</v>
      </c>
      <c r="AR26" s="69">
        <v>373.51191069285079</v>
      </c>
      <c r="AS26" s="69">
        <v>579.49106222788498</v>
      </c>
    </row>
    <row r="27" spans="1:45" x14ac:dyDescent="0.25">
      <c r="A27" s="11">
        <v>43089</v>
      </c>
      <c r="B27" s="59"/>
      <c r="C27" s="60">
        <v>59.041952206691391</v>
      </c>
      <c r="D27" s="60">
        <v>766.32276220321558</v>
      </c>
      <c r="E27" s="60">
        <v>16.477552498877035</v>
      </c>
      <c r="F27" s="60">
        <v>0</v>
      </c>
      <c r="G27" s="60">
        <v>1851.8784160613959</v>
      </c>
      <c r="H27" s="61">
        <v>29.888727013270113</v>
      </c>
      <c r="I27" s="59">
        <v>107.55510682264961</v>
      </c>
      <c r="J27" s="60">
        <v>310.33809556961074</v>
      </c>
      <c r="K27" s="60">
        <v>16.858080896238491</v>
      </c>
      <c r="L27" s="50">
        <v>0</v>
      </c>
      <c r="M27" s="60">
        <v>0</v>
      </c>
      <c r="N27" s="61">
        <v>0</v>
      </c>
      <c r="O27" s="366">
        <v>0</v>
      </c>
      <c r="P27" s="60">
        <v>0</v>
      </c>
      <c r="Q27" s="367">
        <v>0</v>
      </c>
      <c r="R27" s="367">
        <v>0</v>
      </c>
      <c r="S27" s="60">
        <v>0</v>
      </c>
      <c r="T27" s="64">
        <v>0</v>
      </c>
      <c r="U27" s="65">
        <v>267.39009741513411</v>
      </c>
      <c r="V27" s="62">
        <v>158.77116571166002</v>
      </c>
      <c r="W27" s="62">
        <v>31.894389793220324</v>
      </c>
      <c r="X27" s="62">
        <v>18.938283414698542</v>
      </c>
      <c r="Y27" s="62">
        <v>104.90178032373683</v>
      </c>
      <c r="Z27" s="62">
        <v>62.288686485535841</v>
      </c>
      <c r="AA27" s="72">
        <v>0</v>
      </c>
      <c r="AB27" s="69">
        <v>56.755822353892057</v>
      </c>
      <c r="AC27" s="69">
        <v>0</v>
      </c>
      <c r="AD27" s="431">
        <v>8.3311778112770494</v>
      </c>
      <c r="AE27" s="431">
        <v>4.7570499043430381</v>
      </c>
      <c r="AF27" s="69">
        <v>12.898632545603657</v>
      </c>
      <c r="AG27" s="69">
        <v>7.999636091696301</v>
      </c>
      <c r="AH27" s="69">
        <v>4.7500321059975148</v>
      </c>
      <c r="AI27" s="69">
        <v>0.62743876684910838</v>
      </c>
      <c r="AJ27" s="69">
        <v>289.25762939453125</v>
      </c>
      <c r="AK27" s="69">
        <v>1000.7581686655681</v>
      </c>
      <c r="AL27" s="69">
        <v>2825.910400390625</v>
      </c>
      <c r="AM27" s="69">
        <v>462.86874389648437</v>
      </c>
      <c r="AN27" s="69">
        <v>1602.466552734375</v>
      </c>
      <c r="AO27" s="69">
        <v>2543.9730435689289</v>
      </c>
      <c r="AP27" s="69">
        <v>517.11941129366562</v>
      </c>
      <c r="AQ27" s="69">
        <v>1803.1606060028078</v>
      </c>
      <c r="AR27" s="69">
        <v>383.41699457168579</v>
      </c>
      <c r="AS27" s="69">
        <v>587.95059378941858</v>
      </c>
    </row>
    <row r="28" spans="1:45" x14ac:dyDescent="0.25">
      <c r="A28" s="11">
        <v>43090</v>
      </c>
      <c r="B28" s="59"/>
      <c r="C28" s="60">
        <v>58.823752399285695</v>
      </c>
      <c r="D28" s="60">
        <v>767.83308213551675</v>
      </c>
      <c r="E28" s="60">
        <v>16.271309159199365</v>
      </c>
      <c r="F28" s="60">
        <v>0</v>
      </c>
      <c r="G28" s="60">
        <v>1941.3799974441449</v>
      </c>
      <c r="H28" s="61">
        <v>29.936294398705211</v>
      </c>
      <c r="I28" s="59">
        <v>107.88577740987134</v>
      </c>
      <c r="J28" s="60">
        <v>310.62086745897921</v>
      </c>
      <c r="K28" s="60">
        <v>16.881777207056679</v>
      </c>
      <c r="L28" s="50">
        <v>0</v>
      </c>
      <c r="M28" s="60">
        <v>0</v>
      </c>
      <c r="N28" s="61">
        <v>0</v>
      </c>
      <c r="O28" s="366">
        <v>0</v>
      </c>
      <c r="P28" s="60">
        <v>0</v>
      </c>
      <c r="Q28" s="367">
        <v>0</v>
      </c>
      <c r="R28" s="367">
        <v>0</v>
      </c>
      <c r="S28" s="60">
        <v>0</v>
      </c>
      <c r="T28" s="64">
        <v>0</v>
      </c>
      <c r="U28" s="65">
        <v>259.21307069168478</v>
      </c>
      <c r="V28" s="62">
        <v>153.90398293363478</v>
      </c>
      <c r="W28" s="62">
        <v>31.028484770096977</v>
      </c>
      <c r="X28" s="62">
        <v>18.422710620922178</v>
      </c>
      <c r="Y28" s="66">
        <v>102.16532220332178</v>
      </c>
      <c r="Z28" s="66">
        <v>60.659171093619271</v>
      </c>
      <c r="AA28" s="67">
        <v>0</v>
      </c>
      <c r="AB28" s="68">
        <v>57.103800299433622</v>
      </c>
      <c r="AC28" s="69">
        <v>0</v>
      </c>
      <c r="AD28" s="431">
        <v>8.3433677235431638</v>
      </c>
      <c r="AE28" s="431">
        <v>4.7646407413873062</v>
      </c>
      <c r="AF28" s="69">
        <v>12.585672903060901</v>
      </c>
      <c r="AG28" s="68">
        <v>7.8046843350288189</v>
      </c>
      <c r="AH28" s="68">
        <v>4.6339175779040458</v>
      </c>
      <c r="AI28" s="68">
        <v>0.62745671817939652</v>
      </c>
      <c r="AJ28" s="69">
        <v>320.83431317011519</v>
      </c>
      <c r="AK28" s="69">
        <v>1092.5602888107298</v>
      </c>
      <c r="AL28" s="69">
        <v>2846.6280042012531</v>
      </c>
      <c r="AM28" s="69">
        <v>462.86874389648437</v>
      </c>
      <c r="AN28" s="69">
        <v>1602.466552734375</v>
      </c>
      <c r="AO28" s="69">
        <v>2687.9298296610518</v>
      </c>
      <c r="AP28" s="69">
        <v>694.48334687550869</v>
      </c>
      <c r="AQ28" s="69">
        <v>1809.0795679728189</v>
      </c>
      <c r="AR28" s="69">
        <v>378.82946804364519</v>
      </c>
      <c r="AS28" s="69">
        <v>570.90058705011995</v>
      </c>
    </row>
    <row r="29" spans="1:45" x14ac:dyDescent="0.25">
      <c r="A29" s="11">
        <v>43091</v>
      </c>
      <c r="B29" s="59"/>
      <c r="C29" s="60">
        <v>58.344083062807826</v>
      </c>
      <c r="D29" s="60">
        <v>763.80371328989565</v>
      </c>
      <c r="E29" s="60">
        <v>16.406652726729696</v>
      </c>
      <c r="F29" s="60">
        <v>0</v>
      </c>
      <c r="G29" s="60">
        <v>1924.277254486082</v>
      </c>
      <c r="H29" s="61">
        <v>29.713670935233498</v>
      </c>
      <c r="I29" s="59">
        <v>108.55593795776363</v>
      </c>
      <c r="J29" s="60">
        <v>310.02553232510877</v>
      </c>
      <c r="K29" s="60">
        <v>17.107958562672124</v>
      </c>
      <c r="L29" s="50">
        <v>0</v>
      </c>
      <c r="M29" s="60">
        <v>0</v>
      </c>
      <c r="N29" s="61">
        <v>0</v>
      </c>
      <c r="O29" s="366">
        <v>0</v>
      </c>
      <c r="P29" s="60">
        <v>0</v>
      </c>
      <c r="Q29" s="367">
        <v>0</v>
      </c>
      <c r="R29" s="367">
        <v>0</v>
      </c>
      <c r="S29" s="60">
        <v>0</v>
      </c>
      <c r="T29" s="64">
        <v>0</v>
      </c>
      <c r="U29" s="65">
        <v>255.46614910859481</v>
      </c>
      <c r="V29" s="62">
        <v>147.92413731582721</v>
      </c>
      <c r="W29" s="62">
        <v>30.068269514436668</v>
      </c>
      <c r="X29" s="62">
        <v>17.410615238154815</v>
      </c>
      <c r="Y29" s="66">
        <v>102.65025559707338</v>
      </c>
      <c r="Z29" s="66">
        <v>59.438209553123862</v>
      </c>
      <c r="AA29" s="67">
        <v>0</v>
      </c>
      <c r="AB29" s="68">
        <v>56.951918453641063</v>
      </c>
      <c r="AC29" s="69">
        <v>0</v>
      </c>
      <c r="AD29" s="431">
        <v>8.3493726010776257</v>
      </c>
      <c r="AE29" s="431">
        <v>4.7271090613174938</v>
      </c>
      <c r="AF29" s="69">
        <v>12.300569882326656</v>
      </c>
      <c r="AG29" s="68">
        <v>7.6923164614272883</v>
      </c>
      <c r="AH29" s="68">
        <v>4.4541293650348699</v>
      </c>
      <c r="AI29" s="68">
        <v>0.63329772110528537</v>
      </c>
      <c r="AJ29" s="69">
        <v>326.77340618769324</v>
      </c>
      <c r="AK29" s="69">
        <v>1118.3295759201046</v>
      </c>
      <c r="AL29" s="69">
        <v>3008.7082111358641</v>
      </c>
      <c r="AM29" s="69">
        <v>462.86874389648437</v>
      </c>
      <c r="AN29" s="69">
        <v>1602.466552734375</v>
      </c>
      <c r="AO29" s="69">
        <v>2692.9136768341064</v>
      </c>
      <c r="AP29" s="69">
        <v>1063.7946385065716</v>
      </c>
      <c r="AQ29" s="69">
        <v>1848.8749149322509</v>
      </c>
      <c r="AR29" s="69">
        <v>374.43181206385293</v>
      </c>
      <c r="AS29" s="69">
        <v>541.6634033838908</v>
      </c>
    </row>
    <row r="30" spans="1:45" x14ac:dyDescent="0.25">
      <c r="A30" s="11">
        <v>43092</v>
      </c>
      <c r="B30" s="59"/>
      <c r="C30" s="60">
        <v>55.338829523325145</v>
      </c>
      <c r="D30" s="60">
        <v>732.92463057835801</v>
      </c>
      <c r="E30" s="60">
        <v>15.676622792581696</v>
      </c>
      <c r="F30" s="60">
        <v>0</v>
      </c>
      <c r="G30" s="60">
        <v>1780.676910781855</v>
      </c>
      <c r="H30" s="61">
        <v>28.138293127218969</v>
      </c>
      <c r="I30" s="59">
        <v>108.97714285055794</v>
      </c>
      <c r="J30" s="60">
        <v>309.93341622352568</v>
      </c>
      <c r="K30" s="60">
        <v>17.042329117655754</v>
      </c>
      <c r="L30" s="50">
        <v>0</v>
      </c>
      <c r="M30" s="60">
        <v>0</v>
      </c>
      <c r="N30" s="61">
        <v>0</v>
      </c>
      <c r="O30" s="366">
        <v>0</v>
      </c>
      <c r="P30" s="60">
        <v>0</v>
      </c>
      <c r="Q30" s="367">
        <v>0</v>
      </c>
      <c r="R30" s="367">
        <v>0</v>
      </c>
      <c r="S30" s="60">
        <v>0</v>
      </c>
      <c r="T30" s="64">
        <v>0</v>
      </c>
      <c r="U30" s="65">
        <v>268.43681163973633</v>
      </c>
      <c r="V30" s="62">
        <v>150.99855397356612</v>
      </c>
      <c r="W30" s="62">
        <v>30.990716445606274</v>
      </c>
      <c r="X30" s="62">
        <v>17.432606732685002</v>
      </c>
      <c r="Y30" s="66">
        <v>104.6054918035301</v>
      </c>
      <c r="Z30" s="66">
        <v>58.84169873551209</v>
      </c>
      <c r="AA30" s="67">
        <v>0</v>
      </c>
      <c r="AB30" s="68">
        <v>56.186092792616314</v>
      </c>
      <c r="AC30" s="69">
        <v>0</v>
      </c>
      <c r="AD30" s="431">
        <v>8.3502599112019098</v>
      </c>
      <c r="AE30" s="431">
        <v>4.4892963625424143</v>
      </c>
      <c r="AF30" s="69">
        <v>12.329853846629485</v>
      </c>
      <c r="AG30" s="68">
        <v>7.7943128007545841</v>
      </c>
      <c r="AH30" s="68">
        <v>4.3843836280961828</v>
      </c>
      <c r="AI30" s="68">
        <v>0.63999565522383983</v>
      </c>
      <c r="AJ30" s="69">
        <v>322.77957582473755</v>
      </c>
      <c r="AK30" s="69">
        <v>1106.8313414891559</v>
      </c>
      <c r="AL30" s="69">
        <v>2980.27688293457</v>
      </c>
      <c r="AM30" s="69">
        <v>462.86874389648437</v>
      </c>
      <c r="AN30" s="69">
        <v>1602.466552734375</v>
      </c>
      <c r="AO30" s="69">
        <v>2609.500203323365</v>
      </c>
      <c r="AP30" s="69">
        <v>1037.2790859222412</v>
      </c>
      <c r="AQ30" s="69">
        <v>1833.5829008738197</v>
      </c>
      <c r="AR30" s="69">
        <v>340.44041670163472</v>
      </c>
      <c r="AS30" s="69">
        <v>515.34210259119675</v>
      </c>
    </row>
    <row r="31" spans="1:45" x14ac:dyDescent="0.25">
      <c r="A31" s="11">
        <v>43093</v>
      </c>
      <c r="B31" s="59"/>
      <c r="C31" s="60">
        <v>55.68680005868287</v>
      </c>
      <c r="D31" s="60">
        <v>757.98026949564724</v>
      </c>
      <c r="E31" s="60">
        <v>15.570550999542055</v>
      </c>
      <c r="F31" s="60">
        <v>0</v>
      </c>
      <c r="G31" s="60">
        <v>1936.1129536946578</v>
      </c>
      <c r="H31" s="61">
        <v>28.309513874848733</v>
      </c>
      <c r="I31" s="59">
        <v>109.23910890420292</v>
      </c>
      <c r="J31" s="60">
        <v>315.1246262311937</v>
      </c>
      <c r="K31" s="60">
        <v>17.234826203684015</v>
      </c>
      <c r="L31" s="50">
        <v>0</v>
      </c>
      <c r="M31" s="60">
        <v>0</v>
      </c>
      <c r="N31" s="61">
        <v>0</v>
      </c>
      <c r="O31" s="366">
        <v>0</v>
      </c>
      <c r="P31" s="60">
        <v>0</v>
      </c>
      <c r="Q31" s="367">
        <v>0</v>
      </c>
      <c r="R31" s="367">
        <v>0</v>
      </c>
      <c r="S31" s="60">
        <v>0</v>
      </c>
      <c r="T31" s="64">
        <v>0</v>
      </c>
      <c r="U31" s="65">
        <v>264.32448809791617</v>
      </c>
      <c r="V31" s="62">
        <v>148.59117602392237</v>
      </c>
      <c r="W31" s="62">
        <v>31.531911993277255</v>
      </c>
      <c r="X31" s="62">
        <v>17.725803307441751</v>
      </c>
      <c r="Y31" s="66">
        <v>103.77584321780687</v>
      </c>
      <c r="Z31" s="66">
        <v>58.338047668500067</v>
      </c>
      <c r="AA31" s="67">
        <v>0</v>
      </c>
      <c r="AB31" s="68">
        <v>56.663174234496623</v>
      </c>
      <c r="AC31" s="69">
        <v>0</v>
      </c>
      <c r="AD31" s="431">
        <v>8.4286992463844257</v>
      </c>
      <c r="AE31" s="431">
        <v>4.5013077716296479</v>
      </c>
      <c r="AF31" s="69">
        <v>12.351589369773878</v>
      </c>
      <c r="AG31" s="68">
        <v>7.8146789822691938</v>
      </c>
      <c r="AH31" s="68">
        <v>4.3930562339523274</v>
      </c>
      <c r="AI31" s="68">
        <v>0.64014158595814918</v>
      </c>
      <c r="AJ31" s="69">
        <v>333.90283781687413</v>
      </c>
      <c r="AK31" s="69">
        <v>1156.7203296025596</v>
      </c>
      <c r="AL31" s="69">
        <v>2887.9095245361332</v>
      </c>
      <c r="AM31" s="69">
        <v>462.86874389648437</v>
      </c>
      <c r="AN31" s="69">
        <v>1602.466552734375</v>
      </c>
      <c r="AO31" s="69">
        <v>2675.0662741343176</v>
      </c>
      <c r="AP31" s="69">
        <v>1099.976520093282</v>
      </c>
      <c r="AQ31" s="69">
        <v>1818.1192799886071</v>
      </c>
      <c r="AR31" s="69">
        <v>349.23867510159806</v>
      </c>
      <c r="AS31" s="69">
        <v>526.14696200688684</v>
      </c>
    </row>
    <row r="32" spans="1:45" x14ac:dyDescent="0.25">
      <c r="A32" s="11">
        <v>43094</v>
      </c>
      <c r="B32" s="59"/>
      <c r="C32" s="60">
        <v>55.22371559540435</v>
      </c>
      <c r="D32" s="60">
        <v>758.69924952189115</v>
      </c>
      <c r="E32" s="60">
        <v>15.529379458725449</v>
      </c>
      <c r="F32" s="60">
        <v>0</v>
      </c>
      <c r="G32" s="60">
        <v>2035.5447650909348</v>
      </c>
      <c r="H32" s="61">
        <v>28.279942971468039</v>
      </c>
      <c r="I32" s="59">
        <v>109.71266388098408</v>
      </c>
      <c r="J32" s="60">
        <v>312.90551335016863</v>
      </c>
      <c r="K32" s="60">
        <v>17.206426662703343</v>
      </c>
      <c r="L32" s="50">
        <v>0</v>
      </c>
      <c r="M32" s="60">
        <v>0</v>
      </c>
      <c r="N32" s="61">
        <v>0</v>
      </c>
      <c r="O32" s="366">
        <v>0</v>
      </c>
      <c r="P32" s="60">
        <v>0</v>
      </c>
      <c r="Q32" s="367">
        <v>0</v>
      </c>
      <c r="R32" s="367">
        <v>0</v>
      </c>
      <c r="S32" s="60">
        <v>0</v>
      </c>
      <c r="T32" s="64">
        <v>0</v>
      </c>
      <c r="U32" s="65">
        <v>267.05656008055388</v>
      </c>
      <c r="V32" s="62">
        <v>150.08728280732481</v>
      </c>
      <c r="W32" s="62">
        <v>31.89313079133662</v>
      </c>
      <c r="X32" s="62">
        <v>17.92411816899941</v>
      </c>
      <c r="Y32" s="66">
        <v>105.33914500624186</v>
      </c>
      <c r="Z32" s="66">
        <v>59.201189599928711</v>
      </c>
      <c r="AA32" s="67">
        <v>0</v>
      </c>
      <c r="AB32" s="68">
        <v>56.762131169106937</v>
      </c>
      <c r="AC32" s="69">
        <v>0</v>
      </c>
      <c r="AD32" s="431">
        <v>8.4329173180753916</v>
      </c>
      <c r="AE32" s="431">
        <v>4.5010205453074814</v>
      </c>
      <c r="AF32" s="69">
        <v>12.48500895566411</v>
      </c>
      <c r="AG32" s="68">
        <v>7.9054239309957515</v>
      </c>
      <c r="AH32" s="68">
        <v>4.4428925351440931</v>
      </c>
      <c r="AI32" s="68">
        <v>0.64020256953027643</v>
      </c>
      <c r="AJ32" s="69">
        <v>333.9054602622985</v>
      </c>
      <c r="AK32" s="69">
        <v>1143.5798858642577</v>
      </c>
      <c r="AL32" s="69">
        <v>2882.2136358896892</v>
      </c>
      <c r="AM32" s="69">
        <v>462.86874389648437</v>
      </c>
      <c r="AN32" s="69">
        <v>1602.466552734375</v>
      </c>
      <c r="AO32" s="69">
        <v>2670.5442404429118</v>
      </c>
      <c r="AP32" s="69">
        <v>1085.1249888102216</v>
      </c>
      <c r="AQ32" s="69">
        <v>1816.1621198018388</v>
      </c>
      <c r="AR32" s="69">
        <v>343.3184330622355</v>
      </c>
      <c r="AS32" s="69">
        <v>532.16558373769135</v>
      </c>
    </row>
    <row r="33" spans="1:45" x14ac:dyDescent="0.25">
      <c r="A33" s="11">
        <v>43095</v>
      </c>
      <c r="B33" s="59"/>
      <c r="C33" s="60">
        <v>55.722400621573229</v>
      </c>
      <c r="D33" s="60">
        <v>753.70519472757985</v>
      </c>
      <c r="E33" s="60">
        <v>15.436238718032845</v>
      </c>
      <c r="F33" s="60">
        <v>0</v>
      </c>
      <c r="G33" s="60">
        <v>1992.5212958017905</v>
      </c>
      <c r="H33" s="61">
        <v>28.33719528317453</v>
      </c>
      <c r="I33" s="59">
        <v>109.11172184149409</v>
      </c>
      <c r="J33" s="60">
        <v>310.80998001098646</v>
      </c>
      <c r="K33" s="60">
        <v>17.131610202292602</v>
      </c>
      <c r="L33" s="50">
        <v>0</v>
      </c>
      <c r="M33" s="60">
        <v>0</v>
      </c>
      <c r="N33" s="61">
        <v>0</v>
      </c>
      <c r="O33" s="59">
        <v>2.635687698558423E-2</v>
      </c>
      <c r="P33" s="60">
        <v>0</v>
      </c>
      <c r="Q33" s="60">
        <v>1.4823930366481396E-2</v>
      </c>
      <c r="R33" s="63">
        <v>4.5687633377326786E-3</v>
      </c>
      <c r="S33" s="60">
        <v>0</v>
      </c>
      <c r="T33" s="64">
        <v>0</v>
      </c>
      <c r="U33" s="65">
        <v>265.53424983300533</v>
      </c>
      <c r="V33" s="62">
        <v>149.34475095790998</v>
      </c>
      <c r="W33" s="62">
        <v>31.425590214562519</v>
      </c>
      <c r="X33" s="62">
        <v>17.67473291016416</v>
      </c>
      <c r="Y33" s="66">
        <v>102.98479751952662</v>
      </c>
      <c r="Z33" s="66">
        <v>57.921864873089369</v>
      </c>
      <c r="AA33" s="67">
        <v>0</v>
      </c>
      <c r="AB33" s="68">
        <v>56.407412150170501</v>
      </c>
      <c r="AC33" s="69">
        <v>0</v>
      </c>
      <c r="AD33" s="431">
        <v>8.3749991491107583</v>
      </c>
      <c r="AE33" s="431">
        <v>4.5009298703351188</v>
      </c>
      <c r="AF33" s="69">
        <v>12.473896412716979</v>
      </c>
      <c r="AG33" s="68">
        <v>7.8973121404423301</v>
      </c>
      <c r="AH33" s="68">
        <v>4.4416948683379953</v>
      </c>
      <c r="AI33" s="68">
        <v>0.64002817526748101</v>
      </c>
      <c r="AJ33" s="69">
        <v>346.05164367357884</v>
      </c>
      <c r="AK33" s="69">
        <v>1191.7473708470663</v>
      </c>
      <c r="AL33" s="69">
        <v>2972.9036519368487</v>
      </c>
      <c r="AM33" s="69">
        <v>462.86874389648437</v>
      </c>
      <c r="AN33" s="69">
        <v>1602.466552734375</v>
      </c>
      <c r="AO33" s="69">
        <v>2746.7372333526619</v>
      </c>
      <c r="AP33" s="69">
        <v>1118.2739980697634</v>
      </c>
      <c r="AQ33" s="69">
        <v>1802.2203978220623</v>
      </c>
      <c r="AR33" s="69">
        <v>344.62047475179031</v>
      </c>
      <c r="AS33" s="69">
        <v>557.83360055287676</v>
      </c>
    </row>
    <row r="34" spans="1:45" x14ac:dyDescent="0.25">
      <c r="A34" s="11">
        <v>43096</v>
      </c>
      <c r="B34" s="59"/>
      <c r="C34" s="60">
        <v>54.768593404690485</v>
      </c>
      <c r="D34" s="60">
        <v>746.41443357467529</v>
      </c>
      <c r="E34" s="60">
        <v>15.67070318957167</v>
      </c>
      <c r="F34" s="60">
        <v>0</v>
      </c>
      <c r="G34" s="60">
        <v>1808.8929584503128</v>
      </c>
      <c r="H34" s="61">
        <v>28.145142016808261</v>
      </c>
      <c r="I34" s="59">
        <v>108.6983087539673</v>
      </c>
      <c r="J34" s="60">
        <v>308.19830208619453</v>
      </c>
      <c r="K34" s="60">
        <v>16.977503997584179</v>
      </c>
      <c r="L34" s="50">
        <v>0</v>
      </c>
      <c r="M34" s="60">
        <v>0</v>
      </c>
      <c r="N34" s="61">
        <v>0</v>
      </c>
      <c r="O34" s="59">
        <v>2.6395566874711635E-2</v>
      </c>
      <c r="P34" s="60">
        <v>0</v>
      </c>
      <c r="Q34" s="60">
        <v>1.4795545786649803E-2</v>
      </c>
      <c r="R34" s="63">
        <v>4.5613503894068935E-3</v>
      </c>
      <c r="S34" s="60">
        <v>0</v>
      </c>
      <c r="T34" s="64">
        <v>0</v>
      </c>
      <c r="U34" s="65">
        <v>265.10003593400336</v>
      </c>
      <c r="V34" s="62">
        <v>148.59691168299278</v>
      </c>
      <c r="W34" s="62">
        <v>31.160063964907337</v>
      </c>
      <c r="X34" s="62">
        <v>17.466196323649129</v>
      </c>
      <c r="Y34" s="66">
        <v>105.97462606922312</v>
      </c>
      <c r="Z34" s="66">
        <v>59.402112471108353</v>
      </c>
      <c r="AA34" s="67">
        <v>0</v>
      </c>
      <c r="AB34" s="68">
        <v>56.091663691731405</v>
      </c>
      <c r="AC34" s="69">
        <v>0</v>
      </c>
      <c r="AD34" s="431">
        <v>8.3513758222195218</v>
      </c>
      <c r="AE34" s="431">
        <v>4.4730624291601657</v>
      </c>
      <c r="AF34" s="69">
        <v>12.537024910913571</v>
      </c>
      <c r="AG34" s="68">
        <v>7.8633844547265106</v>
      </c>
      <c r="AH34" s="68">
        <v>4.407674413289425</v>
      </c>
      <c r="AI34" s="68">
        <v>0.64080732879720215</v>
      </c>
      <c r="AJ34" s="69">
        <v>326.31396867434182</v>
      </c>
      <c r="AK34" s="69">
        <v>1102.8882153511047</v>
      </c>
      <c r="AL34" s="69">
        <v>2896.9028494517006</v>
      </c>
      <c r="AM34" s="69">
        <v>433.30617637634282</v>
      </c>
      <c r="AN34" s="69">
        <v>3172.1168385823571</v>
      </c>
      <c r="AO34" s="69">
        <v>2650.775995635986</v>
      </c>
      <c r="AP34" s="69">
        <v>1072.4275219599408</v>
      </c>
      <c r="AQ34" s="69">
        <v>1864.0408548355101</v>
      </c>
      <c r="AR34" s="69">
        <v>344.73632126649221</v>
      </c>
      <c r="AS34" s="69">
        <v>556.11849600474045</v>
      </c>
    </row>
    <row r="35" spans="1:45" x14ac:dyDescent="0.25">
      <c r="A35" s="11">
        <v>43097</v>
      </c>
      <c r="B35" s="59"/>
      <c r="C35" s="60">
        <v>55.224646417299937</v>
      </c>
      <c r="D35" s="60">
        <v>746.80591510136765</v>
      </c>
      <c r="E35" s="60">
        <v>15.95038928339873</v>
      </c>
      <c r="F35" s="60">
        <v>0</v>
      </c>
      <c r="G35" s="60">
        <v>2016.7494127909354</v>
      </c>
      <c r="H35" s="61">
        <v>27.981732712189395</v>
      </c>
      <c r="I35" s="59">
        <v>108.71290471553817</v>
      </c>
      <c r="J35" s="60">
        <v>310.43025636672996</v>
      </c>
      <c r="K35" s="60">
        <v>16.895646062990032</v>
      </c>
      <c r="L35" s="50">
        <v>0</v>
      </c>
      <c r="M35" s="60">
        <v>0</v>
      </c>
      <c r="N35" s="61">
        <v>0</v>
      </c>
      <c r="O35" s="59">
        <v>2.6390639728482771E-2</v>
      </c>
      <c r="P35" s="60">
        <v>0</v>
      </c>
      <c r="Q35" s="60">
        <v>1.4842473059717833E-2</v>
      </c>
      <c r="R35" s="63">
        <v>4.5787559077706099E-3</v>
      </c>
      <c r="S35" s="60">
        <v>0</v>
      </c>
      <c r="T35" s="64">
        <v>0</v>
      </c>
      <c r="U35" s="65">
        <v>264.32539216706175</v>
      </c>
      <c r="V35" s="62">
        <v>148.66037930883147</v>
      </c>
      <c r="W35" s="62">
        <v>30.176665341877946</v>
      </c>
      <c r="X35" s="62">
        <v>16.971787989115729</v>
      </c>
      <c r="Y35" s="66">
        <v>104.21355980548802</v>
      </c>
      <c r="Z35" s="66">
        <v>58.611195855204677</v>
      </c>
      <c r="AA35" s="67">
        <v>0</v>
      </c>
      <c r="AB35" s="68">
        <v>56.070117039149608</v>
      </c>
      <c r="AC35" s="69">
        <v>0</v>
      </c>
      <c r="AD35" s="431">
        <v>8.3658947323315545</v>
      </c>
      <c r="AE35" s="431">
        <v>4.4597159411989331</v>
      </c>
      <c r="AF35" s="69">
        <v>12.503929937548085</v>
      </c>
      <c r="AG35" s="68">
        <v>7.9132470243898716</v>
      </c>
      <c r="AH35" s="68">
        <v>4.4505232530470158</v>
      </c>
      <c r="AI35" s="68">
        <v>0.64003510634867222</v>
      </c>
      <c r="AJ35" s="69">
        <v>308.52187751134238</v>
      </c>
      <c r="AK35" s="69">
        <v>1054.6561422983807</v>
      </c>
      <c r="AL35" s="69">
        <v>2921.1464752197271</v>
      </c>
      <c r="AM35" s="69">
        <v>538.05674098332724</v>
      </c>
      <c r="AN35" s="69">
        <v>4344.0604537963864</v>
      </c>
      <c r="AO35" s="69">
        <v>2577.3562259674068</v>
      </c>
      <c r="AP35" s="69">
        <v>848.84776968955998</v>
      </c>
      <c r="AQ35" s="69">
        <v>1828.4021807352699</v>
      </c>
      <c r="AR35" s="69">
        <v>337.0168647289276</v>
      </c>
      <c r="AS35" s="69">
        <v>554.32202978134148</v>
      </c>
    </row>
    <row r="36" spans="1:45" x14ac:dyDescent="0.25">
      <c r="A36" s="11">
        <v>43098</v>
      </c>
      <c r="B36" s="59"/>
      <c r="C36" s="60">
        <v>55.097905782858511</v>
      </c>
      <c r="D36" s="60">
        <v>746.99903637568104</v>
      </c>
      <c r="E36" s="60">
        <v>16.026894833147523</v>
      </c>
      <c r="F36" s="60">
        <v>0</v>
      </c>
      <c r="G36" s="60">
        <v>2034.3772766113243</v>
      </c>
      <c r="H36" s="61">
        <v>28.001994087298758</v>
      </c>
      <c r="I36" s="59">
        <v>108.36113169987996</v>
      </c>
      <c r="J36" s="60">
        <v>310.1134121259056</v>
      </c>
      <c r="K36" s="60">
        <v>16.929956234991572</v>
      </c>
      <c r="L36" s="50">
        <v>0</v>
      </c>
      <c r="M36" s="60">
        <v>0</v>
      </c>
      <c r="N36" s="61">
        <v>0</v>
      </c>
      <c r="O36" s="59">
        <v>2.6403744386560714E-2</v>
      </c>
      <c r="P36" s="60">
        <v>0</v>
      </c>
      <c r="Q36" s="60">
        <v>1.4849919105642498E-2</v>
      </c>
      <c r="R36" s="63">
        <v>4.5824207427435414E-3</v>
      </c>
      <c r="S36" s="60">
        <v>0</v>
      </c>
      <c r="T36" s="64">
        <v>0</v>
      </c>
      <c r="U36" s="65">
        <v>263.49870735858786</v>
      </c>
      <c r="V36" s="62">
        <v>148.19619639660073</v>
      </c>
      <c r="W36" s="62">
        <v>31.043635802002786</v>
      </c>
      <c r="X36" s="62">
        <v>17.459473688868595</v>
      </c>
      <c r="Y36" s="66">
        <v>114.53517447059619</v>
      </c>
      <c r="Z36" s="66">
        <v>64.416548302320166</v>
      </c>
      <c r="AA36" s="67">
        <v>0</v>
      </c>
      <c r="AB36" s="68">
        <v>56.07117563353529</v>
      </c>
      <c r="AC36" s="69">
        <v>0</v>
      </c>
      <c r="AD36" s="431">
        <v>8.3579805689807429</v>
      </c>
      <c r="AE36" s="431">
        <v>4.4605798516828497</v>
      </c>
      <c r="AF36" s="69">
        <v>12.474788229333027</v>
      </c>
      <c r="AG36" s="68">
        <v>7.8968726935634699</v>
      </c>
      <c r="AH36" s="68">
        <v>4.4413367653514735</v>
      </c>
      <c r="AI36" s="68">
        <v>0.64003393035750444</v>
      </c>
      <c r="AJ36" s="69">
        <v>303.04054457346604</v>
      </c>
      <c r="AK36" s="69">
        <v>1041.0594043095905</v>
      </c>
      <c r="AL36" s="69">
        <v>2951.6349980672198</v>
      </c>
      <c r="AM36" s="69">
        <v>571.84717028935756</v>
      </c>
      <c r="AN36" s="69">
        <v>4429.6380017598467</v>
      </c>
      <c r="AO36" s="69">
        <v>2556.3989178975417</v>
      </c>
      <c r="AP36" s="69">
        <v>549.85570462544752</v>
      </c>
      <c r="AQ36" s="69">
        <v>1832.1574172973633</v>
      </c>
      <c r="AR36" s="69">
        <v>340.99086674054467</v>
      </c>
      <c r="AS36" s="69">
        <v>561.35053758621223</v>
      </c>
    </row>
    <row r="37" spans="1:45" x14ac:dyDescent="0.25">
      <c r="A37" s="11">
        <v>43099</v>
      </c>
      <c r="B37" s="59"/>
      <c r="C37" s="60">
        <v>55.418446811040184</v>
      </c>
      <c r="D37" s="60">
        <v>746.86973988214902</v>
      </c>
      <c r="E37" s="60">
        <v>15.943724055091492</v>
      </c>
      <c r="F37" s="60">
        <v>0</v>
      </c>
      <c r="G37" s="60">
        <v>2035.3163351694668</v>
      </c>
      <c r="H37" s="61">
        <v>28.018598993619321</v>
      </c>
      <c r="I37" s="59">
        <v>109.05538835922879</v>
      </c>
      <c r="J37" s="60">
        <v>312.04525642395026</v>
      </c>
      <c r="K37" s="60">
        <v>17.030090274910151</v>
      </c>
      <c r="L37" s="60">
        <v>0</v>
      </c>
      <c r="M37" s="60">
        <v>0</v>
      </c>
      <c r="N37" s="61">
        <v>0</v>
      </c>
      <c r="O37" s="59">
        <v>2.6387881973856303E-2</v>
      </c>
      <c r="P37" s="60">
        <v>0</v>
      </c>
      <c r="Q37" s="60">
        <v>1.483258883608019E-2</v>
      </c>
      <c r="R37" s="63">
        <v>4.5722959731291047E-3</v>
      </c>
      <c r="S37" s="60">
        <v>0</v>
      </c>
      <c r="T37" s="64">
        <v>0</v>
      </c>
      <c r="U37" s="65">
        <v>266.91103310312388</v>
      </c>
      <c r="V37" s="62">
        <v>150.03029094015093</v>
      </c>
      <c r="W37" s="62">
        <v>32.150296644339363</v>
      </c>
      <c r="X37" s="62">
        <v>18.071633470088798</v>
      </c>
      <c r="Y37" s="66">
        <v>115.50098562542792</v>
      </c>
      <c r="Z37" s="66">
        <v>64.922930595237091</v>
      </c>
      <c r="AA37" s="67">
        <v>0</v>
      </c>
      <c r="AB37" s="68">
        <v>56.405094181166426</v>
      </c>
      <c r="AC37" s="69">
        <v>0</v>
      </c>
      <c r="AD37" s="431">
        <v>8.4089824744690063</v>
      </c>
      <c r="AE37" s="431">
        <v>4.4602699548791191</v>
      </c>
      <c r="AF37" s="69">
        <v>12.483182754781501</v>
      </c>
      <c r="AG37" s="68">
        <v>7.8995560278401733</v>
      </c>
      <c r="AH37" s="68">
        <v>4.4403285820597</v>
      </c>
      <c r="AI37" s="68">
        <v>0.6401644972840852</v>
      </c>
      <c r="AJ37" s="69">
        <v>321.23124629656473</v>
      </c>
      <c r="AK37" s="69">
        <v>1093.5554791768391</v>
      </c>
      <c r="AL37" s="69">
        <v>2919.3996480305982</v>
      </c>
      <c r="AM37" s="69">
        <v>638.30741284688315</v>
      </c>
      <c r="AN37" s="69">
        <v>4545.139910125733</v>
      </c>
      <c r="AO37" s="69">
        <v>2586.6118657430006</v>
      </c>
      <c r="AP37" s="69">
        <v>587.95179759661369</v>
      </c>
      <c r="AQ37" s="69">
        <v>1820.7828459421794</v>
      </c>
      <c r="AR37" s="69">
        <v>340.01260479291284</v>
      </c>
      <c r="AS37" s="69">
        <v>507.87266572316486</v>
      </c>
    </row>
    <row r="38" spans="1:45" ht="15.75" thickBot="1" x14ac:dyDescent="0.3">
      <c r="A38" s="11">
        <v>43100</v>
      </c>
      <c r="B38" s="73"/>
      <c r="C38" s="74">
        <v>54.714479355017509</v>
      </c>
      <c r="D38" s="74">
        <v>733.14591121673527</v>
      </c>
      <c r="E38" s="74">
        <v>15.831572478016209</v>
      </c>
      <c r="F38" s="74">
        <v>0</v>
      </c>
      <c r="G38" s="74">
        <v>1941.6611887613894</v>
      </c>
      <c r="H38" s="75">
        <v>28.054162557919859</v>
      </c>
      <c r="I38" s="76">
        <v>108.20972873369857</v>
      </c>
      <c r="J38" s="74">
        <v>310.91528221766134</v>
      </c>
      <c r="K38" s="74">
        <v>16.913770553966362</v>
      </c>
      <c r="L38" s="74">
        <v>0</v>
      </c>
      <c r="M38" s="74">
        <v>0</v>
      </c>
      <c r="N38" s="75">
        <v>0</v>
      </c>
      <c r="O38" s="76">
        <v>2.6365769211883175E-2</v>
      </c>
      <c r="P38" s="74">
        <v>0</v>
      </c>
      <c r="Q38" s="74">
        <v>1.4826601655845708E-2</v>
      </c>
      <c r="R38" s="77">
        <v>4.5701800198603496E-3</v>
      </c>
      <c r="S38" s="74">
        <v>0</v>
      </c>
      <c r="T38" s="78">
        <v>0</v>
      </c>
      <c r="U38" s="79">
        <v>268.62098521894376</v>
      </c>
      <c r="V38" s="80">
        <v>151.05708891842454</v>
      </c>
      <c r="W38" s="81">
        <v>32.080523129670674</v>
      </c>
      <c r="X38" s="81">
        <v>18.040252629549538</v>
      </c>
      <c r="Y38" s="80">
        <v>114.98609831800245</v>
      </c>
      <c r="Z38" s="80">
        <v>64.66160960525086</v>
      </c>
      <c r="AA38" s="82">
        <v>0</v>
      </c>
      <c r="AB38" s="83">
        <v>56.305134704378425</v>
      </c>
      <c r="AC38" s="84">
        <v>0</v>
      </c>
      <c r="AD38" s="431">
        <v>8.3790305586270257</v>
      </c>
      <c r="AE38" s="431">
        <v>4.4582586355046603</v>
      </c>
      <c r="AF38" s="85">
        <v>12.503261264165237</v>
      </c>
      <c r="AG38" s="83">
        <v>7.9144437174783793</v>
      </c>
      <c r="AH38" s="83">
        <v>4.4506307926633522</v>
      </c>
      <c r="AI38" s="83">
        <v>0.64006437737087785</v>
      </c>
      <c r="AJ38" s="84">
        <v>330.83580951690669</v>
      </c>
      <c r="AK38" s="84">
        <v>1122.1155475616454</v>
      </c>
      <c r="AL38" s="84">
        <v>2920.3112538655605</v>
      </c>
      <c r="AM38" s="84">
        <v>665.72971448898318</v>
      </c>
      <c r="AN38" s="84">
        <v>4405.291270701091</v>
      </c>
      <c r="AO38" s="84">
        <v>2631.0172908782961</v>
      </c>
      <c r="AP38" s="84">
        <v>610.20417984326684</v>
      </c>
      <c r="AQ38" s="84">
        <v>1826.5906921386718</v>
      </c>
      <c r="AR38" s="84">
        <v>340.22987631162005</v>
      </c>
      <c r="AS38" s="84">
        <v>502.71271120707195</v>
      </c>
    </row>
    <row r="39" spans="1:45" ht="15.75" thickTop="1" x14ac:dyDescent="0.25">
      <c r="A39" s="420" t="s">
        <v>173</v>
      </c>
      <c r="B39" s="29">
        <f>SUM(B8:B38)</f>
        <v>0</v>
      </c>
      <c r="C39" s="30">
        <f t="shared" ref="C39:AC39" si="0">SUM(C8:C38)</f>
        <v>1155.6029400328821</v>
      </c>
      <c r="D39" s="30">
        <f t="shared" si="0"/>
        <v>14536.295891300822</v>
      </c>
      <c r="E39" s="30">
        <f t="shared" si="0"/>
        <v>325.77873834222538</v>
      </c>
      <c r="F39" s="30">
        <f t="shared" si="0"/>
        <v>0</v>
      </c>
      <c r="G39" s="30">
        <f t="shared" si="0"/>
        <v>38100.260573387066</v>
      </c>
      <c r="H39" s="31">
        <f t="shared" si="0"/>
        <v>583.75735821823389</v>
      </c>
      <c r="I39" s="29">
        <f t="shared" si="0"/>
        <v>3851.2143331249554</v>
      </c>
      <c r="J39" s="30">
        <f t="shared" si="0"/>
        <v>11571.160517644877</v>
      </c>
      <c r="K39" s="30">
        <f t="shared" si="0"/>
        <v>622.43220218916747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0.15830047916107881</v>
      </c>
      <c r="P39" s="262">
        <f t="shared" si="0"/>
        <v>0</v>
      </c>
      <c r="Q39" s="262">
        <f t="shared" si="0"/>
        <v>8.8971058810417419E-2</v>
      </c>
      <c r="R39" s="262">
        <f t="shared" si="0"/>
        <v>2.7433766370643178E-2</v>
      </c>
      <c r="S39" s="262">
        <f t="shared" si="0"/>
        <v>0</v>
      </c>
      <c r="T39" s="263">
        <f t="shared" si="0"/>
        <v>0</v>
      </c>
      <c r="U39" s="261">
        <f t="shared" si="0"/>
        <v>9761.3146872235866</v>
      </c>
      <c r="V39" s="262">
        <f t="shared" si="0"/>
        <v>2933.4061022145606</v>
      </c>
      <c r="W39" s="262">
        <f t="shared" si="0"/>
        <v>1127.0164776927475</v>
      </c>
      <c r="X39" s="262">
        <f t="shared" si="0"/>
        <v>343.12515831433001</v>
      </c>
      <c r="Y39" s="262">
        <f t="shared" si="0"/>
        <v>4154.8665595288348</v>
      </c>
      <c r="Z39" s="262">
        <f t="shared" si="0"/>
        <v>1220.6617390436859</v>
      </c>
      <c r="AA39" s="270">
        <f t="shared" si="0"/>
        <v>0</v>
      </c>
      <c r="AB39" s="273">
        <f t="shared" si="0"/>
        <v>1773.5792001962591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9561.788078180949</v>
      </c>
      <c r="AK39" s="273">
        <f t="shared" si="1"/>
        <v>27999.37205316226</v>
      </c>
      <c r="AL39" s="273">
        <f t="shared" si="1"/>
        <v>71758.90038407642</v>
      </c>
      <c r="AM39" s="273">
        <f t="shared" si="1"/>
        <v>15083.427612400055</v>
      </c>
      <c r="AN39" s="273">
        <f t="shared" si="1"/>
        <v>62560.376846059167</v>
      </c>
      <c r="AO39" s="273">
        <f t="shared" si="1"/>
        <v>74204.478014500943</v>
      </c>
      <c r="AP39" s="273">
        <f t="shared" si="1"/>
        <v>21035.384489377338</v>
      </c>
      <c r="AQ39" s="273">
        <f t="shared" si="1"/>
        <v>56192.290811856583</v>
      </c>
      <c r="AR39" s="273">
        <f t="shared" si="1"/>
        <v>10871.406016055742</v>
      </c>
      <c r="AS39" s="273">
        <f t="shared" si="1"/>
        <v>16989.175154972076</v>
      </c>
    </row>
    <row r="40" spans="1:45" ht="15.75" thickBot="1" x14ac:dyDescent="0.3">
      <c r="A40" s="421" t="s">
        <v>174</v>
      </c>
      <c r="B40" s="32">
        <f>Projection!$AD$30</f>
        <v>0.82128400199999985</v>
      </c>
      <c r="C40" s="33">
        <f>Projection!$AD$28</f>
        <v>1.16246256</v>
      </c>
      <c r="D40" s="33">
        <f>Projection!$AD$31</f>
        <v>2.504502</v>
      </c>
      <c r="E40" s="33">
        <f>Projection!$AD$26</f>
        <v>3.9898560000000005</v>
      </c>
      <c r="F40" s="33">
        <f>Projection!$AC$23</f>
        <v>0</v>
      </c>
      <c r="G40" s="33">
        <f>Projection!$AD$24</f>
        <v>5.5265000000000002E-2</v>
      </c>
      <c r="H40" s="34">
        <f>Projection!$AD$29</f>
        <v>3.1332129000000002</v>
      </c>
      <c r="I40" s="32">
        <f>Projection!$AD$30</f>
        <v>0.82128400199999985</v>
      </c>
      <c r="J40" s="33">
        <f>Projection!$AD$28</f>
        <v>1.16246256</v>
      </c>
      <c r="K40" s="33">
        <f>Projection!$AD$26</f>
        <v>3.9898560000000005</v>
      </c>
      <c r="L40" s="33">
        <f>Projection!$AD$25</f>
        <v>0</v>
      </c>
      <c r="M40" s="33">
        <f>Projection!$AC$23</f>
        <v>0</v>
      </c>
      <c r="N40" s="34">
        <f>Projection!$AC$23</f>
        <v>0</v>
      </c>
      <c r="O40" s="264">
        <v>15.77</v>
      </c>
      <c r="P40" s="265">
        <v>15.77</v>
      </c>
      <c r="Q40" s="265">
        <v>15.77</v>
      </c>
      <c r="R40" s="265">
        <v>15.77</v>
      </c>
      <c r="S40" s="265">
        <f>Projection!$AD$28</f>
        <v>1.16246256</v>
      </c>
      <c r="T40" s="266">
        <f>Projection!$AD$28</f>
        <v>1.16246256</v>
      </c>
      <c r="U40" s="264">
        <f>Projection!$AD$27</f>
        <v>0.23211500000000002</v>
      </c>
      <c r="V40" s="265">
        <f>Projection!$AD$27</f>
        <v>0.23211500000000002</v>
      </c>
      <c r="W40" s="265">
        <f>Projection!$AD$22</f>
        <v>0.74349432000000004</v>
      </c>
      <c r="X40" s="265">
        <f>Projection!$AD$22</f>
        <v>0.74349432000000004</v>
      </c>
      <c r="Y40" s="265">
        <f>Projection!$AD$31</f>
        <v>2.504502</v>
      </c>
      <c r="Z40" s="265">
        <f>Projection!$AD$31</f>
        <v>2.504502</v>
      </c>
      <c r="AA40" s="271">
        <v>0</v>
      </c>
      <c r="AB40" s="274">
        <f>Projection!$AD$27</f>
        <v>0.23211500000000002</v>
      </c>
      <c r="AC40" s="274">
        <f>Projection!$AD$30</f>
        <v>0.82128400199999985</v>
      </c>
      <c r="AD40" s="403">
        <f>SUM(AD8:AD38)</f>
        <v>300.43161030166806</v>
      </c>
      <c r="AE40" s="403">
        <f>SUM(AE8:AE38)</f>
        <v>93.865272791648252</v>
      </c>
      <c r="AF40" s="277">
        <f>SUM(AF8:AF38)</f>
        <v>380.75122608509332</v>
      </c>
      <c r="AG40" s="277">
        <f>SUM(AG8:AG38)</f>
        <v>288.96964250216769</v>
      </c>
      <c r="AH40" s="277">
        <f>SUM(AH8:AH38)</f>
        <v>86.710327822159314</v>
      </c>
      <c r="AI40" s="277">
        <f>IF(SUM(AG40:AH40)&gt;0, AG40/(AG40+AH40),0)</f>
        <v>0.76919097457524366</v>
      </c>
      <c r="AJ40" s="313">
        <v>6.5000000000000002E-2</v>
      </c>
      <c r="AK40" s="313">
        <f t="shared" ref="AK40:AS40" si="2">$AJ$40</f>
        <v>6.5000000000000002E-2</v>
      </c>
      <c r="AL40" s="313">
        <f t="shared" si="2"/>
        <v>6.5000000000000002E-2</v>
      </c>
      <c r="AM40" s="313">
        <f t="shared" si="2"/>
        <v>6.5000000000000002E-2</v>
      </c>
      <c r="AN40" s="313">
        <f t="shared" si="2"/>
        <v>6.5000000000000002E-2</v>
      </c>
      <c r="AO40" s="313">
        <f t="shared" si="2"/>
        <v>6.5000000000000002E-2</v>
      </c>
      <c r="AP40" s="313">
        <f t="shared" si="2"/>
        <v>6.5000000000000002E-2</v>
      </c>
      <c r="AQ40" s="313">
        <f t="shared" si="2"/>
        <v>6.5000000000000002E-2</v>
      </c>
      <c r="AR40" s="313">
        <f t="shared" si="2"/>
        <v>6.5000000000000002E-2</v>
      </c>
      <c r="AS40" s="313">
        <f t="shared" si="2"/>
        <v>6.5000000000000002E-2</v>
      </c>
    </row>
    <row r="41" spans="1:45" ht="16.5" thickTop="1" thickBot="1" x14ac:dyDescent="0.3">
      <c r="A41" s="422" t="s">
        <v>26</v>
      </c>
      <c r="B41" s="35">
        <f t="shared" ref="B41:AC41" si="3">B40*B39</f>
        <v>0</v>
      </c>
      <c r="C41" s="36">
        <f t="shared" si="3"/>
        <v>1343.3451520141507</v>
      </c>
      <c r="D41" s="36">
        <f t="shared" si="3"/>
        <v>36406.18213235469</v>
      </c>
      <c r="E41" s="36">
        <f t="shared" si="3"/>
        <v>1299.8102538471583</v>
      </c>
      <c r="F41" s="36">
        <f t="shared" si="3"/>
        <v>0</v>
      </c>
      <c r="G41" s="36">
        <f t="shared" si="3"/>
        <v>2105.6109005882363</v>
      </c>
      <c r="H41" s="37">
        <f t="shared" si="3"/>
        <v>1829.0360852392917</v>
      </c>
      <c r="I41" s="35">
        <f t="shared" si="3"/>
        <v>3162.9407200686237</v>
      </c>
      <c r="J41" s="36">
        <f t="shared" si="3"/>
        <v>13451.040877512391</v>
      </c>
      <c r="K41" s="36">
        <f t="shared" si="3"/>
        <v>2483.4148564976631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2.4963985563702127</v>
      </c>
      <c r="P41" s="268">
        <f t="shared" si="3"/>
        <v>0</v>
      </c>
      <c r="Q41" s="268">
        <f t="shared" si="3"/>
        <v>1.4030735974402826</v>
      </c>
      <c r="R41" s="268">
        <f t="shared" si="3"/>
        <v>0.43263049566504291</v>
      </c>
      <c r="S41" s="268">
        <f t="shared" si="3"/>
        <v>0</v>
      </c>
      <c r="T41" s="269">
        <f t="shared" si="3"/>
        <v>0</v>
      </c>
      <c r="U41" s="267">
        <f t="shared" si="3"/>
        <v>2265.7475586249029</v>
      </c>
      <c r="V41" s="268">
        <f t="shared" si="3"/>
        <v>680.8875574155328</v>
      </c>
      <c r="W41" s="268">
        <f t="shared" si="3"/>
        <v>837.93034971096449</v>
      </c>
      <c r="X41" s="268">
        <f t="shared" si="3"/>
        <v>255.11160625580516</v>
      </c>
      <c r="Y41" s="268">
        <f t="shared" si="3"/>
        <v>10405.871608073086</v>
      </c>
      <c r="Z41" s="268">
        <f t="shared" si="3"/>
        <v>3057.1497667583894</v>
      </c>
      <c r="AA41" s="272">
        <f t="shared" si="3"/>
        <v>0</v>
      </c>
      <c r="AB41" s="275">
        <f t="shared" si="3"/>
        <v>411.67433605355473</v>
      </c>
      <c r="AC41" s="275">
        <f t="shared" si="3"/>
        <v>0</v>
      </c>
      <c r="AJ41" s="278">
        <f t="shared" ref="AJ41:AS41" si="4">AJ40*AJ39</f>
        <v>621.51622508176172</v>
      </c>
      <c r="AK41" s="278">
        <f t="shared" si="4"/>
        <v>1819.959183455547</v>
      </c>
      <c r="AL41" s="278">
        <f t="shared" si="4"/>
        <v>4664.3285249649671</v>
      </c>
      <c r="AM41" s="278">
        <f t="shared" si="4"/>
        <v>980.42279480600359</v>
      </c>
      <c r="AN41" s="278">
        <f t="shared" si="4"/>
        <v>4066.4244949938461</v>
      </c>
      <c r="AO41" s="278">
        <f t="shared" si="4"/>
        <v>4823.2910709425614</v>
      </c>
      <c r="AP41" s="278">
        <f t="shared" si="4"/>
        <v>1367.299991809527</v>
      </c>
      <c r="AQ41" s="278">
        <f t="shared" si="4"/>
        <v>3652.4989027706779</v>
      </c>
      <c r="AR41" s="278">
        <f t="shared" si="4"/>
        <v>706.64139104362323</v>
      </c>
      <c r="AS41" s="278">
        <f t="shared" si="4"/>
        <v>1104.2963850731849</v>
      </c>
    </row>
    <row r="42" spans="1:45" ht="49.5" customHeight="1" thickTop="1" thickBot="1" x14ac:dyDescent="0.3">
      <c r="A42" s="620" t="s">
        <v>235</v>
      </c>
      <c r="B42" s="621"/>
      <c r="C42" s="621"/>
      <c r="D42" s="621"/>
      <c r="E42" s="621"/>
      <c r="F42" s="621"/>
      <c r="G42" s="621"/>
      <c r="H42" s="621"/>
      <c r="I42" s="621"/>
      <c r="J42" s="621"/>
      <c r="K42" s="614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186</v>
      </c>
      <c r="AJ42" s="295">
        <v>1143.1600000000001</v>
      </c>
      <c r="AK42" s="278" t="s">
        <v>199</v>
      </c>
      <c r="AL42" s="278">
        <v>2562.5700000000002</v>
      </c>
      <c r="AM42" s="278">
        <v>803.85</v>
      </c>
      <c r="AN42" s="278">
        <v>1164.78</v>
      </c>
      <c r="AO42" s="278">
        <v>6525.92</v>
      </c>
      <c r="AP42" s="278">
        <v>1990.74</v>
      </c>
      <c r="AQ42" s="278" t="s">
        <v>199</v>
      </c>
      <c r="AR42" s="278">
        <v>201.04</v>
      </c>
      <c r="AS42" s="278">
        <v>457.86</v>
      </c>
    </row>
    <row r="43" spans="1:45" ht="38.25" customHeight="1" thickTop="1" thickBot="1" x14ac:dyDescent="0.3">
      <c r="A43" s="617" t="s">
        <v>49</v>
      </c>
      <c r="B43" s="613"/>
      <c r="C43" s="289"/>
      <c r="D43" s="613" t="s">
        <v>47</v>
      </c>
      <c r="E43" s="613"/>
      <c r="F43" s="289"/>
      <c r="G43" s="613" t="s">
        <v>48</v>
      </c>
      <c r="H43" s="613"/>
      <c r="I43" s="290"/>
      <c r="J43" s="613" t="s">
        <v>50</v>
      </c>
      <c r="K43" s="614"/>
      <c r="L43" s="44"/>
      <c r="M43" s="44"/>
      <c r="N43" s="44"/>
      <c r="O43" s="45"/>
      <c r="P43" s="45"/>
      <c r="Q43" s="45"/>
      <c r="R43" s="602" t="s">
        <v>168</v>
      </c>
      <c r="S43" s="603"/>
      <c r="T43" s="603"/>
      <c r="U43" s="604"/>
      <c r="AC43" s="45"/>
      <c r="AD43" s="45"/>
      <c r="AE43" s="45"/>
    </row>
    <row r="44" spans="1:45" ht="24.75" thickTop="1" thickBot="1" x14ac:dyDescent="0.3">
      <c r="A44" s="423" t="s">
        <v>135</v>
      </c>
      <c r="B44" s="283">
        <f>SUM(B41:AC41)</f>
        <v>80000.085863663902</v>
      </c>
      <c r="C44" s="12"/>
      <c r="D44" s="282" t="s">
        <v>135</v>
      </c>
      <c r="E44" s="283">
        <f>SUM(B41:H41)+P41+R41+T41+V41+X41+Z41</f>
        <v>46977.566084968923</v>
      </c>
      <c r="F44" s="12"/>
      <c r="G44" s="282" t="s">
        <v>135</v>
      </c>
      <c r="H44" s="283">
        <f>SUM(I41:N41)+O41+Q41+S41+U41+W41+Y41</f>
        <v>32610.845442641439</v>
      </c>
      <c r="I44" s="12"/>
      <c r="J44" s="282" t="s">
        <v>200</v>
      </c>
      <c r="K44" s="283">
        <v>195595.58999999997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5" ht="24" thickBot="1" x14ac:dyDescent="0.4">
      <c r="A45" s="424" t="s">
        <v>185</v>
      </c>
      <c r="B45" s="285">
        <f>SUM(AJ41:AS41)</f>
        <v>23806.678964941697</v>
      </c>
      <c r="C45" s="12"/>
      <c r="D45" s="284" t="s">
        <v>185</v>
      </c>
      <c r="E45" s="285">
        <f>AJ41*(1-$AI$40)+AK41+AL41*0.5+AN41+AO41*(1-$AI$40)+AP41*(1-$AI$40)+AQ41*(1-$AI$40)+AR41*0.5+AS41*0.5</f>
        <v>11539.342385297583</v>
      </c>
      <c r="F45" s="24"/>
      <c r="G45" s="284" t="s">
        <v>185</v>
      </c>
      <c r="H45" s="285">
        <f>AJ41*AI40+AL41*0.5+AM41+AO41*AI40+AP41*AI40+AQ41*AI40+AR41*0.5+AS41*0.5</f>
        <v>12267.336579644118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1470.1416360070775</v>
      </c>
      <c r="U45" s="256">
        <f>(T45*8.34*0.895)/27000</f>
        <v>0.40642882272768993</v>
      </c>
    </row>
    <row r="46" spans="1:45" ht="32.25" thickBot="1" x14ac:dyDescent="0.3">
      <c r="A46" s="425" t="s">
        <v>186</v>
      </c>
      <c r="B46" s="287">
        <f>SUM(AJ42:AS42)</f>
        <v>14849.920000000002</v>
      </c>
      <c r="C46" s="12"/>
      <c r="D46" s="286" t="s">
        <v>186</v>
      </c>
      <c r="E46" s="287">
        <f>AJ42*(1-$AI$40)+AL42*0.5+AN42+AO42*(1-$AI$40)+AP42*(1-$AI$40)+AR42*0.5+AS42*0.5</f>
        <v>5005.0886399785704</v>
      </c>
      <c r="F46" s="23"/>
      <c r="G46" s="286" t="s">
        <v>186</v>
      </c>
      <c r="H46" s="287">
        <f>AJ42*AI40+AL42*0.5+AM42+AO42*AI40+AP42*AI40+AR42*0.5+AS42*0.5</f>
        <v>9844.8313600214315</v>
      </c>
      <c r="I46" s="12"/>
      <c r="J46" s="615" t="s">
        <v>201</v>
      </c>
      <c r="K46" s="616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425" t="s">
        <v>187</v>
      </c>
      <c r="B47" s="287">
        <f>K44</f>
        <v>195595.58999999997</v>
      </c>
      <c r="C47" s="12"/>
      <c r="D47" s="286" t="s">
        <v>189</v>
      </c>
      <c r="E47" s="287">
        <f>K44*0.5</f>
        <v>97797.794999999984</v>
      </c>
      <c r="F47" s="24"/>
      <c r="G47" s="286" t="s">
        <v>187</v>
      </c>
      <c r="H47" s="287">
        <f>K44*0.5</f>
        <v>97797.794999999984</v>
      </c>
      <c r="I47" s="12"/>
      <c r="J47" s="282" t="s">
        <v>200</v>
      </c>
      <c r="K47" s="283">
        <v>169024.86000000002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38100.260573387066</v>
      </c>
      <c r="U47" s="256">
        <f>T47/40000</f>
        <v>0.9525065143346767</v>
      </c>
    </row>
    <row r="48" spans="1:45" ht="24" thickBot="1" x14ac:dyDescent="0.3">
      <c r="A48" s="425" t="s">
        <v>188</v>
      </c>
      <c r="B48" s="287">
        <f>K47</f>
        <v>169024.86000000002</v>
      </c>
      <c r="C48" s="12"/>
      <c r="D48" s="286" t="s">
        <v>188</v>
      </c>
      <c r="E48" s="287">
        <f>K47*0.5</f>
        <v>84512.430000000008</v>
      </c>
      <c r="F48" s="23"/>
      <c r="G48" s="286" t="s">
        <v>188</v>
      </c>
      <c r="H48" s="287">
        <f>K47*0.5</f>
        <v>84512.430000000008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426" t="s">
        <v>196</v>
      </c>
      <c r="B49" s="292">
        <f>AF40</f>
        <v>380.75122608509332</v>
      </c>
      <c r="C49" s="12"/>
      <c r="D49" s="291" t="s">
        <v>197</v>
      </c>
      <c r="E49" s="292">
        <f>AH40</f>
        <v>86.710327822159314</v>
      </c>
      <c r="F49" s="23"/>
      <c r="G49" s="291" t="s">
        <v>198</v>
      </c>
      <c r="H49" s="292">
        <f>AG40</f>
        <v>288.96964250216769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948.21094053139291</v>
      </c>
      <c r="U49" s="256">
        <f>(T49*8.34*1.04)/45000</f>
        <v>0.18276449808429088</v>
      </c>
    </row>
    <row r="50" spans="1:25" ht="48" customHeight="1" thickTop="1" thickBot="1" x14ac:dyDescent="0.3">
      <c r="A50" s="426" t="s">
        <v>238</v>
      </c>
      <c r="B50" s="292">
        <f>SUM(E50+H50)</f>
        <v>394.2968830933163</v>
      </c>
      <c r="C50" s="12"/>
      <c r="D50" s="291" t="s">
        <v>239</v>
      </c>
      <c r="E50" s="292">
        <f>AE40</f>
        <v>93.865272791648252</v>
      </c>
      <c r="F50" s="23"/>
      <c r="G50" s="291" t="s">
        <v>243</v>
      </c>
      <c r="H50" s="292">
        <f>AD40</f>
        <v>300.43161030166806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426" t="s">
        <v>192</v>
      </c>
      <c r="B51" s="293">
        <f>(SUM(B44:B48)/B50)</f>
        <v>1225.668159071475</v>
      </c>
      <c r="C51" s="12"/>
      <c r="D51" s="291" t="s">
        <v>190</v>
      </c>
      <c r="E51" s="293">
        <f>SUM(E44:E48)/E50</f>
        <v>2618.9901206159197</v>
      </c>
      <c r="F51" s="23"/>
      <c r="G51" s="291" t="s">
        <v>191</v>
      </c>
      <c r="H51" s="293">
        <f>SUM(H44:H48)/H50</f>
        <v>788.97569448267518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14468.299989634404</v>
      </c>
      <c r="U51" s="256">
        <f>T51/2000/8</f>
        <v>0.90426874935215029</v>
      </c>
    </row>
    <row r="52" spans="1:25" ht="48" thickTop="1" thickBot="1" x14ac:dyDescent="0.3">
      <c r="A52" s="427" t="s">
        <v>193</v>
      </c>
      <c r="B52" s="294">
        <f>B51/1000</f>
        <v>1.2256681590714751</v>
      </c>
      <c r="C52" s="12"/>
      <c r="D52" s="281" t="s">
        <v>194</v>
      </c>
      <c r="E52" s="294">
        <f>E51/1000</f>
        <v>2.6189901206159196</v>
      </c>
      <c r="F52" s="374">
        <f>E44/E50</f>
        <v>500.47866146668031</v>
      </c>
      <c r="G52" s="281" t="s">
        <v>195</v>
      </c>
      <c r="H52" s="294">
        <f>H51/1000</f>
        <v>0.78897569448267513</v>
      </c>
      <c r="I52" s="374">
        <f>H44/H50</f>
        <v>108.54665196480617</v>
      </c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12726.76345767776</v>
      </c>
      <c r="U52" s="256">
        <f>(T52*8.34*1.4)/45000</f>
        <v>3.3021708918187889</v>
      </c>
    </row>
    <row r="53" spans="1:25" ht="16.5" thickTop="1" thickBot="1" x14ac:dyDescent="0.3">
      <c r="A53" s="428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583.75735821823389</v>
      </c>
      <c r="U53" s="256">
        <f>(T53*8.34*1.135)/45000</f>
        <v>0.12279530615906623</v>
      </c>
    </row>
    <row r="54" spans="1:25" ht="33" thickTop="1" thickBot="1" x14ac:dyDescent="0.3">
      <c r="A54" s="605" t="s">
        <v>51</v>
      </c>
      <c r="B54" s="606"/>
      <c r="C54" s="606"/>
      <c r="D54" s="606"/>
      <c r="E54" s="60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3851.2143331249554</v>
      </c>
      <c r="U54" s="256">
        <f>(T54*8.34*1.029*0.03)/3300</f>
        <v>0.30045983851701569</v>
      </c>
    </row>
    <row r="55" spans="1:25" ht="54.75" customHeight="1" thickBot="1" x14ac:dyDescent="0.3">
      <c r="A55" s="610" t="s">
        <v>202</v>
      </c>
      <c r="B55" s="611"/>
      <c r="C55" s="611"/>
      <c r="D55" s="611"/>
      <c r="E55" s="61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18" t="s">
        <v>158</v>
      </c>
      <c r="S55" s="655"/>
      <c r="T55" s="327">
        <f>$D$39+$Y$39+$Z$39</f>
        <v>19911.824189873347</v>
      </c>
      <c r="U55" s="328">
        <f>(T55*1.54*8.34)/45000</f>
        <v>5.6831001147790516</v>
      </c>
      <c r="V55" s="326"/>
      <c r="W55" s="12"/>
      <c r="X55" s="12"/>
      <c r="Y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30"/>
      <c r="T56" s="601"/>
      <c r="U56" s="601"/>
      <c r="V56" s="324"/>
      <c r="W56" s="325"/>
      <c r="X56" s="323"/>
      <c r="Y56" s="323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3"/>
      <c r="T57" s="653"/>
      <c r="U57" s="653"/>
      <c r="V57" s="324"/>
      <c r="W57" s="325"/>
      <c r="X57" s="323"/>
      <c r="Y57" s="323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3"/>
      <c r="T58" s="653"/>
      <c r="U58" s="653"/>
      <c r="V58" s="324"/>
      <c r="W58" s="325"/>
      <c r="X58" s="323"/>
      <c r="Y58" s="323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3"/>
      <c r="T59" s="653"/>
      <c r="U59" s="653"/>
      <c r="V59" s="324"/>
      <c r="W59" s="325"/>
      <c r="X59" s="323"/>
      <c r="Y59" s="323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3"/>
      <c r="T60" s="653"/>
      <c r="U60" s="653"/>
      <c r="V60" s="324"/>
      <c r="W60" s="325"/>
      <c r="X60" s="323"/>
      <c r="Y60" s="323"/>
    </row>
    <row r="61" spans="1:25" x14ac:dyDescent="0.25">
      <c r="S61" s="323"/>
      <c r="T61" s="653"/>
      <c r="U61" s="653"/>
      <c r="V61" s="324"/>
      <c r="W61" s="325"/>
      <c r="X61" s="323"/>
      <c r="Y61" s="323"/>
    </row>
    <row r="62" spans="1:25" x14ac:dyDescent="0.25">
      <c r="S62" s="323"/>
      <c r="T62" s="653"/>
      <c r="U62" s="653"/>
      <c r="V62" s="324"/>
      <c r="W62" s="325"/>
      <c r="X62" s="323"/>
      <c r="Y62" s="323"/>
    </row>
    <row r="63" spans="1:25" x14ac:dyDescent="0.25">
      <c r="S63" s="323"/>
      <c r="T63" s="653"/>
      <c r="U63" s="653"/>
      <c r="V63" s="324"/>
      <c r="W63" s="325"/>
      <c r="X63" s="323"/>
      <c r="Y63" s="323"/>
    </row>
    <row r="64" spans="1:25" x14ac:dyDescent="0.25">
      <c r="S64" s="323"/>
      <c r="T64" s="323"/>
      <c r="U64" s="323"/>
      <c r="V64" s="323"/>
      <c r="W64" s="323"/>
      <c r="X64" s="323"/>
      <c r="Y64" s="323"/>
    </row>
    <row r="65" spans="19:25" x14ac:dyDescent="0.25">
      <c r="S65" s="323"/>
      <c r="T65" s="323"/>
      <c r="U65" s="323"/>
      <c r="V65" s="323"/>
      <c r="W65" s="323"/>
      <c r="X65" s="323"/>
      <c r="Y65" s="323"/>
    </row>
    <row r="66" spans="19:25" x14ac:dyDescent="0.25">
      <c r="S66" s="323"/>
      <c r="T66" s="323"/>
      <c r="U66" s="323"/>
      <c r="V66" s="323"/>
      <c r="W66" s="323"/>
      <c r="X66" s="323"/>
      <c r="Y66" s="323"/>
    </row>
  </sheetData>
  <sheetProtection algorithmName="SHA-512" hashValue="nn+EfzkhA1z7JVfElazTORqmBeHP3dj+EjpC/IxBfk6MLXBc76tKABYtOR5p0YAZq2pQCGJ1/BLlVRqamXP+zg==" saltValue="vi0hukC0APp2vIEHFVm/jA==" spinCount="100000" sheet="1" objects="1" scenarios="1" selectLockedCells="1" selectUnlockedCells="1"/>
  <mergeCells count="40">
    <mergeCell ref="AQ4:AQ5"/>
    <mergeCell ref="AR4:AR5"/>
    <mergeCell ref="AS4:AS5"/>
    <mergeCell ref="U4:AA5"/>
    <mergeCell ref="AB4:AB5"/>
    <mergeCell ref="AC4:AC5"/>
    <mergeCell ref="AI4:AI5"/>
    <mergeCell ref="AO4:AO5"/>
    <mergeCell ref="AJ4:AJ5"/>
    <mergeCell ref="AK4:AK5"/>
    <mergeCell ref="AL4:AL5"/>
    <mergeCell ref="AM4:AM5"/>
    <mergeCell ref="AP4:AP5"/>
    <mergeCell ref="AN4:AN5"/>
    <mergeCell ref="AD4:AD5"/>
    <mergeCell ref="AE4:AE5"/>
    <mergeCell ref="T62:U62"/>
    <mergeCell ref="T63:U63"/>
    <mergeCell ref="T57:U57"/>
    <mergeCell ref="T58:U58"/>
    <mergeCell ref="T59:U59"/>
    <mergeCell ref="T60:U60"/>
    <mergeCell ref="T61:U61"/>
    <mergeCell ref="T56:U56"/>
    <mergeCell ref="AF4:AF5"/>
    <mergeCell ref="AG4:AG5"/>
    <mergeCell ref="AH4:AH5"/>
    <mergeCell ref="O4:T5"/>
    <mergeCell ref="J46:K46"/>
    <mergeCell ref="A54:E54"/>
    <mergeCell ref="A55:E55"/>
    <mergeCell ref="R55:S55"/>
    <mergeCell ref="A43:B43"/>
    <mergeCell ref="D43:E43"/>
    <mergeCell ref="G43:H43"/>
    <mergeCell ref="B4:H5"/>
    <mergeCell ref="I4:N5"/>
    <mergeCell ref="A42:K42"/>
    <mergeCell ref="J43:K43"/>
    <mergeCell ref="R43:U43"/>
  </mergeCells>
  <pageMargins left="0.33" right="0.19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59"/>
  <sheetViews>
    <sheetView tabSelected="1" zoomScale="80" zoomScaleNormal="80" workbookViewId="0">
      <selection activeCell="L44" sqref="L44"/>
    </sheetView>
  </sheetViews>
  <sheetFormatPr defaultRowHeight="15" x14ac:dyDescent="0.25"/>
  <cols>
    <col min="1" max="1" width="10.140625" customWidth="1"/>
    <col min="2" max="2" width="25.5703125" bestFit="1" customWidth="1"/>
    <col min="3" max="5" width="9.85546875" bestFit="1" customWidth="1"/>
    <col min="6" max="10" width="8.7109375" customWidth="1"/>
    <col min="11" max="11" width="9.28515625" bestFit="1" customWidth="1"/>
    <col min="12" max="25" width="8.7109375" customWidth="1"/>
    <col min="26" max="26" width="9.28515625" bestFit="1" customWidth="1"/>
    <col min="27" max="37" width="8.7109375" customWidth="1"/>
  </cols>
  <sheetData>
    <row r="1" spans="1:37" ht="28.5" customHeight="1" thickTop="1" thickBot="1" x14ac:dyDescent="0.3">
      <c r="A1" s="444">
        <v>2016</v>
      </c>
      <c r="B1" s="445"/>
      <c r="C1" s="448" t="s">
        <v>89</v>
      </c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50"/>
      <c r="W1" s="450"/>
      <c r="X1" s="450"/>
      <c r="Y1" s="450"/>
      <c r="Z1" s="450"/>
      <c r="AA1" s="450"/>
      <c r="AB1" s="450"/>
      <c r="AC1" s="449"/>
      <c r="AD1" s="449"/>
      <c r="AE1" s="449"/>
      <c r="AF1" s="449"/>
      <c r="AG1" s="449"/>
      <c r="AH1" s="449"/>
      <c r="AI1" s="449"/>
      <c r="AJ1" s="449"/>
      <c r="AK1" s="451"/>
    </row>
    <row r="2" spans="1:37" ht="28.5" customHeight="1" thickTop="1" thickBot="1" x14ac:dyDescent="0.3">
      <c r="A2" s="452"/>
      <c r="B2" s="453"/>
      <c r="C2" s="459" t="s">
        <v>66</v>
      </c>
      <c r="D2" s="460"/>
      <c r="E2" s="460"/>
      <c r="F2" s="460"/>
      <c r="G2" s="460"/>
      <c r="H2" s="460"/>
      <c r="I2" s="461"/>
      <c r="J2" s="462" t="s">
        <v>71</v>
      </c>
      <c r="K2" s="463"/>
      <c r="L2" s="463"/>
      <c r="M2" s="463"/>
      <c r="N2" s="463"/>
      <c r="O2" s="464"/>
      <c r="P2" s="465" t="s">
        <v>73</v>
      </c>
      <c r="Q2" s="466"/>
      <c r="R2" s="466"/>
      <c r="S2" s="466"/>
      <c r="T2" s="466"/>
      <c r="U2" s="467"/>
      <c r="V2" s="468" t="s">
        <v>82</v>
      </c>
      <c r="W2" s="469"/>
      <c r="X2" s="469"/>
      <c r="Y2" s="469"/>
      <c r="Z2" s="469"/>
      <c r="AA2" s="469"/>
      <c r="AB2" s="470"/>
      <c r="AC2" s="471" t="s">
        <v>83</v>
      </c>
      <c r="AD2" s="472"/>
      <c r="AE2" s="473" t="s">
        <v>244</v>
      </c>
      <c r="AF2" s="474"/>
      <c r="AG2" s="475"/>
      <c r="AH2" s="456" t="s">
        <v>85</v>
      </c>
      <c r="AI2" s="457"/>
      <c r="AJ2" s="457"/>
      <c r="AK2" s="458"/>
    </row>
    <row r="3" spans="1:37" ht="119.25" customHeight="1" thickBot="1" x14ac:dyDescent="0.3">
      <c r="A3" s="454"/>
      <c r="B3" s="455"/>
      <c r="C3" s="228" t="s">
        <v>67</v>
      </c>
      <c r="D3" s="228" t="s">
        <v>68</v>
      </c>
      <c r="E3" s="228" t="s">
        <v>11</v>
      </c>
      <c r="F3" s="228" t="s">
        <v>12</v>
      </c>
      <c r="G3" s="228" t="s">
        <v>13</v>
      </c>
      <c r="H3" s="228" t="s">
        <v>69</v>
      </c>
      <c r="I3" s="229" t="s">
        <v>70</v>
      </c>
      <c r="J3" s="230" t="s">
        <v>67</v>
      </c>
      <c r="K3" s="230" t="s">
        <v>72</v>
      </c>
      <c r="L3" s="231" t="s">
        <v>17</v>
      </c>
      <c r="M3" s="230" t="s">
        <v>18</v>
      </c>
      <c r="N3" s="230" t="s">
        <v>19</v>
      </c>
      <c r="O3" s="230" t="s">
        <v>13</v>
      </c>
      <c r="P3" s="232" t="s">
        <v>35</v>
      </c>
      <c r="Q3" s="233" t="s">
        <v>36</v>
      </c>
      <c r="R3" s="232" t="s">
        <v>74</v>
      </c>
      <c r="S3" s="232" t="s">
        <v>75</v>
      </c>
      <c r="T3" s="232" t="s">
        <v>76</v>
      </c>
      <c r="U3" s="232" t="s">
        <v>77</v>
      </c>
      <c r="V3" s="234" t="s">
        <v>78</v>
      </c>
      <c r="W3" s="234" t="s">
        <v>79</v>
      </c>
      <c r="X3" s="234" t="s">
        <v>80</v>
      </c>
      <c r="Y3" s="234" t="s">
        <v>81</v>
      </c>
      <c r="Z3" s="234" t="s">
        <v>45</v>
      </c>
      <c r="AA3" s="234" t="s">
        <v>46</v>
      </c>
      <c r="AB3" s="234" t="s">
        <v>20</v>
      </c>
      <c r="AC3" s="235" t="s">
        <v>7</v>
      </c>
      <c r="AD3" s="236" t="s">
        <v>84</v>
      </c>
      <c r="AE3" s="405" t="s">
        <v>245</v>
      </c>
      <c r="AF3" s="405" t="s">
        <v>246</v>
      </c>
      <c r="AG3" s="405" t="s">
        <v>247</v>
      </c>
      <c r="AH3" s="237" t="s">
        <v>27</v>
      </c>
      <c r="AI3" s="237" t="s">
        <v>31</v>
      </c>
      <c r="AJ3" s="237" t="s">
        <v>32</v>
      </c>
      <c r="AK3" s="238" t="s">
        <v>33</v>
      </c>
    </row>
    <row r="4" spans="1:37" ht="15.75" customHeight="1" thickTop="1" x14ac:dyDescent="0.25">
      <c r="A4" s="441" t="s">
        <v>86</v>
      </c>
      <c r="B4" s="89" t="s">
        <v>52</v>
      </c>
      <c r="C4" s="101">
        <f>JANUARY!B39</f>
        <v>0</v>
      </c>
      <c r="D4" s="101">
        <f>JANUARY!C39</f>
        <v>1693.1992608646581</v>
      </c>
      <c r="E4" s="101">
        <f>JANUARY!D39</f>
        <v>19744.476912424951</v>
      </c>
      <c r="F4" s="101">
        <f>JANUARY!E39</f>
        <v>464.87670106540088</v>
      </c>
      <c r="G4" s="101">
        <f>JANUARY!F39</f>
        <v>0</v>
      </c>
      <c r="H4" s="101">
        <f>JANUARY!G39</f>
        <v>45502.192017682333</v>
      </c>
      <c r="I4" s="101">
        <f>JANUARY!H39</f>
        <v>694.91906274755843</v>
      </c>
      <c r="J4" s="101">
        <f>JANUARY!I39</f>
        <v>4757.175520312785</v>
      </c>
      <c r="K4" s="101">
        <f>JANUARY!J39</f>
        <v>10969.919757620502</v>
      </c>
      <c r="L4" s="239">
        <f>JANUARY!K39</f>
        <v>602.4277651280164</v>
      </c>
      <c r="M4" s="101">
        <f>JANUARY!L39</f>
        <v>2.3569146156310641</v>
      </c>
      <c r="N4" s="101">
        <f>JANUARY!M39</f>
        <v>0</v>
      </c>
      <c r="O4" s="101">
        <f>JANUARY!N39</f>
        <v>0</v>
      </c>
      <c r="P4" s="101">
        <f>JANUARY!O39</f>
        <v>0</v>
      </c>
      <c r="Q4" s="101">
        <f>JANUARY!P39</f>
        <v>0</v>
      </c>
      <c r="R4" s="101">
        <f>JANUARY!Q39</f>
        <v>0</v>
      </c>
      <c r="S4" s="101">
        <f>JANUARY!R39</f>
        <v>0</v>
      </c>
      <c r="T4" s="101">
        <f>JANUARY!S39</f>
        <v>0</v>
      </c>
      <c r="U4" s="101">
        <f>JANUARY!T39</f>
        <v>0</v>
      </c>
      <c r="V4" s="101">
        <f>JANUARY!U39</f>
        <v>6029.0724557760232</v>
      </c>
      <c r="W4" s="101">
        <f>JANUARY!V39</f>
        <v>3448.0627515061728</v>
      </c>
      <c r="X4" s="101">
        <f>JANUARY!W39</f>
        <v>797.73957218723194</v>
      </c>
      <c r="Y4" s="101">
        <f>JANUARY!X39</f>
        <v>453.89461789531845</v>
      </c>
      <c r="Z4" s="101">
        <f>JANUARY!Y39</f>
        <v>4241.1857920483008</v>
      </c>
      <c r="AA4" s="101">
        <f>JANUARY!Z39</f>
        <v>2428.4749541049027</v>
      </c>
      <c r="AB4" s="101">
        <f>JANUARY!AA39</f>
        <v>0</v>
      </c>
      <c r="AC4" s="102">
        <f>JANUARY!AB39</f>
        <v>1570.7254091766142</v>
      </c>
      <c r="AD4" s="102">
        <f>JANUARY!AC39</f>
        <v>0</v>
      </c>
      <c r="AE4" s="240">
        <f>JANUARY!AD40</f>
        <v>253.28465042026997</v>
      </c>
      <c r="AF4" s="240">
        <f>JANUARY!AE40</f>
        <v>138.00390753504826</v>
      </c>
      <c r="AG4" s="240">
        <f>SUM(AE4+AF4)</f>
        <v>391.2885579553182</v>
      </c>
      <c r="AH4" s="240">
        <f>JANUARY!AF40</f>
        <v>376.94667254189659</v>
      </c>
      <c r="AI4" s="240">
        <f>JANUARY!AG40</f>
        <v>236.7007836164407</v>
      </c>
      <c r="AJ4" s="240">
        <f>JANUARY!AH40</f>
        <v>135.38221328429069</v>
      </c>
      <c r="AK4" s="241">
        <f>JANUARY!AI40</f>
        <v>0.63615049757189124</v>
      </c>
    </row>
    <row r="5" spans="1:37" ht="15.75" customHeight="1" x14ac:dyDescent="0.25">
      <c r="A5" s="442"/>
      <c r="B5" s="90" t="s">
        <v>53</v>
      </c>
      <c r="C5" s="103">
        <f>FEBRUARY!B39</f>
        <v>0</v>
      </c>
      <c r="D5" s="103">
        <f>FEBRUARY!C39</f>
        <v>1555.3814654568803</v>
      </c>
      <c r="E5" s="103">
        <f>FEBRUARY!D39</f>
        <v>17366.856366380063</v>
      </c>
      <c r="F5" s="103">
        <f>FEBRUARY!E39</f>
        <v>426.40045595169056</v>
      </c>
      <c r="G5" s="103">
        <f>FEBRUARY!F39</f>
        <v>0</v>
      </c>
      <c r="H5" s="103">
        <f>FEBRUARY!G39</f>
        <v>50940.735868326694</v>
      </c>
      <c r="I5" s="103">
        <f>FEBRUARY!H39</f>
        <v>637.24255212148012</v>
      </c>
      <c r="J5" s="103">
        <f>FEBRUARY!I39</f>
        <v>1884.072899115085</v>
      </c>
      <c r="K5" s="103">
        <f>FEBRUARY!J39</f>
        <v>10601.127713584883</v>
      </c>
      <c r="L5" s="104">
        <f>FEBRUARY!K39</f>
        <v>579.02962438861516</v>
      </c>
      <c r="M5" s="103">
        <f>FEBRUARY!L39</f>
        <v>6.607428789138714E-2</v>
      </c>
      <c r="N5" s="103">
        <f>FEBRUARY!M39</f>
        <v>0</v>
      </c>
      <c r="O5" s="103">
        <f>FEBRUARY!N39</f>
        <v>0</v>
      </c>
      <c r="P5" s="103">
        <f>FEBRUARY!O39</f>
        <v>0</v>
      </c>
      <c r="Q5" s="103">
        <f>FEBRUARY!P39</f>
        <v>0</v>
      </c>
      <c r="R5" s="103">
        <f>FEBRUARY!Q39</f>
        <v>0</v>
      </c>
      <c r="S5" s="103">
        <f>FEBRUARY!R39</f>
        <v>0</v>
      </c>
      <c r="T5" s="103">
        <f>FEBRUARY!S39</f>
        <v>0</v>
      </c>
      <c r="U5" s="103">
        <f>FEBRUARY!T39</f>
        <v>0</v>
      </c>
      <c r="V5" s="103">
        <f>FEBRUARY!U39</f>
        <v>5591.6040413800492</v>
      </c>
      <c r="W5" s="103">
        <f>FEBRUARY!V39</f>
        <v>3205.9684570368554</v>
      </c>
      <c r="X5" s="103">
        <f>FEBRUARY!W39</f>
        <v>829.66681889367487</v>
      </c>
      <c r="Y5" s="103">
        <f>FEBRUARY!X39</f>
        <v>475.74666508364294</v>
      </c>
      <c r="Z5" s="103">
        <f>FEBRUARY!Y39</f>
        <v>3657.3053797447055</v>
      </c>
      <c r="AA5" s="103">
        <f>FEBRUARY!Z39</f>
        <v>2096.5337720907364</v>
      </c>
      <c r="AB5" s="103">
        <f>FEBRUARY!AA39</f>
        <v>0</v>
      </c>
      <c r="AC5" s="105">
        <f>FEBRUARY!AB39</f>
        <v>1643.6226229084991</v>
      </c>
      <c r="AD5" s="105">
        <f>FEBRUARY!AC39</f>
        <v>0</v>
      </c>
      <c r="AE5" s="99">
        <f>FEBRUARY!AD40</f>
        <v>230.73740029163233</v>
      </c>
      <c r="AF5" s="99">
        <f>FEBRUARY!AE40</f>
        <v>126.14003646155386</v>
      </c>
      <c r="AG5" s="99">
        <f t="shared" ref="AG5:AG15" si="0">SUM(AE5+AF5)</f>
        <v>356.8774367531862</v>
      </c>
      <c r="AH5" s="99">
        <f>FEBRUARY!AF40</f>
        <v>343.65186886224478</v>
      </c>
      <c r="AI5" s="99">
        <f>FEBRUARY!AG40</f>
        <v>215.55760170276329</v>
      </c>
      <c r="AJ5" s="99">
        <f>FEBRUARY!AH40</f>
        <v>123.57727597793385</v>
      </c>
      <c r="AK5" s="91">
        <f>FEBRUARY!AI40</f>
        <v>0.63561024208697114</v>
      </c>
    </row>
    <row r="6" spans="1:37" ht="15.75" customHeight="1" x14ac:dyDescent="0.25">
      <c r="A6" s="442"/>
      <c r="B6" s="90" t="s">
        <v>54</v>
      </c>
      <c r="C6" s="103">
        <f>MARCH!B39</f>
        <v>0</v>
      </c>
      <c r="D6" s="103">
        <f>MARCH!C39</f>
        <v>1623.5598136385308</v>
      </c>
      <c r="E6" s="103">
        <f>MARCH!D39</f>
        <v>16985.203077962007</v>
      </c>
      <c r="F6" s="103">
        <f>MARCH!E39</f>
        <v>456.83263034274131</v>
      </c>
      <c r="G6" s="103">
        <f>MARCH!F39</f>
        <v>0</v>
      </c>
      <c r="H6" s="103">
        <f>MARCH!G39</f>
        <v>61050.293651707922</v>
      </c>
      <c r="I6" s="103">
        <f>MARCH!H39</f>
        <v>669.21801024874037</v>
      </c>
      <c r="J6" s="103">
        <f>MARCH!I39</f>
        <v>3182.3057564814881</v>
      </c>
      <c r="K6" s="103">
        <f>MARCH!J39</f>
        <v>13355.170317776987</v>
      </c>
      <c r="L6" s="104">
        <f>MARCH!K39</f>
        <v>735.53746370722854</v>
      </c>
      <c r="M6" s="103">
        <f>MARCH!L39</f>
        <v>2.0995521545410043E-2</v>
      </c>
      <c r="N6" s="103">
        <f>MARCH!M39</f>
        <v>0</v>
      </c>
      <c r="O6" s="103">
        <f>MARCH!N39</f>
        <v>0</v>
      </c>
      <c r="P6" s="103">
        <f>MARCH!O39</f>
        <v>0</v>
      </c>
      <c r="Q6" s="103">
        <f>MARCH!P39</f>
        <v>0</v>
      </c>
      <c r="R6" s="103">
        <f>MARCH!Q39</f>
        <v>0</v>
      </c>
      <c r="S6" s="103">
        <f>MARCH!R39</f>
        <v>0</v>
      </c>
      <c r="T6" s="103">
        <f>MARCH!S39</f>
        <v>0</v>
      </c>
      <c r="U6" s="103">
        <f>MARCH!T39</f>
        <v>0</v>
      </c>
      <c r="V6" s="103">
        <f>MARCH!U39</f>
        <v>7168.9239828160753</v>
      </c>
      <c r="W6" s="103">
        <f>MARCH!V39</f>
        <v>3377.8626331702139</v>
      </c>
      <c r="X6" s="103">
        <f>MARCH!W39</f>
        <v>976.36002128321729</v>
      </c>
      <c r="Y6" s="103">
        <f>MARCH!X39</f>
        <v>457.6578942597032</v>
      </c>
      <c r="Z6" s="103">
        <f>MARCH!Y39</f>
        <v>4640.03507526057</v>
      </c>
      <c r="AA6" s="103">
        <f>MARCH!Z39</f>
        <v>2204.740838446844</v>
      </c>
      <c r="AB6" s="103">
        <f>MARCH!AA39</f>
        <v>0</v>
      </c>
      <c r="AC6" s="105">
        <f>MARCH!AB39</f>
        <v>2251.8319713142218</v>
      </c>
      <c r="AD6" s="105">
        <f>MARCH!AC39</f>
        <v>0</v>
      </c>
      <c r="AE6" s="99">
        <f>MARCH!AD40</f>
        <v>290.68066427253484</v>
      </c>
      <c r="AF6" s="99">
        <f>MARCH!AE40</f>
        <v>131.53178644039056</v>
      </c>
      <c r="AG6" s="99">
        <f t="shared" si="0"/>
        <v>422.21245071292537</v>
      </c>
      <c r="AH6" s="99">
        <f>MARCH!AF40</f>
        <v>400.99265061037431</v>
      </c>
      <c r="AI6" s="99">
        <f>MARCH!AG40</f>
        <v>269.26444883276201</v>
      </c>
      <c r="AJ6" s="99">
        <f>MARCH!AH40</f>
        <v>126.4708470995032</v>
      </c>
      <c r="AK6" s="91">
        <f>MARCH!AI40</f>
        <v>0.68041554948601257</v>
      </c>
    </row>
    <row r="7" spans="1:37" ht="15.75" customHeight="1" x14ac:dyDescent="0.25">
      <c r="A7" s="442"/>
      <c r="B7" s="90" t="s">
        <v>55</v>
      </c>
      <c r="C7" s="103">
        <f>APRIL!B39</f>
        <v>0</v>
      </c>
      <c r="D7" s="103">
        <f>APRIL!C39</f>
        <v>1672.6702792624612</v>
      </c>
      <c r="E7" s="103">
        <f>APRIL!D39</f>
        <v>15726.490549659733</v>
      </c>
      <c r="F7" s="103">
        <f>APRIL!E39</f>
        <v>485.88628362963505</v>
      </c>
      <c r="G7" s="103">
        <f>APRIL!F39</f>
        <v>0</v>
      </c>
      <c r="H7" s="103">
        <f>APRIL!G39</f>
        <v>50667.951995913121</v>
      </c>
      <c r="I7" s="103">
        <f>APRIL!H39</f>
        <v>688.90605234603106</v>
      </c>
      <c r="J7" s="103">
        <f>APRIL!I39</f>
        <v>2923.4171644687653</v>
      </c>
      <c r="K7" s="103">
        <f>APRIL!J39</f>
        <v>14038.462802282964</v>
      </c>
      <c r="L7" s="104">
        <f>APRIL!K39</f>
        <v>766.10874381065378</v>
      </c>
      <c r="M7" s="103">
        <f>APRIL!L39</f>
        <v>9.441375732421875E-5</v>
      </c>
      <c r="N7" s="103">
        <f>APRIL!M39</f>
        <v>0</v>
      </c>
      <c r="O7" s="103">
        <f>APRIL!N39</f>
        <v>0</v>
      </c>
      <c r="P7" s="103">
        <f>APRIL!O39</f>
        <v>0</v>
      </c>
      <c r="Q7" s="103">
        <f>APRIL!P39</f>
        <v>0</v>
      </c>
      <c r="R7" s="103">
        <f>APRIL!Q39</f>
        <v>0</v>
      </c>
      <c r="S7" s="103">
        <f>APRIL!R39</f>
        <v>0</v>
      </c>
      <c r="T7" s="103">
        <f>APRIL!S39</f>
        <v>0</v>
      </c>
      <c r="U7" s="103">
        <f>APRIL!T39</f>
        <v>0</v>
      </c>
      <c r="V7" s="103">
        <f>APRIL!U39</f>
        <v>7860.9899839416858</v>
      </c>
      <c r="W7" s="103">
        <f>APRIL!V39</f>
        <v>3687.0995729324486</v>
      </c>
      <c r="X7" s="103">
        <f>APRIL!W39</f>
        <v>1019.6268599442319</v>
      </c>
      <c r="Y7" s="103">
        <f>APRIL!X39</f>
        <v>477.54620399359055</v>
      </c>
      <c r="Z7" s="103">
        <f>APRIL!Y39</f>
        <v>5198.2927359580544</v>
      </c>
      <c r="AA7" s="103">
        <f>APRIL!Z39</f>
        <v>2437.8048704624644</v>
      </c>
      <c r="AB7" s="103">
        <f>APRIL!AA39</f>
        <v>0</v>
      </c>
      <c r="AC7" s="105">
        <f>APRIL!AB39</f>
        <v>2394.711021942569</v>
      </c>
      <c r="AD7" s="105">
        <f>APRIL!AC39</f>
        <v>0</v>
      </c>
      <c r="AE7" s="99">
        <f>APRIL!AD40</f>
        <v>305.47572929048272</v>
      </c>
      <c r="AF7" s="99">
        <f>APRIL!AE40</f>
        <v>135.45293921910925</v>
      </c>
      <c r="AG7" s="99">
        <f t="shared" si="0"/>
        <v>440.92866850959194</v>
      </c>
      <c r="AH7" s="99">
        <f>APRIL!AF40</f>
        <v>422.82936798532796</v>
      </c>
      <c r="AI7" s="99">
        <f>APRIL!AG40</f>
        <v>283.6008608529043</v>
      </c>
      <c r="AJ7" s="99">
        <f>APRIL!AH40</f>
        <v>133.20040323913975</v>
      </c>
      <c r="AK7" s="91">
        <f>APRIL!AI40</f>
        <v>0.68042226664234751</v>
      </c>
    </row>
    <row r="8" spans="1:37" ht="15.75" customHeight="1" x14ac:dyDescent="0.25">
      <c r="A8" s="442"/>
      <c r="B8" s="90" t="s">
        <v>56</v>
      </c>
      <c r="C8" s="103">
        <f>MAY!B39</f>
        <v>0</v>
      </c>
      <c r="D8" s="103">
        <f>MAY!C39</f>
        <v>1603.4320893347265</v>
      </c>
      <c r="E8" s="103">
        <f>MAY!D39</f>
        <v>18385.275708166751</v>
      </c>
      <c r="F8" s="103">
        <f>MAY!E39</f>
        <v>464.94481500039416</v>
      </c>
      <c r="G8" s="103">
        <f>MAY!F39</f>
        <v>0</v>
      </c>
      <c r="H8" s="103">
        <f>MAY!G39</f>
        <v>37933.711246140803</v>
      </c>
      <c r="I8" s="103">
        <f>MAY!H39</f>
        <v>655.58524028261525</v>
      </c>
      <c r="J8" s="103">
        <f>MAY!I39</f>
        <v>3428.0523894389471</v>
      </c>
      <c r="K8" s="103">
        <f>MAY!J39</f>
        <v>15596.035118468595</v>
      </c>
      <c r="L8" s="104">
        <f>MAY!K39</f>
        <v>857.11785814563427</v>
      </c>
      <c r="M8" s="103">
        <f>MAY!L39</f>
        <v>0</v>
      </c>
      <c r="N8" s="103">
        <f>MAY!M39</f>
        <v>0</v>
      </c>
      <c r="O8" s="103">
        <f>MAY!N39</f>
        <v>0</v>
      </c>
      <c r="P8" s="103">
        <f>MAY!O39</f>
        <v>0</v>
      </c>
      <c r="Q8" s="103">
        <f>MAY!P39</f>
        <v>0</v>
      </c>
      <c r="R8" s="103">
        <f>MAY!Q39</f>
        <v>0</v>
      </c>
      <c r="S8" s="103">
        <f>MAY!R39</f>
        <v>0</v>
      </c>
      <c r="T8" s="103">
        <f>MAY!S39</f>
        <v>0</v>
      </c>
      <c r="U8" s="103">
        <f>MAY!T39</f>
        <v>0</v>
      </c>
      <c r="V8" s="103">
        <f>MAY!U39</f>
        <v>9164.3563944371163</v>
      </c>
      <c r="W8" s="103">
        <f>MAY!V39</f>
        <v>3574.7068778483404</v>
      </c>
      <c r="X8" s="103">
        <f>MAY!W39</f>
        <v>1070.868081418831</v>
      </c>
      <c r="Y8" s="103">
        <f>MAY!X39</f>
        <v>421.43843091710471</v>
      </c>
      <c r="Z8" s="103">
        <f>MAY!Y39</f>
        <v>5733.3730229922285</v>
      </c>
      <c r="AA8" s="103">
        <f>MAY!Z39</f>
        <v>2241.9061431340201</v>
      </c>
      <c r="AB8" s="103">
        <f>MAY!AA39</f>
        <v>0</v>
      </c>
      <c r="AC8" s="105">
        <f>MAY!AB39</f>
        <v>2450.2910647153885</v>
      </c>
      <c r="AD8" s="105">
        <f>MAY!AC39</f>
        <v>0</v>
      </c>
      <c r="AE8" s="99">
        <f>MAY!AD40</f>
        <v>367.38229714160997</v>
      </c>
      <c r="AF8" s="99">
        <f>MAY!AE40</f>
        <v>139.29345116750775</v>
      </c>
      <c r="AG8" s="99">
        <f t="shared" si="0"/>
        <v>506.67574830911769</v>
      </c>
      <c r="AH8" s="99">
        <f>MAY!AF40</f>
        <v>454.23196273346736</v>
      </c>
      <c r="AI8" s="99">
        <f>MAY!AG40</f>
        <v>322.22499662118696</v>
      </c>
      <c r="AJ8" s="99">
        <f>MAY!AH40</f>
        <v>126.37765647091601</v>
      </c>
      <c r="AK8" s="91">
        <f>MAY!AI40</f>
        <v>0.7182859807006774</v>
      </c>
    </row>
    <row r="9" spans="1:37" ht="15.75" customHeight="1" x14ac:dyDescent="0.25">
      <c r="A9" s="442"/>
      <c r="B9" s="90" t="s">
        <v>57</v>
      </c>
      <c r="C9" s="103">
        <f>JUNE!B39</f>
        <v>0</v>
      </c>
      <c r="D9" s="103">
        <f>JUNE!C39</f>
        <v>1776.8942693134184</v>
      </c>
      <c r="E9" s="103">
        <f>JUNE!D39</f>
        <v>19899.956619405737</v>
      </c>
      <c r="F9" s="103">
        <f>JUNE!E39</f>
        <v>490.42931388964206</v>
      </c>
      <c r="G9" s="103">
        <f>JUNE!F39</f>
        <v>0</v>
      </c>
      <c r="H9" s="103">
        <f>JUNE!G39</f>
        <v>46200.622453625911</v>
      </c>
      <c r="I9" s="103">
        <f>JUNE!H39</f>
        <v>675.77232155104559</v>
      </c>
      <c r="J9" s="103">
        <f>JUNE!I39</f>
        <v>4442.9834321737289</v>
      </c>
      <c r="K9" s="103">
        <f>JUNE!J39</f>
        <v>29677.232819441964</v>
      </c>
      <c r="L9" s="104">
        <f>JUNE!K39</f>
        <v>1627.2099219202985</v>
      </c>
      <c r="M9" s="103">
        <f>JUNE!L39</f>
        <v>9.4413757324218753E-6</v>
      </c>
      <c r="N9" s="103">
        <f>JUNE!M39</f>
        <v>0</v>
      </c>
      <c r="O9" s="103">
        <f>JUNE!N39</f>
        <v>0</v>
      </c>
      <c r="P9" s="103">
        <f>JUNE!O39</f>
        <v>0</v>
      </c>
      <c r="Q9" s="103">
        <f>JUNE!P39</f>
        <v>0</v>
      </c>
      <c r="R9" s="103">
        <f>JUNE!Q39</f>
        <v>0</v>
      </c>
      <c r="S9" s="103">
        <f>JUNE!R39</f>
        <v>0</v>
      </c>
      <c r="T9" s="103">
        <f>JUNE!S39</f>
        <v>0</v>
      </c>
      <c r="U9" s="103">
        <f>JUNE!T39</f>
        <v>0</v>
      </c>
      <c r="V9" s="103">
        <f>JUNE!U39</f>
        <v>19493.872492634684</v>
      </c>
      <c r="W9" s="103">
        <f>JUNE!V39</f>
        <v>3852.7295159200125</v>
      </c>
      <c r="X9" s="103">
        <f>JUNE!W39</f>
        <v>1945.338137903809</v>
      </c>
      <c r="Y9" s="103">
        <f>JUNE!X39</f>
        <v>387.61723871330446</v>
      </c>
      <c r="Z9" s="103">
        <f>JUNE!Y39</f>
        <v>14444.747659954759</v>
      </c>
      <c r="AA9" s="103">
        <f>JUNE!Z39</f>
        <v>2810.0290827261101</v>
      </c>
      <c r="AB9" s="103">
        <f>JUNE!AA39</f>
        <v>0</v>
      </c>
      <c r="AC9" s="105">
        <f>JUNE!AB39</f>
        <v>4028.1423788852071</v>
      </c>
      <c r="AD9" s="105">
        <f>JUNE!AC39</f>
        <v>0</v>
      </c>
      <c r="AE9" s="99">
        <f>JUNE!AD40</f>
        <v>645.91226190839166</v>
      </c>
      <c r="AF9" s="99">
        <f>JUNE!AE40</f>
        <v>139.03476572527765</v>
      </c>
      <c r="AG9" s="99">
        <f t="shared" si="0"/>
        <v>784.94702763366934</v>
      </c>
      <c r="AH9" s="99">
        <f>JUNE!AF40</f>
        <v>761.94479233589425</v>
      </c>
      <c r="AI9" s="99">
        <f>JUNE!AG40</f>
        <v>625.08343182596866</v>
      </c>
      <c r="AJ9" s="99">
        <f>JUNE!AH40</f>
        <v>123.27978053172997</v>
      </c>
      <c r="AK9" s="91">
        <f>JUNE!AI40</f>
        <v>0.83526744968751165</v>
      </c>
    </row>
    <row r="10" spans="1:37" ht="15.75" customHeight="1" x14ac:dyDescent="0.25">
      <c r="A10" s="442"/>
      <c r="B10" s="90" t="s">
        <v>58</v>
      </c>
      <c r="C10" s="103">
        <f>JULY!B39</f>
        <v>0</v>
      </c>
      <c r="D10" s="103">
        <f>JULY!C39</f>
        <v>2789.9535609722202</v>
      </c>
      <c r="E10" s="103">
        <f>JULY!D39</f>
        <v>32842.698837471013</v>
      </c>
      <c r="F10" s="103">
        <f>JULY!E39</f>
        <v>788.54327662984531</v>
      </c>
      <c r="G10" s="103">
        <f>JULY!F39</f>
        <v>0</v>
      </c>
      <c r="H10" s="103">
        <f>JULY!G39</f>
        <v>82073.464428583742</v>
      </c>
      <c r="I10" s="103">
        <f>JULY!H39</f>
        <v>1420.1696853339697</v>
      </c>
      <c r="J10" s="103">
        <f>JULY!I39</f>
        <v>3033.0794323484101</v>
      </c>
      <c r="K10" s="103">
        <f>JULY!J39</f>
        <v>22492.73073698677</v>
      </c>
      <c r="L10" s="104">
        <f>JULY!K39</f>
        <v>1235.0353785256546</v>
      </c>
      <c r="M10" s="103">
        <f>JULY!L39</f>
        <v>0</v>
      </c>
      <c r="N10" s="103">
        <f>JULY!M39</f>
        <v>0</v>
      </c>
      <c r="O10" s="103">
        <f>JULY!N39</f>
        <v>0</v>
      </c>
      <c r="P10" s="103">
        <f>JULY!O39</f>
        <v>0</v>
      </c>
      <c r="Q10" s="103">
        <f>JULY!P39</f>
        <v>0</v>
      </c>
      <c r="R10" s="103">
        <f>JULY!Q39</f>
        <v>0</v>
      </c>
      <c r="S10" s="103">
        <f>JULY!R39</f>
        <v>0</v>
      </c>
      <c r="T10" s="103">
        <f>JULY!S39</f>
        <v>0</v>
      </c>
      <c r="U10" s="103">
        <f>JULY!T39</f>
        <v>0</v>
      </c>
      <c r="V10" s="103">
        <f>JULY!U39</f>
        <v>16670.133058174069</v>
      </c>
      <c r="W10" s="103">
        <f>JULY!V39</f>
        <v>6750.3023156408308</v>
      </c>
      <c r="X10" s="103">
        <f>JULY!W39</f>
        <v>1675.9067181514829</v>
      </c>
      <c r="Y10" s="103">
        <f>JULY!X39</f>
        <v>678.48434472410543</v>
      </c>
      <c r="Z10" s="103">
        <f>JULY!Y39</f>
        <v>12090.792839528529</v>
      </c>
      <c r="AA10" s="103">
        <f>JULY!Z39</f>
        <v>4894.3340066577912</v>
      </c>
      <c r="AB10" s="103">
        <f>JULY!AA39</f>
        <v>0</v>
      </c>
      <c r="AC10" s="105">
        <f>JULY!AB39</f>
        <v>3905.3056223021645</v>
      </c>
      <c r="AD10" s="105">
        <f>JULY!AC39</f>
        <v>0</v>
      </c>
      <c r="AE10" s="99">
        <f>JULY!AD40</f>
        <v>580.62896330400974</v>
      </c>
      <c r="AF10" s="99">
        <f>JULY!AE40</f>
        <v>234.44041111550627</v>
      </c>
      <c r="AG10" s="99">
        <f t="shared" si="0"/>
        <v>815.06937441951595</v>
      </c>
      <c r="AH10" s="99">
        <f>JULY!AF40</f>
        <v>776.27762717604628</v>
      </c>
      <c r="AI10" s="99">
        <f>JULY!AG40</f>
        <v>545.11294369856842</v>
      </c>
      <c r="AJ10" s="99">
        <f>JULY!AH40</f>
        <v>221.07111427307899</v>
      </c>
      <c r="AK10" s="91">
        <f>JULY!AI40</f>
        <v>0.71146474274297711</v>
      </c>
    </row>
    <row r="11" spans="1:37" ht="15.75" customHeight="1" x14ac:dyDescent="0.25">
      <c r="A11" s="442"/>
      <c r="B11" s="90" t="s">
        <v>59</v>
      </c>
      <c r="C11" s="103">
        <f>AUGUST!B39</f>
        <v>0</v>
      </c>
      <c r="D11" s="103">
        <f>AUGUST!C39</f>
        <v>3073.7877025842704</v>
      </c>
      <c r="E11" s="103">
        <f>AUGUST!D39</f>
        <v>36034.72457726796</v>
      </c>
      <c r="F11" s="103">
        <f>AUGUST!E39</f>
        <v>857.05423450618957</v>
      </c>
      <c r="G11" s="103">
        <f>AUGUST!F39</f>
        <v>0</v>
      </c>
      <c r="H11" s="103">
        <f>AUGUST!G39</f>
        <v>91651.765736198518</v>
      </c>
      <c r="I11" s="103">
        <f>AUGUST!H39</f>
        <v>1562.5889213403093</v>
      </c>
      <c r="J11" s="103">
        <f>AUGUST!I39</f>
        <v>3902.9858511805514</v>
      </c>
      <c r="K11" s="103">
        <f>AUGUST!J39</f>
        <v>18618.659195311873</v>
      </c>
      <c r="L11" s="104">
        <f>AUGUST!K39</f>
        <v>1020.4679934109249</v>
      </c>
      <c r="M11" s="103">
        <f>AUGUST!L39</f>
        <v>0</v>
      </c>
      <c r="N11" s="103">
        <f>AUGUST!M39</f>
        <v>0</v>
      </c>
      <c r="O11" s="103">
        <f>AUGUST!N39</f>
        <v>0</v>
      </c>
      <c r="P11" s="103">
        <f>AUGUST!O39</f>
        <v>1.7960002033050215E-4</v>
      </c>
      <c r="Q11" s="103">
        <f>AUGUST!P39</f>
        <v>0</v>
      </c>
      <c r="R11" s="103">
        <f>AUGUST!Q39</f>
        <v>8.2210711557315267E-5</v>
      </c>
      <c r="S11" s="103">
        <f>AUGUST!R39</f>
        <v>1.4602605490725712E-5</v>
      </c>
      <c r="T11" s="103">
        <f>AUGUST!S39</f>
        <v>0</v>
      </c>
      <c r="U11" s="103">
        <f>AUGUST!T39</f>
        <v>0</v>
      </c>
      <c r="V11" s="103">
        <f>AUGUST!U39</f>
        <v>12183.530050675799</v>
      </c>
      <c r="W11" s="103">
        <f>AUGUST!V39</f>
        <v>6407.0777204559054</v>
      </c>
      <c r="X11" s="103">
        <f>AUGUST!W39</f>
        <v>1400.494372508585</v>
      </c>
      <c r="Y11" s="103">
        <f>AUGUST!X39</f>
        <v>738.03445844087992</v>
      </c>
      <c r="Z11" s="103">
        <f>AUGUST!Y39</f>
        <v>10567.624536735311</v>
      </c>
      <c r="AA11" s="103">
        <f>AUGUST!Z39</f>
        <v>5494.5274401838633</v>
      </c>
      <c r="AB11" s="103">
        <f>AUGUST!AA39</f>
        <v>0</v>
      </c>
      <c r="AC11" s="105">
        <f>AUGUST!AB39</f>
        <v>4019.4389085610642</v>
      </c>
      <c r="AD11" s="105">
        <f>AUGUST!AC39</f>
        <v>0</v>
      </c>
      <c r="AE11" s="99">
        <f>AUGUST!AD40</f>
        <v>478.99660552420545</v>
      </c>
      <c r="AF11" s="99">
        <f>AUGUST!AE40</f>
        <v>249.28487342213947</v>
      </c>
      <c r="AG11" s="99">
        <f t="shared" si="0"/>
        <v>728.28147894634492</v>
      </c>
      <c r="AH11" s="99">
        <f>AUGUST!AF40</f>
        <v>710.09072091894041</v>
      </c>
      <c r="AI11" s="99">
        <f>AUGUST!AG40</f>
        <v>458.751359020883</v>
      </c>
      <c r="AJ11" s="99">
        <f>AUGUST!AH40</f>
        <v>242.28335247483011</v>
      </c>
      <c r="AK11" s="91">
        <f>AUGUST!AI40</f>
        <v>0.65439178902011952</v>
      </c>
    </row>
    <row r="12" spans="1:37" ht="15.75" customHeight="1" x14ac:dyDescent="0.25">
      <c r="A12" s="442"/>
      <c r="B12" s="90" t="s">
        <v>60</v>
      </c>
      <c r="C12" s="103">
        <f>SEPTEMBER!B39</f>
        <v>0</v>
      </c>
      <c r="D12" s="103">
        <f>SEPTEMBER!C39</f>
        <v>645.73513540625856</v>
      </c>
      <c r="E12" s="103">
        <f>SEPTEMBER!D39</f>
        <v>7614.5788153489402</v>
      </c>
      <c r="F12" s="103">
        <f>SEPTEMBER!E39</f>
        <v>182.790025600294</v>
      </c>
      <c r="G12" s="103">
        <f>SEPTEMBER!F39</f>
        <v>0</v>
      </c>
      <c r="H12" s="103">
        <f>SEPTEMBER!G39</f>
        <v>18713.735086186709</v>
      </c>
      <c r="I12" s="103">
        <f>SEPTEMBER!H39</f>
        <v>329.2901967386411</v>
      </c>
      <c r="J12" s="103">
        <f>SEPTEMBER!I39</f>
        <v>4767.1477065126073</v>
      </c>
      <c r="K12" s="103">
        <f>SEPTEMBER!J39</f>
        <v>31524.760429573053</v>
      </c>
      <c r="L12" s="104">
        <f>SEPTEMBER!K39</f>
        <v>1727.4300575425232</v>
      </c>
      <c r="M12" s="103">
        <f>SEPTEMBER!L39</f>
        <v>0</v>
      </c>
      <c r="N12" s="103">
        <f>SEPTEMBER!M39</f>
        <v>0</v>
      </c>
      <c r="O12" s="103">
        <f>SEPTEMBER!N39</f>
        <v>0</v>
      </c>
      <c r="P12" s="103">
        <f>SEPTEMBER!O39</f>
        <v>0</v>
      </c>
      <c r="Q12" s="103">
        <f>SEPTEMBER!P39</f>
        <v>0</v>
      </c>
      <c r="R12" s="103">
        <f>SEPTEMBER!Q39</f>
        <v>0</v>
      </c>
      <c r="S12" s="103">
        <f>SEPTEMBER!R39</f>
        <v>0</v>
      </c>
      <c r="T12" s="103">
        <f>SEPTEMBER!S39</f>
        <v>0</v>
      </c>
      <c r="U12" s="103">
        <f>SEPTEMBER!T39</f>
        <v>0</v>
      </c>
      <c r="V12" s="103">
        <f>SEPTEMBER!U39</f>
        <v>19278.607349155631</v>
      </c>
      <c r="W12" s="103">
        <f>SEPTEMBER!V39</f>
        <v>1326.0257760118163</v>
      </c>
      <c r="X12" s="103">
        <f>SEPTEMBER!W39</f>
        <v>2391.1148676316616</v>
      </c>
      <c r="Y12" s="103">
        <f>SEPTEMBER!X39</f>
        <v>157.86414428147904</v>
      </c>
      <c r="Z12" s="103">
        <f>SEPTEMBER!Y39</f>
        <v>25077.422261496173</v>
      </c>
      <c r="AA12" s="103">
        <f>SEPTEMBER!Z39</f>
        <v>1355.2716539345195</v>
      </c>
      <c r="AB12" s="103">
        <f>SEPTEMBER!AA39</f>
        <v>0</v>
      </c>
      <c r="AC12" s="105">
        <f>SEPTEMBER!AB39</f>
        <v>4256.9241991255076</v>
      </c>
      <c r="AD12" s="105">
        <f>SEPTEMBER!AC39</f>
        <v>0</v>
      </c>
      <c r="AE12" s="99">
        <f>SEPTEMBER!AD40</f>
        <v>774.40516352202462</v>
      </c>
      <c r="AF12" s="99">
        <f>SEPTEMBER!AE40</f>
        <v>52.529062158625706</v>
      </c>
      <c r="AG12" s="99">
        <f t="shared" si="0"/>
        <v>826.93422568065034</v>
      </c>
      <c r="AH12" s="99">
        <f>SEPTEMBER!AF40</f>
        <v>828.5358436254993</v>
      </c>
      <c r="AI12" s="99">
        <f>SEPTEMBER!AG40</f>
        <v>766.78310657379006</v>
      </c>
      <c r="AJ12" s="99">
        <f>SEPTEMBER!AH40</f>
        <v>51.330220865314665</v>
      </c>
      <c r="AK12" s="91">
        <f>SEPTEMBER!AI40</f>
        <v>0.93725781118125673</v>
      </c>
    </row>
    <row r="13" spans="1:37" ht="15.75" customHeight="1" x14ac:dyDescent="0.25">
      <c r="A13" s="442"/>
      <c r="B13" s="90" t="s">
        <v>61</v>
      </c>
      <c r="C13" s="103">
        <f>OCTOBER!B39</f>
        <v>0</v>
      </c>
      <c r="D13" s="103">
        <f>OCTOBER!C39</f>
        <v>0</v>
      </c>
      <c r="E13" s="103">
        <f>OCTOBER!D39</f>
        <v>0</v>
      </c>
      <c r="F13" s="103">
        <f>OCTOBER!E39</f>
        <v>0</v>
      </c>
      <c r="G13" s="103">
        <f>OCTOBER!F39</f>
        <v>0</v>
      </c>
      <c r="H13" s="103">
        <f>OCTOBER!G39</f>
        <v>0</v>
      </c>
      <c r="I13" s="103">
        <f>OCTOBER!H39</f>
        <v>0</v>
      </c>
      <c r="J13" s="103">
        <f>OCTOBER!I39</f>
        <v>7638.8104331850964</v>
      </c>
      <c r="K13" s="103">
        <f>OCTOBER!J39</f>
        <v>23560.311141391598</v>
      </c>
      <c r="L13" s="104">
        <f>OCTOBER!K39</f>
        <v>1293.2052298560736</v>
      </c>
      <c r="M13" s="103">
        <f>OCTOBER!L39</f>
        <v>0</v>
      </c>
      <c r="N13" s="103">
        <f>OCTOBER!M39</f>
        <v>0</v>
      </c>
      <c r="O13" s="103">
        <f>OCTOBER!N39</f>
        <v>0</v>
      </c>
      <c r="P13" s="103">
        <f>OCTOBER!O39</f>
        <v>0</v>
      </c>
      <c r="Q13" s="103">
        <f>OCTOBER!P39</f>
        <v>0</v>
      </c>
      <c r="R13" s="103">
        <f>OCTOBER!Q39</f>
        <v>0</v>
      </c>
      <c r="S13" s="103">
        <f>OCTOBER!R39</f>
        <v>0</v>
      </c>
      <c r="T13" s="103">
        <f>OCTOBER!S39</f>
        <v>0</v>
      </c>
      <c r="U13" s="103">
        <f>OCTOBER!T39</f>
        <v>0</v>
      </c>
      <c r="V13" s="103">
        <f>OCTOBER!U39</f>
        <v>12779.345962638321</v>
      </c>
      <c r="W13" s="103">
        <f>OCTOBER!V39</f>
        <v>0</v>
      </c>
      <c r="X13" s="103">
        <f>OCTOBER!W39</f>
        <v>1612.1596860965094</v>
      </c>
      <c r="Y13" s="103">
        <f>OCTOBER!X39</f>
        <v>0</v>
      </c>
      <c r="Z13" s="103">
        <f>OCTOBER!Y39</f>
        <v>8920.1954563379277</v>
      </c>
      <c r="AA13" s="103">
        <f>OCTOBER!Z39</f>
        <v>0</v>
      </c>
      <c r="AB13" s="103">
        <f>OCTOBER!AA39</f>
        <v>0</v>
      </c>
      <c r="AC13" s="105">
        <f>OCTOBER!AB39</f>
        <v>2006.1891935196193</v>
      </c>
      <c r="AD13" s="105">
        <f>OCTOBER!AC39</f>
        <v>0</v>
      </c>
      <c r="AE13" s="99">
        <f>OCTOBER!AD40</f>
        <v>445.86788772869949</v>
      </c>
      <c r="AF13" s="99">
        <f>OCTOBER!AE40</f>
        <v>0</v>
      </c>
      <c r="AG13" s="99">
        <f t="shared" si="0"/>
        <v>445.86788772869949</v>
      </c>
      <c r="AH13" s="99">
        <f>OCTOBER!AF40</f>
        <v>441.64762552049416</v>
      </c>
      <c r="AI13" s="99">
        <f>OCTOBER!AG40</f>
        <v>438.23162395677934</v>
      </c>
      <c r="AJ13" s="99">
        <f>OCTOBER!AH40</f>
        <v>0</v>
      </c>
      <c r="AK13" s="91">
        <f>OCTOBER!AI40</f>
        <v>1</v>
      </c>
    </row>
    <row r="14" spans="1:37" ht="15.75" customHeight="1" x14ac:dyDescent="0.25">
      <c r="A14" s="442"/>
      <c r="B14" s="90" t="s">
        <v>62</v>
      </c>
      <c r="C14" s="103">
        <f>NOVEMBER!B39</f>
        <v>0</v>
      </c>
      <c r="D14" s="103">
        <f>NOVEMBER!C39</f>
        <v>0</v>
      </c>
      <c r="E14" s="103">
        <f>NOVEMBER!D39</f>
        <v>0</v>
      </c>
      <c r="F14" s="103">
        <f>NOVEMBER!E39</f>
        <v>0</v>
      </c>
      <c r="G14" s="103">
        <f>NOVEMBER!F39</f>
        <v>0</v>
      </c>
      <c r="H14" s="103">
        <f>NOVEMBER!G39</f>
        <v>0</v>
      </c>
      <c r="I14" s="103">
        <f>NOVEMBER!H39</f>
        <v>0</v>
      </c>
      <c r="J14" s="103">
        <f>NOVEMBER!I39</f>
        <v>5891.6019221742899</v>
      </c>
      <c r="K14" s="103">
        <f>NOVEMBER!J39</f>
        <v>15878.684442106884</v>
      </c>
      <c r="L14" s="103">
        <f>NOVEMBER!K39</f>
        <v>874.73423634419783</v>
      </c>
      <c r="M14" s="103">
        <f>NOVEMBER!L39</f>
        <v>6.1368942260742144E-4</v>
      </c>
      <c r="N14" s="103">
        <f>NOVEMBER!M39</f>
        <v>0</v>
      </c>
      <c r="O14" s="103">
        <f>NOVEMBER!N39</f>
        <v>0</v>
      </c>
      <c r="P14" s="103">
        <f>NOVEMBER!O39</f>
        <v>0</v>
      </c>
      <c r="Q14" s="103">
        <f>NOVEMBER!P39</f>
        <v>0</v>
      </c>
      <c r="R14" s="103">
        <f>NOVEMBER!Q39</f>
        <v>0</v>
      </c>
      <c r="S14" s="103">
        <f>NOVEMBER!R39</f>
        <v>0</v>
      </c>
      <c r="T14" s="103">
        <f>NOVEMBER!S39</f>
        <v>0</v>
      </c>
      <c r="U14" s="103">
        <f>NOVEMBER!T39</f>
        <v>0</v>
      </c>
      <c r="V14" s="103">
        <f>NOVEMBER!U39</f>
        <v>11967.182351387853</v>
      </c>
      <c r="W14" s="103">
        <f>NOVEMBER!V39</f>
        <v>0</v>
      </c>
      <c r="X14" s="103">
        <f>NOVEMBER!W39</f>
        <v>1345.6704849998159</v>
      </c>
      <c r="Y14" s="103">
        <f>NOVEMBER!X39</f>
        <v>0</v>
      </c>
      <c r="Z14" s="103">
        <f>NOVEMBER!Y39</f>
        <v>6570.0375050703688</v>
      </c>
      <c r="AA14" s="103">
        <f>NOVEMBER!Z39</f>
        <v>0</v>
      </c>
      <c r="AB14" s="103">
        <f>NOVEMBER!AA39</f>
        <v>0</v>
      </c>
      <c r="AC14" s="103">
        <f>NOVEMBER!AB39</f>
        <v>1562.4409678989</v>
      </c>
      <c r="AD14" s="103">
        <f>NOVEMBER!AC39</f>
        <v>0</v>
      </c>
      <c r="AE14" s="99">
        <f>NOVEMBER!AD40</f>
        <v>353.71975274012544</v>
      </c>
      <c r="AF14" s="99">
        <f>NOVEMBER!AE40</f>
        <v>0</v>
      </c>
      <c r="AG14" s="99">
        <f>SUM(AE14+AF14)</f>
        <v>353.71975274012544</v>
      </c>
      <c r="AH14" s="99">
        <f>NOVEMBER!AF40</f>
        <v>361.81574614875831</v>
      </c>
      <c r="AI14" s="99">
        <f>NOVEMBER!AG40</f>
        <v>355.87820056704777</v>
      </c>
      <c r="AJ14" s="99">
        <f>NOVEMBER!AH40</f>
        <v>0</v>
      </c>
      <c r="AK14" s="99">
        <f>NOVEMBER!AI40</f>
        <v>1</v>
      </c>
    </row>
    <row r="15" spans="1:37" ht="15.75" customHeight="1" x14ac:dyDescent="0.25">
      <c r="A15" s="443"/>
      <c r="B15" s="92" t="s">
        <v>63</v>
      </c>
      <c r="C15" s="106">
        <f>DECEMBER!B39</f>
        <v>0</v>
      </c>
      <c r="D15" s="106">
        <f>DECEMBER!C39</f>
        <v>1155.6029400328821</v>
      </c>
      <c r="E15" s="106">
        <f>DECEMBER!D39</f>
        <v>14536.295891300822</v>
      </c>
      <c r="F15" s="106">
        <f>DECEMBER!E39</f>
        <v>325.77873834222538</v>
      </c>
      <c r="G15" s="106">
        <f>DECEMBER!F39</f>
        <v>0</v>
      </c>
      <c r="H15" s="106">
        <f>DECEMBER!G39</f>
        <v>38100.260573387066</v>
      </c>
      <c r="I15" s="106">
        <f>DECEMBER!H39</f>
        <v>583.75735821823389</v>
      </c>
      <c r="J15" s="106">
        <f>DECEMBER!I39</f>
        <v>3851.2143331249554</v>
      </c>
      <c r="K15" s="106">
        <f>DECEMBER!J39</f>
        <v>11571.160517644877</v>
      </c>
      <c r="L15" s="107">
        <f>DECEMBER!K39</f>
        <v>622.43220218916747</v>
      </c>
      <c r="M15" s="106">
        <f>DECEMBER!L39</f>
        <v>0</v>
      </c>
      <c r="N15" s="106">
        <f>DECEMBER!M39</f>
        <v>0</v>
      </c>
      <c r="O15" s="106">
        <f>DECEMBER!N39</f>
        <v>0</v>
      </c>
      <c r="P15" s="106">
        <f>DECEMBER!O39</f>
        <v>0.15830047916107881</v>
      </c>
      <c r="Q15" s="106">
        <f>DECEMBER!P39</f>
        <v>0</v>
      </c>
      <c r="R15" s="106">
        <f>DECEMBER!Q39</f>
        <v>8.8971058810417419E-2</v>
      </c>
      <c r="S15" s="106">
        <f>DECEMBER!R39</f>
        <v>2.7433766370643178E-2</v>
      </c>
      <c r="T15" s="106">
        <f>DECEMBER!S39</f>
        <v>0</v>
      </c>
      <c r="U15" s="106">
        <f>DECEMBER!T39</f>
        <v>0</v>
      </c>
      <c r="V15" s="106">
        <f>DECEMBER!U39</f>
        <v>9761.3146872235866</v>
      </c>
      <c r="W15" s="106">
        <f>DECEMBER!V39</f>
        <v>2933.4061022145606</v>
      </c>
      <c r="X15" s="106">
        <f>DECEMBER!W39</f>
        <v>1127.0164776927475</v>
      </c>
      <c r="Y15" s="106">
        <f>DECEMBER!X39</f>
        <v>343.12515831433001</v>
      </c>
      <c r="Z15" s="106">
        <f>DECEMBER!Y39</f>
        <v>4154.8665595288348</v>
      </c>
      <c r="AA15" s="106">
        <f>DECEMBER!Z39</f>
        <v>1220.6617390436859</v>
      </c>
      <c r="AB15" s="106">
        <f>DECEMBER!AA39</f>
        <v>0</v>
      </c>
      <c r="AC15" s="108">
        <f>DECEMBER!AB39</f>
        <v>1773.5792001962591</v>
      </c>
      <c r="AD15" s="108">
        <f>DECEMBER!AC39</f>
        <v>0</v>
      </c>
      <c r="AE15" s="100">
        <f>DECEMBER!AD40</f>
        <v>300.43161030166806</v>
      </c>
      <c r="AF15" s="100">
        <f>DECEMBER!AE40</f>
        <v>93.865272791648252</v>
      </c>
      <c r="AG15" s="100">
        <f t="shared" si="0"/>
        <v>394.2968830933163</v>
      </c>
      <c r="AH15" s="100">
        <f>DECEMBER!AF40</f>
        <v>380.75122608509332</v>
      </c>
      <c r="AI15" s="100">
        <f>DECEMBER!AG40</f>
        <v>288.96964250216769</v>
      </c>
      <c r="AJ15" s="100">
        <f>DECEMBER!AH40</f>
        <v>86.710327822159314</v>
      </c>
      <c r="AK15" s="93">
        <f>DECEMBER!AI40</f>
        <v>0.76919097457524366</v>
      </c>
    </row>
    <row r="16" spans="1:37" ht="15.75" customHeight="1" x14ac:dyDescent="0.25">
      <c r="A16" s="446" t="s">
        <v>162</v>
      </c>
      <c r="B16" s="447"/>
      <c r="C16" s="142" t="s">
        <v>100</v>
      </c>
      <c r="D16" s="142" t="s">
        <v>100</v>
      </c>
      <c r="E16" s="142" t="s">
        <v>100</v>
      </c>
      <c r="F16" s="142" t="s">
        <v>100</v>
      </c>
      <c r="G16" s="142" t="s">
        <v>100</v>
      </c>
      <c r="H16" s="142" t="s">
        <v>101</v>
      </c>
      <c r="I16" s="142" t="s">
        <v>100</v>
      </c>
      <c r="J16" s="142" t="s">
        <v>100</v>
      </c>
      <c r="K16" s="142" t="s">
        <v>100</v>
      </c>
      <c r="L16" s="144" t="s">
        <v>100</v>
      </c>
      <c r="M16" s="144" t="s">
        <v>100</v>
      </c>
      <c r="N16" s="144" t="s">
        <v>100</v>
      </c>
      <c r="O16" s="144" t="s">
        <v>100</v>
      </c>
      <c r="P16" s="144" t="s">
        <v>100</v>
      </c>
      <c r="Q16" s="144" t="s">
        <v>100</v>
      </c>
      <c r="R16" s="144" t="s">
        <v>100</v>
      </c>
      <c r="S16" s="144" t="s">
        <v>100</v>
      </c>
      <c r="T16" s="144" t="s">
        <v>100</v>
      </c>
      <c r="U16" s="144" t="s">
        <v>100</v>
      </c>
      <c r="V16" s="142" t="s">
        <v>101</v>
      </c>
      <c r="W16" s="142" t="s">
        <v>101</v>
      </c>
      <c r="X16" s="144" t="s">
        <v>100</v>
      </c>
      <c r="Y16" s="144" t="s">
        <v>100</v>
      </c>
      <c r="Z16" s="144" t="s">
        <v>100</v>
      </c>
      <c r="AA16" s="144" t="s">
        <v>100</v>
      </c>
      <c r="AB16" s="144" t="s">
        <v>100</v>
      </c>
      <c r="AC16" s="142" t="s">
        <v>101</v>
      </c>
      <c r="AD16" s="173" t="s">
        <v>100</v>
      </c>
      <c r="AE16" s="242" t="s">
        <v>28</v>
      </c>
      <c r="AF16" s="242" t="s">
        <v>28</v>
      </c>
      <c r="AG16" s="242" t="s">
        <v>28</v>
      </c>
      <c r="AH16" s="242" t="s">
        <v>28</v>
      </c>
      <c r="AI16" s="242" t="s">
        <v>28</v>
      </c>
      <c r="AJ16" s="242" t="s">
        <v>28</v>
      </c>
      <c r="AK16" s="243" t="s">
        <v>34</v>
      </c>
    </row>
    <row r="17" spans="1:37" ht="15.75" customHeight="1" thickBot="1" x14ac:dyDescent="0.3">
      <c r="A17" s="94" t="s">
        <v>65</v>
      </c>
      <c r="B17" s="95" t="s">
        <v>64</v>
      </c>
      <c r="C17" s="109">
        <f>SUM(C4:C15)</f>
        <v>0</v>
      </c>
      <c r="D17" s="109">
        <f t="shared" ref="D17:AJ17" si="1">SUM(D4:D15)</f>
        <v>17590.216516866305</v>
      </c>
      <c r="E17" s="109">
        <f t="shared" si="1"/>
        <v>199136.55735538798</v>
      </c>
      <c r="F17" s="109">
        <f t="shared" si="1"/>
        <v>4943.5364749580585</v>
      </c>
      <c r="G17" s="109">
        <f t="shared" si="1"/>
        <v>0</v>
      </c>
      <c r="H17" s="109">
        <f t="shared" si="1"/>
        <v>522834.73305775283</v>
      </c>
      <c r="I17" s="109">
        <f t="shared" si="1"/>
        <v>7917.4494009286254</v>
      </c>
      <c r="J17" s="109">
        <f t="shared" si="1"/>
        <v>49702.846840516708</v>
      </c>
      <c r="K17" s="109">
        <f t="shared" si="1"/>
        <v>217884.25499219092</v>
      </c>
      <c r="L17" s="109">
        <f t="shared" si="1"/>
        <v>11940.73647496899</v>
      </c>
      <c r="M17" s="109">
        <f t="shared" si="1"/>
        <v>2.4447019696235253</v>
      </c>
      <c r="N17" s="109">
        <f t="shared" si="1"/>
        <v>0</v>
      </c>
      <c r="O17" s="109">
        <f t="shared" si="1"/>
        <v>0</v>
      </c>
      <c r="P17" s="109">
        <f t="shared" si="1"/>
        <v>0.1584800791814093</v>
      </c>
      <c r="Q17" s="109">
        <f t="shared" si="1"/>
        <v>0</v>
      </c>
      <c r="R17" s="109">
        <f t="shared" si="1"/>
        <v>8.9053269521974732E-2</v>
      </c>
      <c r="S17" s="109">
        <f t="shared" si="1"/>
        <v>2.7448368976133904E-2</v>
      </c>
      <c r="T17" s="109">
        <f t="shared" si="1"/>
        <v>0</v>
      </c>
      <c r="U17" s="109">
        <f t="shared" si="1"/>
        <v>0</v>
      </c>
      <c r="V17" s="109">
        <f t="shared" si="1"/>
        <v>137948.93281024089</v>
      </c>
      <c r="W17" s="109">
        <f t="shared" si="1"/>
        <v>38563.241722737155</v>
      </c>
      <c r="X17" s="109">
        <f t="shared" si="1"/>
        <v>16191.962098711798</v>
      </c>
      <c r="Y17" s="109">
        <f t="shared" si="1"/>
        <v>4591.4091566234592</v>
      </c>
      <c r="Z17" s="109">
        <f t="shared" si="1"/>
        <v>105295.87882465577</v>
      </c>
      <c r="AA17" s="109">
        <f t="shared" si="1"/>
        <v>27184.284500784939</v>
      </c>
      <c r="AB17" s="109">
        <f t="shared" si="1"/>
        <v>0</v>
      </c>
      <c r="AC17" s="109">
        <f t="shared" si="1"/>
        <v>31863.202560546011</v>
      </c>
      <c r="AD17" s="109">
        <f t="shared" si="1"/>
        <v>0</v>
      </c>
      <c r="AE17" s="96">
        <f>SUM(AE4:AE15)</f>
        <v>5027.5229864456542</v>
      </c>
      <c r="AF17" s="96">
        <f>SUM(AF4:AF15)</f>
        <v>1439.5765060368071</v>
      </c>
      <c r="AG17" s="96">
        <f>SUM(AG4:AG15)</f>
        <v>6467.0994924824608</v>
      </c>
      <c r="AH17" s="96">
        <f t="shared" si="1"/>
        <v>6259.7161045440371</v>
      </c>
      <c r="AI17" s="96">
        <f t="shared" si="1"/>
        <v>4806.1589997712608</v>
      </c>
      <c r="AJ17" s="96">
        <f t="shared" si="1"/>
        <v>1369.6831920388966</v>
      </c>
      <c r="AK17" s="226">
        <f>IF(SUM(AI17:AJ17)&gt;0, AI17/(AI17+AJ17), "")</f>
        <v>0.77821920484703344</v>
      </c>
    </row>
    <row r="18" spans="1:37" ht="15.75" customHeight="1" thickTop="1" x14ac:dyDescent="0.25">
      <c r="A18" s="441" t="s">
        <v>87</v>
      </c>
      <c r="B18" s="89" t="s">
        <v>52</v>
      </c>
      <c r="C18" s="110">
        <f>JANUARY!B41</f>
        <v>0</v>
      </c>
      <c r="D18" s="110">
        <f>JANUARY!C41</f>
        <v>1855.5929183266601</v>
      </c>
      <c r="E18" s="110">
        <f>JANUARY!D41</f>
        <v>49450.081916122115</v>
      </c>
      <c r="F18" s="110">
        <f>JANUARY!E41</f>
        <v>1854.7910950059963</v>
      </c>
      <c r="G18" s="110">
        <f>JANUARY!F41</f>
        <v>0</v>
      </c>
      <c r="H18" s="110">
        <f>JANUARY!G41</f>
        <v>2514.6786418572142</v>
      </c>
      <c r="I18" s="110">
        <f>JANUARY!H41</f>
        <v>2177.3293718565596</v>
      </c>
      <c r="J18" s="110">
        <f>JANUARY!I41</f>
        <v>3906.9921495389158</v>
      </c>
      <c r="K18" s="110">
        <f>JANUARY!J41</f>
        <v>12022.037740825239</v>
      </c>
      <c r="L18" s="111">
        <f>JANUARY!K41</f>
        <v>2403.6000332626072</v>
      </c>
      <c r="M18" s="110">
        <f>JANUARY!L41</f>
        <v>0</v>
      </c>
      <c r="N18" s="110">
        <f>JANUARY!M41</f>
        <v>0</v>
      </c>
      <c r="O18" s="112">
        <f>JANUARY!N41</f>
        <v>0</v>
      </c>
      <c r="P18" s="112">
        <f>JANUARY!O41</f>
        <v>0</v>
      </c>
      <c r="Q18" s="110">
        <f>JANUARY!P41</f>
        <v>0</v>
      </c>
      <c r="R18" s="110">
        <f>JANUARY!Q41</f>
        <v>0</v>
      </c>
      <c r="S18" s="110">
        <f>JANUARY!R41</f>
        <v>0</v>
      </c>
      <c r="T18" s="110">
        <f>JANUARY!S41</f>
        <v>0</v>
      </c>
      <c r="U18" s="110">
        <f>JANUARY!T41</f>
        <v>0</v>
      </c>
      <c r="V18" s="110">
        <f>JANUARY!U41</f>
        <v>1399.3477169856151</v>
      </c>
      <c r="W18" s="110">
        <f>JANUARY!V41</f>
        <v>800.2953646245827</v>
      </c>
      <c r="X18" s="110">
        <f>JANUARY!W41</f>
        <v>593.114840760437</v>
      </c>
      <c r="Y18" s="110">
        <f>JANUARY!X41</f>
        <v>337.46807028373962</v>
      </c>
      <c r="Z18" s="110">
        <f>JANUARY!Y41</f>
        <v>10622.058298556552</v>
      </c>
      <c r="AA18" s="110">
        <f>JANUARY!Z41</f>
        <v>6082.1203795056372</v>
      </c>
      <c r="AB18" s="110">
        <f>JANUARY!AA41</f>
        <v>0</v>
      </c>
      <c r="AC18" s="113">
        <f>JANUARY!AB41</f>
        <v>364.56536746989218</v>
      </c>
      <c r="AD18" s="113">
        <f>JANUARY!AC41</f>
        <v>0</v>
      </c>
      <c r="AE18" s="123"/>
      <c r="AF18" s="123"/>
      <c r="AG18" s="123"/>
      <c r="AH18" s="123"/>
      <c r="AI18" s="123"/>
      <c r="AJ18" s="123"/>
      <c r="AK18" s="124"/>
    </row>
    <row r="19" spans="1:37" ht="15.75" customHeight="1" x14ac:dyDescent="0.25">
      <c r="A19" s="442"/>
      <c r="B19" s="90" t="s">
        <v>53</v>
      </c>
      <c r="C19" s="114">
        <f>FEBRUARY!B41</f>
        <v>0</v>
      </c>
      <c r="D19" s="114">
        <f>FEBRUARY!C41</f>
        <v>1704.5571063647114</v>
      </c>
      <c r="E19" s="114">
        <f>FEBRUARY!D41</f>
        <v>43495.326503311604</v>
      </c>
      <c r="F19" s="114">
        <f>FEBRUARY!E41</f>
        <v>1701.2764175815885</v>
      </c>
      <c r="G19" s="114">
        <f>FEBRUARY!F41</f>
        <v>0</v>
      </c>
      <c r="H19" s="114">
        <f>FEBRUARY!G41</f>
        <v>2815.2397677630747</v>
      </c>
      <c r="I19" s="114">
        <f>FEBRUARY!H41</f>
        <v>1996.6165847359439</v>
      </c>
      <c r="J19" s="114">
        <f>FEBRUARY!I41</f>
        <v>1547.358930644979</v>
      </c>
      <c r="K19" s="114">
        <f>FEBRUARY!J41</f>
        <v>11617.875087873072</v>
      </c>
      <c r="L19" s="115">
        <f>FEBRUARY!K41</f>
        <v>2310.2448210446628</v>
      </c>
      <c r="M19" s="114">
        <f>FEBRUARY!L41</f>
        <v>0</v>
      </c>
      <c r="N19" s="114">
        <f>FEBRUARY!M41</f>
        <v>0</v>
      </c>
      <c r="O19" s="116">
        <f>FEBRUARY!N41</f>
        <v>0</v>
      </c>
      <c r="P19" s="116">
        <f>FEBRUARY!O41</f>
        <v>0</v>
      </c>
      <c r="Q19" s="114">
        <f>FEBRUARY!P41</f>
        <v>0</v>
      </c>
      <c r="R19" s="114">
        <f>FEBRUARY!Q41</f>
        <v>0</v>
      </c>
      <c r="S19" s="114">
        <f>FEBRUARY!R41</f>
        <v>0</v>
      </c>
      <c r="T19" s="114">
        <f>FEBRUARY!S41</f>
        <v>0</v>
      </c>
      <c r="U19" s="114">
        <f>FEBRUARY!T41</f>
        <v>0</v>
      </c>
      <c r="V19" s="114">
        <f>FEBRUARY!U41</f>
        <v>1297.8112980043095</v>
      </c>
      <c r="W19" s="114">
        <f>FEBRUARY!V41</f>
        <v>744.10527887825413</v>
      </c>
      <c r="X19" s="114">
        <f>FEBRUARY!W41</f>
        <v>616.85256733991594</v>
      </c>
      <c r="Y19" s="114">
        <f>FEBRUARY!X41</f>
        <v>353.71494324863085</v>
      </c>
      <c r="Z19" s="114">
        <f>FEBRUARY!Y41</f>
        <v>9159.7286381813738</v>
      </c>
      <c r="AA19" s="114">
        <f>FEBRUARY!Z41</f>
        <v>5250.7730252687934</v>
      </c>
      <c r="AB19" s="114">
        <f>FEBRUARY!AA41</f>
        <v>0</v>
      </c>
      <c r="AC19" s="117">
        <f>FEBRUARY!AB41</f>
        <v>381.48481077706265</v>
      </c>
      <c r="AD19" s="117">
        <f>FEBRUARY!AC41</f>
        <v>0</v>
      </c>
      <c r="AE19" s="125"/>
      <c r="AF19" s="125"/>
      <c r="AG19" s="125"/>
      <c r="AH19" s="125"/>
      <c r="AI19" s="125"/>
      <c r="AJ19" s="125"/>
      <c r="AK19" s="126"/>
    </row>
    <row r="20" spans="1:37" ht="15.75" customHeight="1" x14ac:dyDescent="0.25">
      <c r="A20" s="442"/>
      <c r="B20" s="90" t="s">
        <v>54</v>
      </c>
      <c r="C20" s="114">
        <f>MARCH!B41</f>
        <v>0</v>
      </c>
      <c r="D20" s="114">
        <f>MARCH!C41</f>
        <v>1779.2743962863212</v>
      </c>
      <c r="E20" s="114">
        <f>MARCH!D41</f>
        <v>42539.475079162003</v>
      </c>
      <c r="F20" s="114">
        <f>MARCH!E41</f>
        <v>1822.6964111687687</v>
      </c>
      <c r="G20" s="114">
        <f>MARCH!F41</f>
        <v>0</v>
      </c>
      <c r="H20" s="114">
        <f>MARCH!G41</f>
        <v>3373.9444786616382</v>
      </c>
      <c r="I20" s="114">
        <f>MARCH!H41</f>
        <v>2096.8025026236855</v>
      </c>
      <c r="J20" s="114">
        <f>MARCH!I41</f>
        <v>2613.5768072707533</v>
      </c>
      <c r="K20" s="114">
        <f>MARCH!J41</f>
        <v>14636.056155645972</v>
      </c>
      <c r="L20" s="115">
        <f>MARCH!K41</f>
        <v>2934.6885627970682</v>
      </c>
      <c r="M20" s="114">
        <f>MARCH!L41</f>
        <v>0</v>
      </c>
      <c r="N20" s="114">
        <f>MARCH!M41</f>
        <v>0</v>
      </c>
      <c r="O20" s="116">
        <f>MARCH!N41</f>
        <v>0</v>
      </c>
      <c r="P20" s="116">
        <f>MARCH!O41</f>
        <v>0</v>
      </c>
      <c r="Q20" s="114">
        <f>MARCH!P41</f>
        <v>0</v>
      </c>
      <c r="R20" s="114">
        <f>MARCH!Q41</f>
        <v>0</v>
      </c>
      <c r="S20" s="114">
        <f>MARCH!R41</f>
        <v>0</v>
      </c>
      <c r="T20" s="114">
        <f>MARCH!S41</f>
        <v>0</v>
      </c>
      <c r="U20" s="114">
        <f>MARCH!T41</f>
        <v>0</v>
      </c>
      <c r="V20" s="114">
        <f>MARCH!U41</f>
        <v>1663.9072564116111</v>
      </c>
      <c r="W20" s="114">
        <f>MARCH!V41</f>
        <v>784.00191715880669</v>
      </c>
      <c r="X20" s="114">
        <f>MARCH!W41</f>
        <v>725.9181300991512</v>
      </c>
      <c r="Y20" s="114">
        <f>MARCH!X41</f>
        <v>340.26604488524993</v>
      </c>
      <c r="Z20" s="114">
        <f>MARCH!Y41</f>
        <v>11620.977126060248</v>
      </c>
      <c r="AA20" s="114">
        <f>MARCH!Z41</f>
        <v>5521.7778393717981</v>
      </c>
      <c r="AB20" s="114">
        <f>MARCH!AA41</f>
        <v>0</v>
      </c>
      <c r="AC20" s="117">
        <f>MARCH!AB41</f>
        <v>522.65020054203092</v>
      </c>
      <c r="AD20" s="117">
        <f>MARCH!AC41</f>
        <v>0</v>
      </c>
      <c r="AE20" s="125"/>
      <c r="AF20" s="125"/>
      <c r="AG20" s="125"/>
      <c r="AH20" s="125"/>
      <c r="AI20" s="125"/>
      <c r="AJ20" s="125"/>
      <c r="AK20" s="126"/>
    </row>
    <row r="21" spans="1:37" ht="15.75" customHeight="1" x14ac:dyDescent="0.25">
      <c r="A21" s="442"/>
      <c r="B21" s="90" t="s">
        <v>55</v>
      </c>
      <c r="C21" s="114">
        <f>APRIL!B41</f>
        <v>0</v>
      </c>
      <c r="D21" s="114">
        <f>APRIL!C41</f>
        <v>1833.0950152375449</v>
      </c>
      <c r="E21" s="114">
        <f>APRIL!D41</f>
        <v>39387.027034603903</v>
      </c>
      <c r="F21" s="114">
        <f>APRIL!E41</f>
        <v>1938.6163040574015</v>
      </c>
      <c r="G21" s="114">
        <f>APRIL!F41</f>
        <v>0</v>
      </c>
      <c r="H21" s="114">
        <f>APRIL!G41</f>
        <v>2800.1643670541389</v>
      </c>
      <c r="I21" s="114">
        <f>APRIL!H41</f>
        <v>2158.48933009866</v>
      </c>
      <c r="J21" s="114">
        <f>APRIL!I41</f>
        <v>2400.9557483503995</v>
      </c>
      <c r="K21" s="114">
        <f>APRIL!J41</f>
        <v>15384.882785033727</v>
      </c>
      <c r="L21" s="115">
        <f>APRIL!K41</f>
        <v>3056.6635681454004</v>
      </c>
      <c r="M21" s="114">
        <f>APRIL!L41</f>
        <v>0</v>
      </c>
      <c r="N21" s="114">
        <f>APRIL!M41</f>
        <v>0</v>
      </c>
      <c r="O21" s="116">
        <f>APRIL!N41</f>
        <v>0</v>
      </c>
      <c r="P21" s="116">
        <f>APRIL!O41</f>
        <v>0</v>
      </c>
      <c r="Q21" s="114">
        <f>APRIL!P41</f>
        <v>0</v>
      </c>
      <c r="R21" s="114">
        <f>APRIL!Q41</f>
        <v>0</v>
      </c>
      <c r="S21" s="114">
        <f>APRIL!R41</f>
        <v>0</v>
      </c>
      <c r="T21" s="114">
        <f>APRIL!S41</f>
        <v>0</v>
      </c>
      <c r="U21" s="114">
        <f>APRIL!T41</f>
        <v>0</v>
      </c>
      <c r="V21" s="114">
        <f>APRIL!U41</f>
        <v>1823.7496762744711</v>
      </c>
      <c r="W21" s="114">
        <f>APRIL!V41</f>
        <v>855.40710092032816</v>
      </c>
      <c r="X21" s="114">
        <f>APRIL!W41</f>
        <v>758.08677888797195</v>
      </c>
      <c r="Y21" s="114">
        <f>APRIL!X41</f>
        <v>355.05289020679589</v>
      </c>
      <c r="Z21" s="114">
        <f>APRIL!Y41</f>
        <v>13019.134553792419</v>
      </c>
      <c r="AA21" s="114">
        <f>APRIL!Z41</f>
        <v>6105.4871736829828</v>
      </c>
      <c r="AB21" s="114">
        <f>APRIL!AA41</f>
        <v>0</v>
      </c>
      <c r="AC21" s="117">
        <f>APRIL!AB41</f>
        <v>555.57295709067603</v>
      </c>
      <c r="AD21" s="117">
        <f>APRIL!AC41</f>
        <v>0</v>
      </c>
      <c r="AE21" s="125"/>
      <c r="AF21" s="125"/>
      <c r="AG21" s="125"/>
      <c r="AH21" s="125"/>
      <c r="AI21" s="125"/>
      <c r="AJ21" s="125"/>
      <c r="AK21" s="126"/>
    </row>
    <row r="22" spans="1:37" ht="15.75" customHeight="1" x14ac:dyDescent="0.25">
      <c r="A22" s="442"/>
      <c r="B22" s="90" t="s">
        <v>56</v>
      </c>
      <c r="C22" s="114">
        <f>MAY!B41</f>
        <v>0</v>
      </c>
      <c r="D22" s="114">
        <f>MAY!C41</f>
        <v>1757.2162348262827</v>
      </c>
      <c r="E22" s="114">
        <f>MAY!D41</f>
        <v>46045.959781655045</v>
      </c>
      <c r="F22" s="114">
        <f>MAY!E41</f>
        <v>1855.0628597982129</v>
      </c>
      <c r="G22" s="114">
        <f>MAY!F41</f>
        <v>0</v>
      </c>
      <c r="H22" s="114">
        <f>MAY!G41</f>
        <v>2096.4065520179715</v>
      </c>
      <c r="I22" s="114">
        <f>MAY!H41</f>
        <v>2054.08813190309</v>
      </c>
      <c r="J22" s="114">
        <f>MAY!I41</f>
        <v>2815.4045854640804</v>
      </c>
      <c r="K22" s="114">
        <f>MAY!J41</f>
        <v>17091.840865218441</v>
      </c>
      <c r="L22" s="115">
        <f>MAY!K41</f>
        <v>3419.776829029508</v>
      </c>
      <c r="M22" s="114">
        <f>MAY!L41</f>
        <v>0</v>
      </c>
      <c r="N22" s="114">
        <f>MAY!M41</f>
        <v>0</v>
      </c>
      <c r="O22" s="116">
        <f>MAY!N41</f>
        <v>0</v>
      </c>
      <c r="P22" s="116">
        <f>MAY!O41</f>
        <v>0</v>
      </c>
      <c r="Q22" s="114">
        <f>MAY!P41</f>
        <v>0</v>
      </c>
      <c r="R22" s="114">
        <f>MAY!Q41</f>
        <v>0</v>
      </c>
      <c r="S22" s="114">
        <f>MAY!R41</f>
        <v>0</v>
      </c>
      <c r="T22" s="114">
        <f>MAY!S41</f>
        <v>0</v>
      </c>
      <c r="U22" s="114">
        <f>MAY!T41</f>
        <v>0</v>
      </c>
      <c r="V22" s="114">
        <f>MAY!U41</f>
        <v>2126.130683509411</v>
      </c>
      <c r="W22" s="114">
        <f>MAY!V41</f>
        <v>829.33199566081498</v>
      </c>
      <c r="X22" s="114">
        <f>MAY!W41</f>
        <v>796.18433600419849</v>
      </c>
      <c r="Y22" s="114">
        <f>MAY!X41</f>
        <v>313.33707961657979</v>
      </c>
      <c r="Z22" s="114">
        <f>MAY!Y41</f>
        <v>14359.244202830083</v>
      </c>
      <c r="AA22" s="114">
        <f>MAY!Z41</f>
        <v>5614.8584192914395</v>
      </c>
      <c r="AB22" s="114">
        <f>MAY!AA41</f>
        <v>0</v>
      </c>
      <c r="AC22" s="117">
        <f>MAY!AB41</f>
        <v>568.4675270139702</v>
      </c>
      <c r="AD22" s="117">
        <f>MAY!AC41</f>
        <v>0</v>
      </c>
      <c r="AE22" s="125"/>
      <c r="AF22" s="125"/>
      <c r="AG22" s="125"/>
      <c r="AH22" s="125"/>
      <c r="AI22" s="125"/>
      <c r="AJ22" s="125"/>
      <c r="AK22" s="126"/>
    </row>
    <row r="23" spans="1:37" ht="15.75" customHeight="1" x14ac:dyDescent="0.25">
      <c r="A23" s="442"/>
      <c r="B23" s="90" t="s">
        <v>57</v>
      </c>
      <c r="C23" s="114">
        <f>JUNE!B41</f>
        <v>0</v>
      </c>
      <c r="D23" s="114">
        <f>JUNE!C41</f>
        <v>1947.3150614709357</v>
      </c>
      <c r="E23" s="114">
        <f>JUNE!D41</f>
        <v>49839.481153214911</v>
      </c>
      <c r="F23" s="114">
        <f>JUNE!E41</f>
        <v>1956.7423405984719</v>
      </c>
      <c r="G23" s="114">
        <f>JUNE!F41</f>
        <v>0</v>
      </c>
      <c r="H23" s="114">
        <f>JUNE!G41</f>
        <v>2553.2773998996358</v>
      </c>
      <c r="I23" s="114">
        <f>JUNE!H41</f>
        <v>2117.3385553466842</v>
      </c>
      <c r="J23" s="114">
        <f>JUNE!I41</f>
        <v>3648.9512139953349</v>
      </c>
      <c r="K23" s="114">
        <f>JUNE!J41</f>
        <v>32523.557225725635</v>
      </c>
      <c r="L23" s="115">
        <f>JUNE!K41</f>
        <v>6492.3332702332355</v>
      </c>
      <c r="M23" s="114">
        <f>JUNE!L41</f>
        <v>0</v>
      </c>
      <c r="N23" s="114">
        <f>JUNE!M41</f>
        <v>0</v>
      </c>
      <c r="O23" s="116">
        <f>JUNE!N41</f>
        <v>0</v>
      </c>
      <c r="P23" s="116">
        <f>JUNE!O41</f>
        <v>0</v>
      </c>
      <c r="Q23" s="114">
        <f>JUNE!P41</f>
        <v>0</v>
      </c>
      <c r="R23" s="114">
        <f>JUNE!Q41</f>
        <v>0</v>
      </c>
      <c r="S23" s="114">
        <f>JUNE!R41</f>
        <v>0</v>
      </c>
      <c r="T23" s="114">
        <f>JUNE!S41</f>
        <v>0</v>
      </c>
      <c r="U23" s="114">
        <f>JUNE!T41</f>
        <v>0</v>
      </c>
      <c r="V23" s="114">
        <f>JUNE!U41</f>
        <v>4522.5784182912466</v>
      </c>
      <c r="W23" s="114">
        <f>JUNE!V41</f>
        <v>893.8332476934429</v>
      </c>
      <c r="X23" s="114">
        <f>JUNE!W41</f>
        <v>1446.3478560108588</v>
      </c>
      <c r="Y23" s="114">
        <f>JUNE!X41</f>
        <v>288.19121531742599</v>
      </c>
      <c r="Z23" s="114">
        <f>JUNE!Y41</f>
        <v>36176.89940385201</v>
      </c>
      <c r="AA23" s="114">
        <f>JUNE!Z41</f>
        <v>7037.7234577457084</v>
      </c>
      <c r="AB23" s="114">
        <f>JUNE!AA41</f>
        <v>0</v>
      </c>
      <c r="AC23" s="117">
        <f>JUNE!AB41</f>
        <v>934.52903190136806</v>
      </c>
      <c r="AD23" s="117">
        <f>JUNE!AC41</f>
        <v>0</v>
      </c>
      <c r="AE23" s="125"/>
      <c r="AF23" s="125"/>
      <c r="AG23" s="125"/>
      <c r="AH23" s="125"/>
      <c r="AI23" s="125"/>
      <c r="AJ23" s="125"/>
      <c r="AK23" s="126"/>
    </row>
    <row r="24" spans="1:37" ht="15.75" customHeight="1" x14ac:dyDescent="0.25">
      <c r="A24" s="442"/>
      <c r="B24" s="90" t="s">
        <v>58</v>
      </c>
      <c r="C24" s="114">
        <f>JULY!B41</f>
        <v>0</v>
      </c>
      <c r="D24" s="114">
        <f>JULY!C41</f>
        <v>3243.2165587688833</v>
      </c>
      <c r="E24" s="114">
        <f>JULY!D41</f>
        <v>82254.604923843828</v>
      </c>
      <c r="F24" s="114">
        <f>JULY!E41</f>
        <v>3146.1741235212485</v>
      </c>
      <c r="G24" s="114">
        <f>JULY!F41</f>
        <v>0</v>
      </c>
      <c r="H24" s="114">
        <f>JULY!G41</f>
        <v>4535.7900116456804</v>
      </c>
      <c r="I24" s="114">
        <f>JULY!H41</f>
        <v>4449.6939782773352</v>
      </c>
      <c r="J24" s="114">
        <f>JULY!I41</f>
        <v>2491.01961458299</v>
      </c>
      <c r="K24" s="114">
        <f>JULY!J41</f>
        <v>26146.957353908329</v>
      </c>
      <c r="L24" s="115">
        <f>JULY!K41</f>
        <v>4927.6133152228549</v>
      </c>
      <c r="M24" s="114">
        <f>JULY!L41</f>
        <v>0</v>
      </c>
      <c r="N24" s="114">
        <f>JULY!M41</f>
        <v>0</v>
      </c>
      <c r="O24" s="116">
        <f>JULY!N41</f>
        <v>0</v>
      </c>
      <c r="P24" s="116">
        <f>JULY!O41</f>
        <v>0</v>
      </c>
      <c r="Q24" s="114">
        <f>JULY!P41</f>
        <v>0</v>
      </c>
      <c r="R24" s="114">
        <f>JULY!Q41</f>
        <v>0</v>
      </c>
      <c r="S24" s="114">
        <f>JULY!R41</f>
        <v>0</v>
      </c>
      <c r="T24" s="114">
        <f>JULY!S41</f>
        <v>0</v>
      </c>
      <c r="U24" s="114">
        <f>JULY!T41</f>
        <v>0</v>
      </c>
      <c r="V24" s="114">
        <f>JULY!U41</f>
        <v>3869.1378828022016</v>
      </c>
      <c r="W24" s="114">
        <f>JULY!V41</f>
        <v>1566.7451674602369</v>
      </c>
      <c r="X24" s="114">
        <f>JULY!W41</f>
        <v>1246.0271257954685</v>
      </c>
      <c r="Y24" s="114">
        <f>JULY!X41</f>
        <v>504.44925651129438</v>
      </c>
      <c r="Z24" s="114">
        <f>JULY!Y41</f>
        <v>30281.414848184879</v>
      </c>
      <c r="AA24" s="114">
        <f>JULY!Z41</f>
        <v>12257.869308342451</v>
      </c>
      <c r="AB24" s="114">
        <f>JULY!AA41</f>
        <v>0</v>
      </c>
      <c r="AC24" s="117">
        <f>JULY!AB41</f>
        <v>906.42143493633239</v>
      </c>
      <c r="AD24" s="117">
        <f>JULY!AC41</f>
        <v>0</v>
      </c>
      <c r="AE24" s="125"/>
      <c r="AF24" s="125"/>
      <c r="AG24" s="125"/>
      <c r="AH24" s="125"/>
      <c r="AI24" s="125"/>
      <c r="AJ24" s="125"/>
      <c r="AK24" s="126"/>
    </row>
    <row r="25" spans="1:37" ht="15.75" customHeight="1" x14ac:dyDescent="0.25">
      <c r="A25" s="442"/>
      <c r="B25" s="90" t="s">
        <v>59</v>
      </c>
      <c r="C25" s="114">
        <f>AUGUST!B41</f>
        <v>0</v>
      </c>
      <c r="D25" s="114">
        <f>AUGUST!C41</f>
        <v>3573.1631216426299</v>
      </c>
      <c r="E25" s="114">
        <f>AUGUST!D41</f>
        <v>90249.039773216762</v>
      </c>
      <c r="F25" s="114">
        <f>AUGUST!E41</f>
        <v>3419.5229798699279</v>
      </c>
      <c r="G25" s="114">
        <f>AUGUST!F41</f>
        <v>0</v>
      </c>
      <c r="H25" s="114">
        <f>AUGUST!G41</f>
        <v>5065.1348334110116</v>
      </c>
      <c r="I25" s="114">
        <f>AUGUST!H41</f>
        <v>4895.9237657405429</v>
      </c>
      <c r="J25" s="114">
        <f>AUGUST!I41</f>
        <v>3205.4598396069391</v>
      </c>
      <c r="K25" s="114">
        <f>AUGUST!J41</f>
        <v>21643.494231949782</v>
      </c>
      <c r="L25" s="115">
        <f>AUGUST!K41</f>
        <v>4071.5203463185399</v>
      </c>
      <c r="M25" s="114">
        <f>AUGUST!L41</f>
        <v>0</v>
      </c>
      <c r="N25" s="114">
        <f>AUGUST!M41</f>
        <v>0</v>
      </c>
      <c r="O25" s="116">
        <f>AUGUST!N41</f>
        <v>0</v>
      </c>
      <c r="P25" s="116">
        <f>AUGUST!O41</f>
        <v>2.8322923206120188E-3</v>
      </c>
      <c r="Q25" s="114">
        <f>AUGUST!P41</f>
        <v>0</v>
      </c>
      <c r="R25" s="114">
        <f>AUGUST!Q41</f>
        <v>1.2964629212588617E-3</v>
      </c>
      <c r="S25" s="114">
        <f>AUGUST!R41</f>
        <v>2.3028308858874448E-4</v>
      </c>
      <c r="T25" s="114">
        <f>AUGUST!S41</f>
        <v>0</v>
      </c>
      <c r="U25" s="114">
        <f>AUGUST!T41</f>
        <v>0</v>
      </c>
      <c r="V25" s="114">
        <f>AUGUST!U41</f>
        <v>2827.7973247618529</v>
      </c>
      <c r="W25" s="114">
        <f>AUGUST!V41</f>
        <v>1487.0827389178157</v>
      </c>
      <c r="X25" s="114">
        <f>AUGUST!W41</f>
        <v>1041.2596111520972</v>
      </c>
      <c r="Y25" s="114">
        <f>AUGUST!X41</f>
        <v>548.72442781507027</v>
      </c>
      <c r="Z25" s="114">
        <f>AUGUST!Y41</f>
        <v>26466.636787502659</v>
      </c>
      <c r="AA25" s="114">
        <f>AUGUST!Z41</f>
        <v>13761.054962995366</v>
      </c>
      <c r="AB25" s="114">
        <f>AUGUST!AA41</f>
        <v>0</v>
      </c>
      <c r="AC25" s="117">
        <f>AUGUST!AB41</f>
        <v>932.91177067702301</v>
      </c>
      <c r="AD25" s="117">
        <f>AUGUST!AC41</f>
        <v>0</v>
      </c>
      <c r="AE25" s="125"/>
      <c r="AF25" s="125"/>
      <c r="AG25" s="125"/>
      <c r="AH25" s="125"/>
      <c r="AI25" s="125"/>
      <c r="AJ25" s="125"/>
      <c r="AK25" s="126"/>
    </row>
    <row r="26" spans="1:37" ht="15.75" customHeight="1" x14ac:dyDescent="0.25">
      <c r="A26" s="442"/>
      <c r="B26" s="90" t="s">
        <v>60</v>
      </c>
      <c r="C26" s="114">
        <f>SEPTEMBER!B41</f>
        <v>0</v>
      </c>
      <c r="D26" s="114">
        <f>SEPTEMBER!C41</f>
        <v>750.642918586306</v>
      </c>
      <c r="E26" s="114">
        <f>SEPTEMBER!D41</f>
        <v>19070.727872199051</v>
      </c>
      <c r="F26" s="114">
        <f>SEPTEMBER!E41</f>
        <v>729.30588038148676</v>
      </c>
      <c r="G26" s="114">
        <f>SEPTEMBER!F41</f>
        <v>0</v>
      </c>
      <c r="H26" s="114">
        <f>SEPTEMBER!G41</f>
        <v>1034.2145695381084</v>
      </c>
      <c r="I26" s="114">
        <f>SEPTEMBER!H41</f>
        <v>1031.7362922650482</v>
      </c>
      <c r="J26" s="114">
        <f>SEPTEMBER!I41</f>
        <v>3915.1821465297949</v>
      </c>
      <c r="K26" s="114">
        <f>SEPTEMBER!J41</f>
        <v>36646.353712348195</v>
      </c>
      <c r="L26" s="115">
        <f>SEPTEMBER!K41</f>
        <v>6892.197179666382</v>
      </c>
      <c r="M26" s="114">
        <f>SEPTEMBER!L41</f>
        <v>0</v>
      </c>
      <c r="N26" s="114">
        <f>SEPTEMBER!M41</f>
        <v>0</v>
      </c>
      <c r="O26" s="116">
        <f>SEPTEMBER!N41</f>
        <v>0</v>
      </c>
      <c r="P26" s="116">
        <f>SEPTEMBER!O41</f>
        <v>0</v>
      </c>
      <c r="Q26" s="114">
        <f>SEPTEMBER!P41</f>
        <v>0</v>
      </c>
      <c r="R26" s="114">
        <f>SEPTEMBER!Q41</f>
        <v>0</v>
      </c>
      <c r="S26" s="114">
        <f>SEPTEMBER!R41</f>
        <v>0</v>
      </c>
      <c r="T26" s="114">
        <f>SEPTEMBER!S41</f>
        <v>0</v>
      </c>
      <c r="U26" s="114">
        <f>SEPTEMBER!T41</f>
        <v>0</v>
      </c>
      <c r="V26" s="114">
        <f>SEPTEMBER!U41</f>
        <v>4474.5647657390218</v>
      </c>
      <c r="W26" s="114">
        <f>SEPTEMBER!V41</f>
        <v>307.77058261234259</v>
      </c>
      <c r="X26" s="114">
        <f>SEPTEMBER!W41</f>
        <v>1777.7803225516923</v>
      </c>
      <c r="Y26" s="114">
        <f>SEPTEMBER!X41</f>
        <v>117.37109460494015</v>
      </c>
      <c r="Z26" s="114">
        <f>SEPTEMBER!Y41</f>
        <v>62806.454208761686</v>
      </c>
      <c r="AA26" s="114">
        <f>SEPTEMBER!Z41</f>
        <v>3394.2805678223117</v>
      </c>
      <c r="AB26" s="114">
        <f>SEPTEMBER!AA41</f>
        <v>0</v>
      </c>
      <c r="AC26" s="117">
        <f>SEPTEMBER!AB41</f>
        <v>988.03210661703031</v>
      </c>
      <c r="AD26" s="117">
        <f>SEPTEMBER!AC41</f>
        <v>0</v>
      </c>
      <c r="AE26" s="125"/>
      <c r="AF26" s="125"/>
      <c r="AG26" s="125"/>
      <c r="AH26" s="125"/>
      <c r="AI26" s="125"/>
      <c r="AJ26" s="125"/>
      <c r="AK26" s="126"/>
    </row>
    <row r="27" spans="1:37" ht="15.75" customHeight="1" x14ac:dyDescent="0.25">
      <c r="A27" s="442"/>
      <c r="B27" s="90" t="s">
        <v>61</v>
      </c>
      <c r="C27" s="114">
        <f>OCTOBER!B41</f>
        <v>0</v>
      </c>
      <c r="D27" s="114">
        <f>OCTOBER!C41</f>
        <v>0</v>
      </c>
      <c r="E27" s="114">
        <f>OCTOBER!D41</f>
        <v>0</v>
      </c>
      <c r="F27" s="114">
        <f>OCTOBER!E41</f>
        <v>0</v>
      </c>
      <c r="G27" s="114">
        <f>OCTOBER!F41</f>
        <v>0</v>
      </c>
      <c r="H27" s="114">
        <f>OCTOBER!G41</f>
        <v>0</v>
      </c>
      <c r="I27" s="114">
        <f>OCTOBER!H41</f>
        <v>0</v>
      </c>
      <c r="J27" s="114">
        <f>OCTOBER!I41</f>
        <v>6273.6328030856084</v>
      </c>
      <c r="K27" s="114">
        <f>OCTOBER!J41</f>
        <v>27387.9796038186</v>
      </c>
      <c r="L27" s="115">
        <f>OCTOBER!K41</f>
        <v>5159.7026455726354</v>
      </c>
      <c r="M27" s="114">
        <f>OCTOBER!L41</f>
        <v>0</v>
      </c>
      <c r="N27" s="114">
        <f>OCTOBER!M41</f>
        <v>0</v>
      </c>
      <c r="O27" s="116">
        <f>OCTOBER!N41</f>
        <v>0</v>
      </c>
      <c r="P27" s="116">
        <f>OCTOBER!O41</f>
        <v>0</v>
      </c>
      <c r="Q27" s="114">
        <f>OCTOBER!P41</f>
        <v>0</v>
      </c>
      <c r="R27" s="114">
        <f>OCTOBER!Q41</f>
        <v>0</v>
      </c>
      <c r="S27" s="114">
        <f>OCTOBER!R41</f>
        <v>0</v>
      </c>
      <c r="T27" s="114">
        <f>OCTOBER!S41</f>
        <v>0</v>
      </c>
      <c r="U27" s="114">
        <f>OCTOBER!T41</f>
        <v>0</v>
      </c>
      <c r="V27" s="114">
        <f>OCTOBER!U41</f>
        <v>2966.2778881177942</v>
      </c>
      <c r="W27" s="114">
        <f>OCTOBER!V41</f>
        <v>0</v>
      </c>
      <c r="X27" s="114">
        <f>OCTOBER!W41</f>
        <v>1198.6315695457379</v>
      </c>
      <c r="Y27" s="114">
        <f>OCTOBER!X41</f>
        <v>0</v>
      </c>
      <c r="Z27" s="114">
        <f>OCTOBER!Y41</f>
        <v>22340.647360789251</v>
      </c>
      <c r="AA27" s="114">
        <f>OCTOBER!Z41</f>
        <v>0</v>
      </c>
      <c r="AB27" s="114">
        <f>OCTOBER!AA41</f>
        <v>0</v>
      </c>
      <c r="AC27" s="117">
        <f>OCTOBER!AB41</f>
        <v>465.66660465380647</v>
      </c>
      <c r="AD27" s="117">
        <f>OCTOBER!AC41</f>
        <v>0</v>
      </c>
      <c r="AE27" s="125"/>
      <c r="AF27" s="125"/>
      <c r="AG27" s="125"/>
      <c r="AH27" s="125"/>
      <c r="AI27" s="125"/>
      <c r="AJ27" s="125"/>
      <c r="AK27" s="126"/>
    </row>
    <row r="28" spans="1:37" ht="15.75" customHeight="1" x14ac:dyDescent="0.25">
      <c r="A28" s="442"/>
      <c r="B28" s="90" t="s">
        <v>62</v>
      </c>
      <c r="C28" s="114">
        <f>NOVEMBER!B41</f>
        <v>0</v>
      </c>
      <c r="D28" s="114">
        <f>NOVEMBER!C41</f>
        <v>0</v>
      </c>
      <c r="E28" s="114">
        <f>NOVEMBER!D41</f>
        <v>0</v>
      </c>
      <c r="F28" s="114">
        <f>NOVEMBER!E41</f>
        <v>0</v>
      </c>
      <c r="G28" s="114">
        <f>NOVEMBER!F41</f>
        <v>0</v>
      </c>
      <c r="H28" s="114">
        <f>NOVEMBER!G41</f>
        <v>0</v>
      </c>
      <c r="I28" s="114">
        <f>NOVEMBER!H41</f>
        <v>0</v>
      </c>
      <c r="J28" s="114">
        <f>NOVEMBER!I41</f>
        <v>4838.6784048341924</v>
      </c>
      <c r="K28" s="114">
        <f>NOVEMBER!J41</f>
        <v>18458.376166003742</v>
      </c>
      <c r="L28" s="114">
        <f>NOVEMBER!K41</f>
        <v>3490.0636412833164</v>
      </c>
      <c r="M28" s="114">
        <f>NOVEMBER!L41</f>
        <v>0</v>
      </c>
      <c r="N28" s="114">
        <f>NOVEMBER!M41</f>
        <v>0</v>
      </c>
      <c r="O28" s="114">
        <f>NOVEMBER!N41</f>
        <v>0</v>
      </c>
      <c r="P28" s="114">
        <f>NOVEMBER!O41</f>
        <v>0</v>
      </c>
      <c r="Q28" s="114">
        <f>NOVEMBER!P41</f>
        <v>0</v>
      </c>
      <c r="R28" s="114">
        <f>NOVEMBER!Q41</f>
        <v>0</v>
      </c>
      <c r="S28" s="114">
        <f>NOVEMBER!R41</f>
        <v>0</v>
      </c>
      <c r="T28" s="114">
        <f>NOVEMBER!S41</f>
        <v>0</v>
      </c>
      <c r="U28" s="114">
        <f>NOVEMBER!T41</f>
        <v>0</v>
      </c>
      <c r="V28" s="114">
        <f>NOVEMBER!U41</f>
        <v>2777.5830237571208</v>
      </c>
      <c r="W28" s="114">
        <f>NOVEMBER!V41</f>
        <v>0</v>
      </c>
      <c r="X28" s="114">
        <f>NOVEMBER!W41</f>
        <v>1000.4983621890084</v>
      </c>
      <c r="Y28" s="114">
        <f>NOVEMBER!X41</f>
        <v>0</v>
      </c>
      <c r="Z28" s="114">
        <f>NOVEMBER!Y41</f>
        <v>16454.67207152375</v>
      </c>
      <c r="AA28" s="114">
        <f>NOVEMBER!Z41</f>
        <v>0</v>
      </c>
      <c r="AB28" s="114">
        <f>NOVEMBER!AA41</f>
        <v>0</v>
      </c>
      <c r="AC28" s="114">
        <f>NOVEMBER!AB41</f>
        <v>362.64254864933469</v>
      </c>
      <c r="AD28" s="114">
        <f>NOVEMBER!AC41</f>
        <v>0</v>
      </c>
      <c r="AE28" s="125"/>
      <c r="AF28" s="125"/>
      <c r="AG28" s="125"/>
      <c r="AH28" s="125"/>
      <c r="AI28" s="125"/>
      <c r="AJ28" s="125"/>
      <c r="AK28" s="126"/>
    </row>
    <row r="29" spans="1:37" ht="15.75" customHeight="1" x14ac:dyDescent="0.25">
      <c r="A29" s="443"/>
      <c r="B29" s="92" t="s">
        <v>63</v>
      </c>
      <c r="C29" s="118">
        <f>DECEMBER!B41</f>
        <v>0</v>
      </c>
      <c r="D29" s="118">
        <f>DECEMBER!C41</f>
        <v>1343.3451520141507</v>
      </c>
      <c r="E29" s="118">
        <f>DECEMBER!D41</f>
        <v>36406.18213235469</v>
      </c>
      <c r="F29" s="118">
        <f>DECEMBER!E41</f>
        <v>1299.8102538471583</v>
      </c>
      <c r="G29" s="118">
        <f>DECEMBER!F41</f>
        <v>0</v>
      </c>
      <c r="H29" s="118">
        <f>DECEMBER!G41</f>
        <v>2105.6109005882363</v>
      </c>
      <c r="I29" s="118">
        <f>DECEMBER!H41</f>
        <v>1829.0360852392917</v>
      </c>
      <c r="J29" s="118">
        <f>DECEMBER!I41</f>
        <v>3162.9407200686237</v>
      </c>
      <c r="K29" s="118">
        <f>DECEMBER!J41</f>
        <v>13451.040877512391</v>
      </c>
      <c r="L29" s="119">
        <f>DECEMBER!K41</f>
        <v>2483.4148564976631</v>
      </c>
      <c r="M29" s="118">
        <f>DECEMBER!L41</f>
        <v>0</v>
      </c>
      <c r="N29" s="118">
        <f>DECEMBER!M41</f>
        <v>0</v>
      </c>
      <c r="O29" s="120">
        <f>DECEMBER!N41</f>
        <v>0</v>
      </c>
      <c r="P29" s="120">
        <f>DECEMBER!O41</f>
        <v>2.4963985563702127</v>
      </c>
      <c r="Q29" s="118">
        <f>DECEMBER!P41</f>
        <v>0</v>
      </c>
      <c r="R29" s="118">
        <f>DECEMBER!Q41</f>
        <v>1.4030735974402826</v>
      </c>
      <c r="S29" s="118">
        <f>DECEMBER!R41</f>
        <v>0.43263049566504291</v>
      </c>
      <c r="T29" s="118">
        <f>DECEMBER!S41</f>
        <v>0</v>
      </c>
      <c r="U29" s="118">
        <f>DECEMBER!T41</f>
        <v>0</v>
      </c>
      <c r="V29" s="118">
        <f>DECEMBER!U41</f>
        <v>2265.7475586249029</v>
      </c>
      <c r="W29" s="118">
        <f>DECEMBER!V41</f>
        <v>680.8875574155328</v>
      </c>
      <c r="X29" s="118">
        <f>DECEMBER!W41</f>
        <v>837.93034971096449</v>
      </c>
      <c r="Y29" s="118">
        <f>DECEMBER!X41</f>
        <v>255.11160625580516</v>
      </c>
      <c r="Z29" s="118">
        <f>DECEMBER!Y41</f>
        <v>10405.871608073086</v>
      </c>
      <c r="AA29" s="118">
        <f>DECEMBER!Z41</f>
        <v>3057.1497667583894</v>
      </c>
      <c r="AB29" s="118">
        <f>DECEMBER!AA41</f>
        <v>0</v>
      </c>
      <c r="AC29" s="121">
        <f>DECEMBER!AB41</f>
        <v>411.67433605355473</v>
      </c>
      <c r="AD29" s="121">
        <f>DECEMBER!AC41</f>
        <v>0</v>
      </c>
      <c r="AE29" s="125"/>
      <c r="AF29" s="125"/>
      <c r="AG29" s="127"/>
      <c r="AH29" s="127"/>
      <c r="AI29" s="127"/>
      <c r="AJ29" s="127"/>
      <c r="AK29" s="128"/>
    </row>
    <row r="30" spans="1:37" ht="15.75" customHeight="1" thickBot="1" x14ac:dyDescent="0.3">
      <c r="A30" s="97" t="s">
        <v>88</v>
      </c>
      <c r="B30" s="98" t="s">
        <v>64</v>
      </c>
      <c r="C30" s="122">
        <f>SUM(C18:C29)</f>
        <v>0</v>
      </c>
      <c r="D30" s="122">
        <f t="shared" ref="D30:AD30" si="2">SUM(D18:D29)</f>
        <v>19787.418483524423</v>
      </c>
      <c r="E30" s="122">
        <f t="shared" si="2"/>
        <v>498737.90616968391</v>
      </c>
      <c r="F30" s="122">
        <f t="shared" si="2"/>
        <v>19723.998665830259</v>
      </c>
      <c r="G30" s="122">
        <f t="shared" si="2"/>
        <v>0</v>
      </c>
      <c r="H30" s="122">
        <f t="shared" si="2"/>
        <v>28894.461522436712</v>
      </c>
      <c r="I30" s="122">
        <f t="shared" si="2"/>
        <v>24807.054598086841</v>
      </c>
      <c r="J30" s="122">
        <f t="shared" si="2"/>
        <v>40820.152963972614</v>
      </c>
      <c r="K30" s="122">
        <f t="shared" si="2"/>
        <v>247010.45180586309</v>
      </c>
      <c r="L30" s="122">
        <f t="shared" si="2"/>
        <v>47641.819069073877</v>
      </c>
      <c r="M30" s="122">
        <f t="shared" si="2"/>
        <v>0</v>
      </c>
      <c r="N30" s="122">
        <f t="shared" si="2"/>
        <v>0</v>
      </c>
      <c r="O30" s="122">
        <f t="shared" si="2"/>
        <v>0</v>
      </c>
      <c r="P30" s="122">
        <f t="shared" si="2"/>
        <v>2.4992308486908246</v>
      </c>
      <c r="Q30" s="122">
        <f t="shared" si="2"/>
        <v>0</v>
      </c>
      <c r="R30" s="122">
        <f t="shared" si="2"/>
        <v>1.4043700603615414</v>
      </c>
      <c r="S30" s="122">
        <f t="shared" si="2"/>
        <v>0.43286077875363166</v>
      </c>
      <c r="T30" s="122">
        <f t="shared" si="2"/>
        <v>0</v>
      </c>
      <c r="U30" s="122">
        <f t="shared" si="2"/>
        <v>0</v>
      </c>
      <c r="V30" s="122">
        <f t="shared" si="2"/>
        <v>32014.633493279562</v>
      </c>
      <c r="W30" s="122">
        <f t="shared" si="2"/>
        <v>8949.4609513421583</v>
      </c>
      <c r="X30" s="122">
        <f t="shared" si="2"/>
        <v>12038.631850047501</v>
      </c>
      <c r="Y30" s="122">
        <f t="shared" si="2"/>
        <v>3413.6866287455323</v>
      </c>
      <c r="Z30" s="122">
        <f t="shared" si="2"/>
        <v>263713.73910810798</v>
      </c>
      <c r="AA30" s="122">
        <f t="shared" si="2"/>
        <v>68083.094900784869</v>
      </c>
      <c r="AB30" s="122">
        <f t="shared" si="2"/>
        <v>0</v>
      </c>
      <c r="AC30" s="122">
        <f t="shared" si="2"/>
        <v>7394.618696382081</v>
      </c>
      <c r="AD30" s="122">
        <f t="shared" si="2"/>
        <v>0</v>
      </c>
      <c r="AE30" s="129"/>
      <c r="AF30" s="129"/>
      <c r="AG30" s="129"/>
      <c r="AH30" s="129" t="str">
        <f>IF(SUM(AH18:AH29)&gt;0, AVERAGE(AH18:AH29), "")</f>
        <v/>
      </c>
      <c r="AI30" s="129" t="str">
        <f>IF(SUM(AI18:AI29)&gt;0, AVERAGE(AI18:AI29), "")</f>
        <v/>
      </c>
      <c r="AJ30" s="129" t="str">
        <f>IF(SUM(AJ18:AJ29)&gt;0, AVERAGE(AJ18:AJ29), "")</f>
        <v/>
      </c>
      <c r="AK30" s="227" t="str">
        <f>IF(SUM(AK18:AK29)&gt;0, AVERAGE(AK18:AK29), "")</f>
        <v/>
      </c>
    </row>
    <row r="31" spans="1:37" ht="16.5" customHeight="1" thickTop="1" x14ac:dyDescent="0.25"/>
    <row r="32" spans="1:37" ht="15.75" thickBot="1" x14ac:dyDescent="0.3">
      <c r="C32" s="336" t="s">
        <v>203</v>
      </c>
      <c r="D32" s="336" t="s">
        <v>204</v>
      </c>
      <c r="E32" s="336" t="s">
        <v>205</v>
      </c>
    </row>
    <row r="33" spans="1:5" ht="15.75" customHeight="1" thickTop="1" x14ac:dyDescent="0.25">
      <c r="A33" s="438" t="s">
        <v>206</v>
      </c>
      <c r="B33" s="89" t="s">
        <v>52</v>
      </c>
      <c r="C33" s="331">
        <f>IF(ISNUMBER(JANUARY!B52)=TRUE,JANUARY!B52,"")</f>
        <v>0.80216272442935688</v>
      </c>
      <c r="D33" s="331">
        <f>IF(ISNUMBER(JANUARY!E52)=TRUE,JANUARY!E52,"")</f>
        <v>1.2688481482976668</v>
      </c>
      <c r="E33" s="331">
        <f>IF(ISNUMBER(JANUARY!H52)=TRUE,JANUARY!H52,"")</f>
        <v>0.54644656735676245</v>
      </c>
    </row>
    <row r="34" spans="1:5" ht="15.75" customHeight="1" x14ac:dyDescent="0.25">
      <c r="A34" s="439"/>
      <c r="B34" s="90" t="s">
        <v>53</v>
      </c>
      <c r="C34" s="332">
        <f>IF(ISNUMBER(FEBRUARY!$B$52)=TRUE,FEBRUARY!$B$52,"")</f>
        <v>0.81443025679719772</v>
      </c>
      <c r="D34" s="332">
        <f>IF(ISNUMBER(FEBRUARY!$E$52)=TRUE,FEBRUARY!$E$52,"")</f>
        <v>1.2950160057984119</v>
      </c>
      <c r="E34" s="332">
        <f>IF(ISNUMBER(FEBRUARY!$H$52)=TRUE,FEBRUARY!$H$52,"")</f>
        <v>0.55004923908792602</v>
      </c>
    </row>
    <row r="35" spans="1:5" x14ac:dyDescent="0.25">
      <c r="A35" s="439"/>
      <c r="B35" s="90" t="s">
        <v>54</v>
      </c>
      <c r="C35" s="332">
        <f>IF(ISNUMBER(MARCH!$B$52)=TRUE,MARCH!$B$52,"")</f>
        <v>0.88633314556818421</v>
      </c>
      <c r="D35" s="332">
        <f>IF(ISNUMBER(MARCH!$E$52)=TRUE,MARCH!$E$52,"")</f>
        <v>1.5264599047238212</v>
      </c>
      <c r="E35" s="332">
        <f>IF(ISNUMBER(MARCH!$H$52)=TRUE,MARCH!$H$52,"")</f>
        <v>0.59488043889227815</v>
      </c>
    </row>
    <row r="36" spans="1:5" x14ac:dyDescent="0.25">
      <c r="A36" s="439"/>
      <c r="B36" s="90" t="s">
        <v>55</v>
      </c>
      <c r="C36" s="332">
        <f>IF(ISNUMBER(APRIL!$B$52)=TRUE,APRIL!$B$52,"")</f>
        <v>0.7690151349726112</v>
      </c>
      <c r="D36" s="332">
        <f>IF(ISNUMBER(APRIL!$E$52)=TRUE,APRIL!$E$52,"")</f>
        <v>1.3359843147539656</v>
      </c>
      <c r="E36" s="332">
        <f>IF(ISNUMBER(APRIL!$H$52)=TRUE,APRIL!$H$52,"")</f>
        <v>0.51579300506792725</v>
      </c>
    </row>
    <row r="37" spans="1:5" x14ac:dyDescent="0.25">
      <c r="A37" s="439"/>
      <c r="B37" s="90" t="s">
        <v>56</v>
      </c>
      <c r="C37" s="332">
        <f>IF(ISNUMBER(MAY!$B$52)=TRUE,MAY!$B$52,"")</f>
        <v>0.74391273585425388</v>
      </c>
      <c r="D37" s="332">
        <f>IF(ISNUMBER(MAY!$E$52)=TRUE,MAY!$E$52,"")</f>
        <v>1.4224852267432677</v>
      </c>
      <c r="E37" s="332">
        <f>IF(ISNUMBER(MAY!$H$52)=TRUE,MAY!$H$52,"")</f>
        <v>0.48508379284281589</v>
      </c>
    </row>
    <row r="38" spans="1:5" x14ac:dyDescent="0.25">
      <c r="A38" s="439"/>
      <c r="B38" s="90" t="s">
        <v>57</v>
      </c>
      <c r="C38" s="332">
        <f>IF(ISNUMBER(JUNE!$B$52)=TRUE,JUNE!$B$52,"")</f>
        <v>0.48170944806279764</v>
      </c>
      <c r="D38" s="332">
        <f>IF(ISNUMBER(JUNE!$E$52)=TRUE,JUNE!$E$52,"")</f>
        <v>1.2863186790975554</v>
      </c>
      <c r="E38" s="332">
        <f>IF(ISNUMBER(JUNE!$H$52)=TRUE,JUNE!$H$52,"")</f>
        <v>0.30706779528486472</v>
      </c>
    </row>
    <row r="39" spans="1:5" x14ac:dyDescent="0.25">
      <c r="A39" s="439"/>
      <c r="B39" s="90" t="s">
        <v>58</v>
      </c>
      <c r="C39" s="332">
        <f>IF(ISNUMBER(JULY!$B$52)=TRUE,JULY!$B$52,"")</f>
        <v>0.52423906260137809</v>
      </c>
      <c r="D39" s="332">
        <f>IF(ISNUMBER(JULY!$E$52)=TRUE,JULY!$E$52,"")</f>
        <v>1.0099044591605404</v>
      </c>
      <c r="E39" s="332">
        <f>IF(ISNUMBER(JULY!$H$52)=TRUE,JULY!$H$52,"")</f>
        <v>0.32658096436291362</v>
      </c>
    </row>
    <row r="40" spans="1:5" x14ac:dyDescent="0.25">
      <c r="A40" s="439"/>
      <c r="B40" s="90" t="s">
        <v>59</v>
      </c>
      <c r="C40" s="332">
        <f>IF(ISNUMBER(AUGUST!$B$52)=TRUE,AUGUST!$B$52,"")</f>
        <v>0.59255394290928398</v>
      </c>
      <c r="D40" s="332">
        <f>IF(ISNUMBER(AUGUST!$E$52)=TRUE,AUGUST!$E$52,"")</f>
        <v>1.0046269187882804</v>
      </c>
      <c r="E40" s="332">
        <f>IF(ISNUMBER(AUGUST!$H$52)=TRUE,AUGUST!$H$52,"")</f>
        <v>0.37615059013412766</v>
      </c>
    </row>
    <row r="41" spans="1:5" x14ac:dyDescent="0.25">
      <c r="A41" s="439"/>
      <c r="B41" s="90" t="s">
        <v>60</v>
      </c>
      <c r="C41" s="332">
        <f>IF(ISNUMBER(SEPTEMBER!$B$52)=TRUE,SEPTEMBER!$B$52,"")</f>
        <v>0.53459931733187305</v>
      </c>
      <c r="D41" s="332">
        <f>IF(ISNUMBER(SEPTEMBER!$E$52)=TRUE,SEPTEMBER!$E$52,"")</f>
        <v>3.2800110371662967</v>
      </c>
      <c r="E41" s="332">
        <f>IF(ISNUMBER(SEPTEMBER!$H$52)=TRUE,SEPTEMBER!$H$52,"")</f>
        <v>0.34709806885305999</v>
      </c>
    </row>
    <row r="42" spans="1:5" x14ac:dyDescent="0.25">
      <c r="A42" s="439"/>
      <c r="B42" s="90" t="s">
        <v>61</v>
      </c>
      <c r="C42" s="332">
        <f>IF(ISNUMBER(OCTOBER!$B$52)=TRUE,OCTOBER!$B$52,"")</f>
        <v>0.6595833019509586</v>
      </c>
      <c r="D42" s="332" t="str">
        <f>IF(ISNUMBER(OCTOBER!$E$52)=TRUE,OCTOBER!$E$52,"")</f>
        <v/>
      </c>
      <c r="E42" s="332">
        <f>IF(ISNUMBER(OCTOBER!$H$52)=TRUE,OCTOBER!$H$52,"")</f>
        <v>0.41399539856036655</v>
      </c>
    </row>
    <row r="43" spans="1:5" x14ac:dyDescent="0.25">
      <c r="A43" s="439"/>
      <c r="B43" s="90" t="s">
        <v>62</v>
      </c>
      <c r="C43" s="332">
        <f>IF(ISNUMBER(NOVEMBER!B52)=TRUE,NOVEMBER!B52,"")</f>
        <v>0.82585878750539754</v>
      </c>
      <c r="D43" s="332" t="str">
        <f>IF(ISNUMBER(NOVEMBER!E52)=TRUE,NOVEMBER!E52,"")</f>
        <v/>
      </c>
      <c r="E43" s="332">
        <f>IF(ISNUMBER(NOVEMBER!H52)=TRUE,NOVEMBER!H52,"")</f>
        <v>0.49740816590435238</v>
      </c>
    </row>
    <row r="44" spans="1:5" ht="15.75" thickBot="1" x14ac:dyDescent="0.3">
      <c r="A44" s="439"/>
      <c r="B44" s="92" t="s">
        <v>63</v>
      </c>
      <c r="C44" s="333">
        <f>IF(ISNUMBER(DECEMBER!$B$52)=TRUE,DECEMBER!$B$52,"")</f>
        <v>1.2256681590714751</v>
      </c>
      <c r="D44" s="333">
        <f>IF(ISNUMBER(DECEMBER!$E$52)=TRUE,DECEMBER!$E$52,"")</f>
        <v>2.6189901206159196</v>
      </c>
      <c r="E44" s="333">
        <f>IF(ISNUMBER(DECEMBER!$H$52)=TRUE,DECEMBER!$H$52,"")</f>
        <v>0.78897569448267513</v>
      </c>
    </row>
    <row r="45" spans="1:5" ht="15.75" thickBot="1" x14ac:dyDescent="0.3">
      <c r="A45" s="440"/>
      <c r="B45" s="335" t="s">
        <v>207</v>
      </c>
      <c r="C45" s="334">
        <f>AVERAGE(C33:C44)</f>
        <v>0.73833883475456397</v>
      </c>
      <c r="D45" s="334">
        <f>AVERAGE(D33:D44)</f>
        <v>1.6048644815145727</v>
      </c>
      <c r="E45" s="334">
        <f>AVERAGE(E33:E44)</f>
        <v>0.47912747673583916</v>
      </c>
    </row>
    <row r="47" spans="1:5" ht="15.75" thickBot="1" x14ac:dyDescent="0.3">
      <c r="C47" s="336" t="s">
        <v>203</v>
      </c>
      <c r="D47" s="336" t="s">
        <v>204</v>
      </c>
      <c r="E47" s="336" t="s">
        <v>205</v>
      </c>
    </row>
    <row r="48" spans="1:5" ht="15" customHeight="1" thickTop="1" x14ac:dyDescent="0.25">
      <c r="A48" s="434" t="s">
        <v>210</v>
      </c>
      <c r="B48" s="340" t="s">
        <v>219</v>
      </c>
      <c r="C48" s="341">
        <f>(JANUARY!B44+FEBRUARY!B44+MARCH!B44+APRIL!B44+MAY!B44+JUNE!B44+JULY!B44+AUGUST!B44+SEPTEMBER!B44+OCTOBER!B44+NOVEMBER!B44+DECEMBER!B44)/$AG$17</f>
        <v>204.57942032696158</v>
      </c>
      <c r="D48" s="342">
        <f>(JANUARY!E44+FEBRUARY!E44+MARCH!E44+APRIL!E44+MAY!E44+JUNE!E44+JULY!E44+AUGUST!E44+SEPTEMBER!E44+OCTOBER!E44+NOVEMBER!E44+DECEMBER!E44)/$AF$17</f>
        <v>467.08008359509984</v>
      </c>
      <c r="E48" s="343">
        <f>(JANUARY!H44+FEBRUARY!H44+MARCH!H44+APRIL!H44+MAY!H44+JUNE!H44+JULY!H44+AUGUST!H44+SEPTEMBER!H44+OCTOBER!H44+NOVEMBER!H44+DECEMBER!H44)/$AE$17</f>
        <v>127.94438406854751</v>
      </c>
    </row>
    <row r="49" spans="1:5" ht="15" customHeight="1" x14ac:dyDescent="0.25">
      <c r="A49" s="435"/>
      <c r="B49" s="344" t="s">
        <v>211</v>
      </c>
      <c r="C49" s="332">
        <f>(JANUARY!B47+FEBRUARY!B47+MARCH!B47+APRIL!B47+MAY!B47+JUNE!B47+JULY!B47+AUGUST!B47+SEPTEMBER!B47+OCTOBER!B47+NOVEMBER!B47+DECEMBER!B47)/$AG$17</f>
        <v>286.73891164896577</v>
      </c>
      <c r="D49" s="332">
        <f>(JANUARY!E47+FEBRUARY!E47+MARCH!E47+APRIL!E47+MAY!E47+JUNE!E47+JULY!E47+AUGUST!E47+SEPTEMBER!E47+OCTOBER!E47+NOVEMBER!E47+DECEMBER!E47)/$AF$17</f>
        <v>644.06756508729359</v>
      </c>
      <c r="E49" s="345">
        <f>(JANUARY!H47+FEBRUARY!H47+MARCH!H47+APRIL!H47+MAY!H47+JUNE!H47+JULY!H47+AUGUST!H47+SEPTEMBER!H47+OCTOBER!H47+NOVEMBER!H47+DECEMBER!H47)/$AE$17</f>
        <v>184.42173959218405</v>
      </c>
    </row>
    <row r="50" spans="1:5" ht="15" customHeight="1" x14ac:dyDescent="0.25">
      <c r="A50" s="435"/>
      <c r="B50" s="344" t="s">
        <v>212</v>
      </c>
      <c r="C50" s="346">
        <f>C49+C51</f>
        <v>416.42717312923781</v>
      </c>
      <c r="D50" s="346">
        <f>D49+D51</f>
        <v>935.37090550821449</v>
      </c>
      <c r="E50" s="347">
        <f>E49+E51</f>
        <v>267.83328164392384</v>
      </c>
    </row>
    <row r="51" spans="1:5" ht="15" customHeight="1" x14ac:dyDescent="0.25">
      <c r="A51" s="435"/>
      <c r="B51" s="344" t="s">
        <v>213</v>
      </c>
      <c r="C51" s="332">
        <f>(JANUARY!B48+FEBRUARY!B48+MARCH!B48+APRIL!B48+MAY!B48+JUNE!B48+JULY!B48+AUGUST!B48+SEPTEMBER!B48+OCTOBER!B48+NOVEMBER!B48+DECEMBER!B48)/$AG$17</f>
        <v>129.68826148027205</v>
      </c>
      <c r="D51" s="332">
        <f>(JANUARY!E48+FEBRUARY!E48+MARCH!E48+APRIL!E48+MAY!E48+JUNE!E48+JULY!E48+AUGUST!E48+SEPTEMBER!E48+OCTOBER!E48+NOVEMBER!E48+DECEMBER!E48)/$AF$17</f>
        <v>291.30334042092096</v>
      </c>
      <c r="E51" s="345">
        <f>(JANUARY!H48+FEBRUARY!H48+MARCH!H48+APRIL!H48+MAY!H48+JUNE!H48+JULY!H48+AUGUST!H48+SEPTEMBER!H48+OCTOBER!H48+NOVEMBER!H48+DECEMBER!H48)/$AE$17</f>
        <v>83.411542051739772</v>
      </c>
    </row>
    <row r="52" spans="1:5" ht="15" customHeight="1" x14ac:dyDescent="0.25">
      <c r="A52" s="435"/>
      <c r="B52" s="344" t="s">
        <v>214</v>
      </c>
      <c r="C52" s="332">
        <f>(JANUARY!B46+FEBRUARY!B46+MARCH!B46+APRIL!B46+MAY!B46+JUNE!B46+JULY!B46+AUGUST!B46+SEPTEMBER!B46+OCTOBER!B46+NOVEMBER!B46+DECEMBER!B46)/$AG$17</f>
        <v>16.042034009310758</v>
      </c>
      <c r="D52" s="332">
        <f>(JANUARY!E46+FEBRUARY!E46+MARCH!E46+APRIL!E46+MAY!E46+JUNE!E46+JULY!E46+AUGUST!E46+SEPTEMBER!E46+OCTOBER!E46+NOVEMBER!E46+DECEMBER!E46)/$AF$17</f>
        <v>24.784159170748058</v>
      </c>
      <c r="E52" s="345">
        <f>(JANUARY!H46+FEBRUARY!H46+MARCH!H46+APRIL!H46+MAY!H46+JUNE!H46+JULY!H46+AUGUST!H46+SEPTEMBER!H46+OCTOBER!H46+NOVEMBER!H46+DECEMBER!H46)/$AE$17</f>
        <v>13.538821586579374</v>
      </c>
    </row>
    <row r="53" spans="1:5" ht="15" customHeight="1" x14ac:dyDescent="0.25">
      <c r="A53" s="435"/>
      <c r="B53" s="348" t="s">
        <v>215</v>
      </c>
      <c r="C53" s="333">
        <f>(JANUARY!B45+FEBRUARY!B45+MARCH!B45+APRIL!B45+MAY!B45+JUNE!B45+JULY!B45+AUGUST!B45+SEPTEMBER!B45+OCTOBER!B45+NOVEMBER!B45+DECEMBER!B45)/$AG$17</f>
        <v>50.009301320717512</v>
      </c>
      <c r="D53" s="333">
        <f>(JANUARY!E45+FEBRUARY!E45+MARCH!E45+APRIL!E45+MAY!E45+JUNE!E45+JULY!E45+AUGUST!E45+SEPTEMBER!E45+OCTOBER!E45+NOVEMBER!E45+DECEMBER!E45)/$AF$17</f>
        <v>120.00184282341377</v>
      </c>
      <c r="E53" s="349">
        <f>(JANUARY!H45+FEBRUARY!H45+MARCH!H45+APRIL!H45+MAY!H45+JUNE!H45+JULY!H45+AUGUST!H45+SEPTEMBER!H45+OCTOBER!H45+NOVEMBER!H45+DECEMBER!H45)/$AE$17</f>
        <v>29.967698603685978</v>
      </c>
    </row>
    <row r="54" spans="1:5" ht="15" customHeight="1" x14ac:dyDescent="0.25">
      <c r="A54" s="436"/>
      <c r="B54" s="348" t="s">
        <v>220</v>
      </c>
      <c r="C54" s="357">
        <f>(SUM(JANUARY!AJ39:AS39)+SUM(FEBRUARY!AJ39:AS39)+SUM(MARCH!AJ39:AS39)+SUM(APRIL!AJ39:AS39)+SUM(MAY!AJ39:AS39)+SUM(JUNE!AJ39:AS39)+SUM(JULY!AJ39:AS39)+SUM(AUGUST!AJ39:AS39)+SUM(SEPTEMBER!AJ39:AS39)+SUM(OCTOBER!AJ39:AS39)+SUM(NOVEMBER!AJ39:AS39)+SUM(DECEMBER!AJ39:AS39))</f>
        <v>4956217.7429256644</v>
      </c>
      <c r="D54" s="357">
        <f>(JANUARY!E45/JANUARY!AJ40+FEBRUARY!E45/FEBRUARY!AJ40+MARCH!E45/MARCH!AJ40+APRIL!E45/APRIL!AJ40+MAY!E45/MAY!AJ40+JUNE!E45/JUNE!AJ40+JULY!E45/JULY!AJ40+AUGUST!E45/AUGUST!AJ40+SEPTEMBER!E45/SEPTEMBER!AJ40+OCTOBER!E45/OCTOBER!AJ40+NOVEMBER!E45/NOVEMBER!AJ30+DECEMBER!E45/DECEMBER!AJ40)</f>
        <v>2560925.6014407626</v>
      </c>
      <c r="E54" s="358">
        <f>C54-D54</f>
        <v>2395292.1414849018</v>
      </c>
    </row>
    <row r="55" spans="1:5" ht="15" customHeight="1" thickBot="1" x14ac:dyDescent="0.3">
      <c r="A55" s="436"/>
      <c r="B55" s="348" t="s">
        <v>221</v>
      </c>
      <c r="C55" s="359">
        <f>C54/C58</f>
        <v>766.37412934297856</v>
      </c>
      <c r="D55" s="359">
        <f>D54/D58</f>
        <v>1778.9437315082751</v>
      </c>
      <c r="E55" s="360">
        <f>E54/E58</f>
        <v>476.43584085894344</v>
      </c>
    </row>
    <row r="56" spans="1:5" ht="15" customHeight="1" thickTop="1" x14ac:dyDescent="0.25">
      <c r="A56" s="436"/>
      <c r="B56" s="350" t="s">
        <v>216</v>
      </c>
      <c r="C56" s="351">
        <f>C48+C49+C51+C52+C53</f>
        <v>687.05792878622776</v>
      </c>
      <c r="D56" s="351">
        <f>D48+D49+D51+D52+D53</f>
        <v>1547.2369910974762</v>
      </c>
      <c r="E56" s="352">
        <f>E48+E49+E51+E52+E53</f>
        <v>439.28418590273668</v>
      </c>
    </row>
    <row r="57" spans="1:5" ht="15" customHeight="1" x14ac:dyDescent="0.25">
      <c r="A57" s="436"/>
      <c r="B57" s="353" t="s">
        <v>217</v>
      </c>
      <c r="C57" s="354">
        <f>C56/1000</f>
        <v>0.68705792878622773</v>
      </c>
      <c r="D57" s="354">
        <f>D56/1000</f>
        <v>1.5472369910974761</v>
      </c>
      <c r="E57" s="355">
        <f>E56/1000</f>
        <v>0.43928418590273666</v>
      </c>
    </row>
    <row r="58" spans="1:5" ht="15" customHeight="1" thickBot="1" x14ac:dyDescent="0.3">
      <c r="A58" s="437"/>
      <c r="B58" s="356" t="s">
        <v>218</v>
      </c>
      <c r="C58" s="406">
        <f>AG17</f>
        <v>6467.0994924824608</v>
      </c>
      <c r="D58" s="406">
        <f>AF17</f>
        <v>1439.5765060368071</v>
      </c>
      <c r="E58" s="407">
        <f>AE17</f>
        <v>5027.5229864456542</v>
      </c>
    </row>
    <row r="59" spans="1:5" ht="15.75" thickTop="1" x14ac:dyDescent="0.25"/>
  </sheetData>
  <sheetProtection algorithmName="SHA-512" hashValue="p4Wx0QFilJ8qaODyWDu26VOaMqAKaRvUdWIlls9ikGdExcOldPmTAVXGaoP3UQetReCCQWQH82L2pijWc6FA9Q==" saltValue="w10KxYJ810pwIJ48GG0BIg==" spinCount="100000" sheet="1" objects="1" scenarios="1" selectLockedCells="1" selectUnlockedCells="1"/>
  <mergeCells count="15">
    <mergeCell ref="C1:AK1"/>
    <mergeCell ref="A2:B3"/>
    <mergeCell ref="AH2:AK2"/>
    <mergeCell ref="C2:I2"/>
    <mergeCell ref="J2:O2"/>
    <mergeCell ref="P2:U2"/>
    <mergeCell ref="V2:AB2"/>
    <mergeCell ref="AC2:AD2"/>
    <mergeCell ref="AE2:AG2"/>
    <mergeCell ref="A48:A58"/>
    <mergeCell ref="A33:A45"/>
    <mergeCell ref="A4:A15"/>
    <mergeCell ref="A18:A29"/>
    <mergeCell ref="A1:B1"/>
    <mergeCell ref="A16:B16"/>
  </mergeCells>
  <pageMargins left="0.7" right="0.7" top="0.75" bottom="0.75" header="0.3" footer="0.3"/>
  <pageSetup scale="6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L30"/>
  <sheetViews>
    <sheetView showGridLines="0" workbookViewId="0">
      <selection activeCell="K21" sqref="K21"/>
    </sheetView>
  </sheetViews>
  <sheetFormatPr defaultRowHeight="15" x14ac:dyDescent="0.25"/>
  <sheetData>
    <row r="30" spans="12:12" x14ac:dyDescent="0.25">
      <c r="L30" s="338" t="s">
        <v>222</v>
      </c>
    </row>
  </sheetData>
  <sheetProtection password="A25B" sheet="1" objects="1" scenarios="1" selectLockedCells="1" selectUnlockedCell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62465" r:id="rId4">
          <objectPr defaultSize="0" r:id="rId5">
            <anchor moveWithCells="1">
              <from>
                <xdr:col>0</xdr:col>
                <xdr:colOff>0</xdr:colOff>
                <xdr:row>0</xdr:row>
                <xdr:rowOff>9525</xdr:rowOff>
              </from>
              <to>
                <xdr:col>9</xdr:col>
                <xdr:colOff>361950</xdr:colOff>
                <xdr:row>42</xdr:row>
                <xdr:rowOff>114300</xdr:rowOff>
              </to>
            </anchor>
          </objectPr>
        </oleObject>
      </mc:Choice>
      <mc:Fallback>
        <oleObject progId="Word.Document.12" shapeId="62465" r:id="rId4"/>
      </mc:Fallback>
    </mc:AlternateContent>
    <mc:AlternateContent xmlns:mc="http://schemas.openxmlformats.org/markup-compatibility/2006">
      <mc:Choice Requires="x14">
        <oleObject progId="Word.Document.12" shapeId="62466" r:id="rId6">
          <objectPr defaultSize="0" r:id="rId7">
            <anchor moveWithCells="1">
              <from>
                <xdr:col>11</xdr:col>
                <xdr:colOff>104775</xdr:colOff>
                <xdr:row>0</xdr:row>
                <xdr:rowOff>0</xdr:rowOff>
              </from>
              <to>
                <xdr:col>20</xdr:col>
                <xdr:colOff>466725</xdr:colOff>
                <xdr:row>31</xdr:row>
                <xdr:rowOff>85725</xdr:rowOff>
              </to>
            </anchor>
          </objectPr>
        </oleObject>
      </mc:Choice>
      <mc:Fallback>
        <oleObject progId="Word.Document.12" shapeId="6246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topLeftCell="A7" zoomScaleNormal="100" workbookViewId="0">
      <selection activeCell="D15" sqref="D15"/>
    </sheetView>
  </sheetViews>
  <sheetFormatPr defaultRowHeight="15" x14ac:dyDescent="0.25"/>
  <cols>
    <col min="1" max="2" width="12.7109375" customWidth="1"/>
    <col min="3" max="35" width="9.140625" customWidth="1"/>
  </cols>
  <sheetData>
    <row r="1" spans="1:35" ht="21.75" thickBot="1" x14ac:dyDescent="0.3">
      <c r="A1" s="489">
        <v>2016</v>
      </c>
      <c r="B1" s="490"/>
      <c r="C1" s="491" t="s">
        <v>90</v>
      </c>
      <c r="D1" s="492"/>
      <c r="E1" s="492"/>
      <c r="F1" s="492"/>
      <c r="G1" s="492"/>
      <c r="H1" s="492"/>
      <c r="I1" s="492"/>
      <c r="J1" s="492"/>
      <c r="K1" s="492"/>
      <c r="L1" s="492"/>
      <c r="M1" s="492"/>
      <c r="N1" s="492"/>
      <c r="O1" s="492"/>
      <c r="P1" s="492"/>
      <c r="Q1" s="493"/>
      <c r="R1" s="493"/>
      <c r="S1" s="493"/>
      <c r="T1" s="493"/>
      <c r="U1" s="493"/>
      <c r="V1" s="493"/>
      <c r="W1" s="493"/>
      <c r="X1" s="493"/>
      <c r="Y1" s="493"/>
      <c r="Z1" s="493"/>
      <c r="AA1" s="493"/>
      <c r="AB1" s="493"/>
      <c r="AC1" s="493"/>
      <c r="AD1" s="493"/>
      <c r="AE1" s="493"/>
      <c r="AF1" s="493"/>
      <c r="AG1" s="493"/>
      <c r="AH1" s="493"/>
      <c r="AI1" s="494"/>
    </row>
    <row r="2" spans="1:35" ht="28.5" customHeight="1" thickBot="1" x14ac:dyDescent="0.3">
      <c r="A2" s="495"/>
      <c r="B2" s="455"/>
      <c r="C2" s="498" t="s">
        <v>66</v>
      </c>
      <c r="D2" s="460"/>
      <c r="E2" s="460"/>
      <c r="F2" s="460"/>
      <c r="G2" s="460"/>
      <c r="H2" s="460"/>
      <c r="I2" s="460"/>
      <c r="J2" s="460"/>
      <c r="K2" s="460"/>
      <c r="L2" s="460"/>
      <c r="M2" s="499"/>
      <c r="N2" s="499"/>
      <c r="O2" s="499"/>
      <c r="P2" s="500"/>
      <c r="Q2" s="501" t="s">
        <v>71</v>
      </c>
      <c r="R2" s="502"/>
      <c r="S2" s="502"/>
      <c r="T2" s="502"/>
      <c r="U2" s="502"/>
      <c r="V2" s="502"/>
      <c r="W2" s="502"/>
      <c r="X2" s="502"/>
      <c r="Y2" s="502"/>
      <c r="Z2" s="502"/>
      <c r="AA2" s="502"/>
      <c r="AB2" s="502"/>
      <c r="AC2" s="503"/>
      <c r="AD2" s="504" t="s">
        <v>83</v>
      </c>
      <c r="AE2" s="505"/>
      <c r="AF2" s="508" t="s">
        <v>161</v>
      </c>
      <c r="AG2" s="509"/>
      <c r="AH2" s="509"/>
      <c r="AI2" s="510"/>
    </row>
    <row r="3" spans="1:35" ht="28.5" customHeight="1" thickBot="1" x14ac:dyDescent="0.3">
      <c r="A3" s="495"/>
      <c r="B3" s="455"/>
      <c r="C3" s="498" t="s">
        <v>91</v>
      </c>
      <c r="D3" s="460"/>
      <c r="E3" s="460"/>
      <c r="F3" s="460"/>
      <c r="G3" s="460"/>
      <c r="H3" s="460"/>
      <c r="I3" s="461"/>
      <c r="J3" s="465" t="s">
        <v>92</v>
      </c>
      <c r="K3" s="466"/>
      <c r="L3" s="467"/>
      <c r="M3" s="514" t="s">
        <v>93</v>
      </c>
      <c r="N3" s="515"/>
      <c r="O3" s="515"/>
      <c r="P3" s="516"/>
      <c r="Q3" s="525" t="s">
        <v>94</v>
      </c>
      <c r="R3" s="463"/>
      <c r="S3" s="463"/>
      <c r="T3" s="463"/>
      <c r="U3" s="463"/>
      <c r="V3" s="464"/>
      <c r="W3" s="465" t="s">
        <v>95</v>
      </c>
      <c r="X3" s="466"/>
      <c r="Y3" s="467"/>
      <c r="Z3" s="514" t="s">
        <v>96</v>
      </c>
      <c r="AA3" s="515"/>
      <c r="AB3" s="515"/>
      <c r="AC3" s="516"/>
      <c r="AD3" s="506"/>
      <c r="AE3" s="507"/>
      <c r="AF3" s="511"/>
      <c r="AG3" s="512"/>
      <c r="AH3" s="512"/>
      <c r="AI3" s="513"/>
    </row>
    <row r="4" spans="1:35" ht="129.75" thickBot="1" x14ac:dyDescent="0.3">
      <c r="A4" s="496"/>
      <c r="B4" s="497"/>
      <c r="C4" s="130" t="s">
        <v>67</v>
      </c>
      <c r="D4" s="131" t="s">
        <v>68</v>
      </c>
      <c r="E4" s="131" t="s">
        <v>11</v>
      </c>
      <c r="F4" s="131" t="s">
        <v>12</v>
      </c>
      <c r="G4" s="131" t="s">
        <v>13</v>
      </c>
      <c r="H4" s="131" t="s">
        <v>69</v>
      </c>
      <c r="I4" s="131" t="s">
        <v>70</v>
      </c>
      <c r="J4" s="132" t="s">
        <v>36</v>
      </c>
      <c r="K4" s="132" t="s">
        <v>75</v>
      </c>
      <c r="L4" s="132" t="s">
        <v>77</v>
      </c>
      <c r="M4" s="133" t="s">
        <v>79</v>
      </c>
      <c r="N4" s="133" t="s">
        <v>81</v>
      </c>
      <c r="O4" s="133" t="s">
        <v>46</v>
      </c>
      <c r="P4" s="134" t="s">
        <v>97</v>
      </c>
      <c r="Q4" s="135" t="s">
        <v>67</v>
      </c>
      <c r="R4" s="136" t="s">
        <v>72</v>
      </c>
      <c r="S4" s="136" t="s">
        <v>17</v>
      </c>
      <c r="T4" s="136" t="s">
        <v>18</v>
      </c>
      <c r="U4" s="136" t="s">
        <v>19</v>
      </c>
      <c r="V4" s="136" t="s">
        <v>13</v>
      </c>
      <c r="W4" s="132" t="s">
        <v>35</v>
      </c>
      <c r="X4" s="132" t="s">
        <v>74</v>
      </c>
      <c r="Y4" s="132" t="s">
        <v>76</v>
      </c>
      <c r="Z4" s="133" t="s">
        <v>78</v>
      </c>
      <c r="AA4" s="133" t="s">
        <v>80</v>
      </c>
      <c r="AB4" s="133" t="s">
        <v>45</v>
      </c>
      <c r="AC4" s="134" t="s">
        <v>98</v>
      </c>
      <c r="AD4" s="137" t="s">
        <v>7</v>
      </c>
      <c r="AE4" s="138" t="s">
        <v>84</v>
      </c>
      <c r="AF4" s="139" t="s">
        <v>27</v>
      </c>
      <c r="AG4" s="139" t="s">
        <v>31</v>
      </c>
      <c r="AH4" s="139" t="s">
        <v>32</v>
      </c>
      <c r="AI4" s="140" t="s">
        <v>33</v>
      </c>
    </row>
    <row r="5" spans="1:35" ht="15" customHeight="1" x14ac:dyDescent="0.25">
      <c r="A5" s="526" t="s">
        <v>99</v>
      </c>
      <c r="B5" s="527"/>
      <c r="C5" s="144" t="s">
        <v>100</v>
      </c>
      <c r="D5" s="142" t="s">
        <v>100</v>
      </c>
      <c r="E5" s="142" t="s">
        <v>100</v>
      </c>
      <c r="F5" s="142" t="s">
        <v>100</v>
      </c>
      <c r="G5" s="142" t="s">
        <v>100</v>
      </c>
      <c r="H5" s="142" t="s">
        <v>101</v>
      </c>
      <c r="I5" s="142" t="s">
        <v>100</v>
      </c>
      <c r="J5" s="142" t="s">
        <v>100</v>
      </c>
      <c r="K5" s="142" t="s">
        <v>100</v>
      </c>
      <c r="L5" s="142" t="s">
        <v>100</v>
      </c>
      <c r="M5" s="142" t="s">
        <v>101</v>
      </c>
      <c r="N5" s="142" t="s">
        <v>100</v>
      </c>
      <c r="O5" s="142" t="s">
        <v>100</v>
      </c>
      <c r="P5" s="143" t="s">
        <v>100</v>
      </c>
      <c r="Q5" s="141" t="s">
        <v>100</v>
      </c>
      <c r="R5" s="142" t="s">
        <v>100</v>
      </c>
      <c r="S5" s="142" t="s">
        <v>100</v>
      </c>
      <c r="T5" s="142" t="s">
        <v>100</v>
      </c>
      <c r="U5" s="142" t="s">
        <v>100</v>
      </c>
      <c r="V5" s="142" t="s">
        <v>100</v>
      </c>
      <c r="W5" s="142" t="s">
        <v>100</v>
      </c>
      <c r="X5" s="142" t="s">
        <v>100</v>
      </c>
      <c r="Y5" s="142" t="s">
        <v>100</v>
      </c>
      <c r="Z5" s="142" t="s">
        <v>101</v>
      </c>
      <c r="AA5" s="142" t="s">
        <v>100</v>
      </c>
      <c r="AB5" s="142" t="s">
        <v>100</v>
      </c>
      <c r="AC5" s="143" t="s">
        <v>100</v>
      </c>
      <c r="AD5" s="144" t="s">
        <v>101</v>
      </c>
      <c r="AE5" s="171" t="s">
        <v>100</v>
      </c>
      <c r="AF5" s="145" t="s">
        <v>102</v>
      </c>
      <c r="AG5" s="145" t="s">
        <v>102</v>
      </c>
      <c r="AH5" s="145" t="s">
        <v>102</v>
      </c>
      <c r="AI5" s="146" t="s">
        <v>34</v>
      </c>
    </row>
    <row r="6" spans="1:35" ht="15.75" thickBot="1" x14ac:dyDescent="0.3">
      <c r="A6" s="528"/>
      <c r="B6" s="529"/>
      <c r="C6" s="144">
        <f>'Yearly Summary '!$C$17</f>
        <v>0</v>
      </c>
      <c r="D6" s="142">
        <f>'Yearly Summary '!$D$17</f>
        <v>17590.216516866305</v>
      </c>
      <c r="E6" s="142">
        <f>'Yearly Summary '!$E$17</f>
        <v>199136.55735538798</v>
      </c>
      <c r="F6" s="142">
        <f>'Yearly Summary '!$F$17</f>
        <v>4943.5364749580585</v>
      </c>
      <c r="G6" s="142">
        <f>'Yearly Summary '!$G$17</f>
        <v>0</v>
      </c>
      <c r="H6" s="142">
        <f>'Yearly Summary '!$H$17</f>
        <v>522834.73305775283</v>
      </c>
      <c r="I6" s="142">
        <f>'Yearly Summary '!$I$17</f>
        <v>7917.4494009286254</v>
      </c>
      <c r="J6" s="142">
        <f>'Yearly Summary '!$Q$17</f>
        <v>0</v>
      </c>
      <c r="K6" s="142">
        <f>'Yearly Summary '!$S$17</f>
        <v>2.7448368976133904E-2</v>
      </c>
      <c r="L6" s="142">
        <f>'Yearly Summary '!$U$17</f>
        <v>0</v>
      </c>
      <c r="M6" s="142">
        <f>'Yearly Summary '!$W$17</f>
        <v>38563.241722737155</v>
      </c>
      <c r="N6" s="142">
        <f>'Yearly Summary '!$Y$17</f>
        <v>4591.4091566234592</v>
      </c>
      <c r="O6" s="142">
        <f>'Yearly Summary '!$AA$17</f>
        <v>27184.284500784939</v>
      </c>
      <c r="P6" s="143">
        <f>('Yearly Summary '!$AB$17)*(1-AI6)</f>
        <v>0</v>
      </c>
      <c r="Q6" s="141">
        <f>'Yearly Summary '!$J$17</f>
        <v>49702.846840516708</v>
      </c>
      <c r="R6" s="142">
        <f>'Yearly Summary '!$K$17</f>
        <v>217884.25499219092</v>
      </c>
      <c r="S6" s="142">
        <f>'Yearly Summary '!$L$17</f>
        <v>11940.73647496899</v>
      </c>
      <c r="T6" s="142">
        <f>'Yearly Summary '!$M$17</f>
        <v>2.4447019696235253</v>
      </c>
      <c r="U6" s="142">
        <f>'Yearly Summary '!N17</f>
        <v>0</v>
      </c>
      <c r="V6" s="142">
        <f>'Yearly Summary '!O17</f>
        <v>0</v>
      </c>
      <c r="W6" s="142">
        <f>'Yearly Summary '!$P$17</f>
        <v>0.1584800791814093</v>
      </c>
      <c r="X6" s="142">
        <f>'Yearly Summary '!$R$17</f>
        <v>8.9053269521974732E-2</v>
      </c>
      <c r="Y6" s="142">
        <f>'Yearly Summary '!$T$17</f>
        <v>0</v>
      </c>
      <c r="Z6" s="142">
        <f>'Yearly Summary '!$V$17</f>
        <v>137948.93281024089</v>
      </c>
      <c r="AA6" s="142">
        <f>'Yearly Summary '!$X$17</f>
        <v>16191.962098711798</v>
      </c>
      <c r="AB6" s="142">
        <f>'Yearly Summary '!$Z$17</f>
        <v>105295.87882465577</v>
      </c>
      <c r="AC6" s="143">
        <f>('Yearly Summary '!$AB$17)*AI6</f>
        <v>0</v>
      </c>
      <c r="AD6" s="144">
        <v>4688.3846085177338</v>
      </c>
      <c r="AE6" s="142">
        <v>0</v>
      </c>
      <c r="AF6" s="147">
        <f>'Yearly Summary '!$AH$17</f>
        <v>6259.7161045440371</v>
      </c>
      <c r="AG6" s="147">
        <f>'Yearly Summary '!$AI$17</f>
        <v>4806.1589997712608</v>
      </c>
      <c r="AH6" s="147">
        <f>'Yearly Summary '!$AJ$17</f>
        <v>1369.6831920388966</v>
      </c>
      <c r="AI6" s="148">
        <f>'Yearly Summary '!$AK$17</f>
        <v>0.77821920484703344</v>
      </c>
    </row>
    <row r="7" spans="1:35" ht="15" customHeight="1" x14ac:dyDescent="0.25">
      <c r="A7" s="530" t="s">
        <v>103</v>
      </c>
      <c r="B7" s="531"/>
      <c r="C7" s="152">
        <f>(C6*(1.029*8.34)*0.03)/2000</f>
        <v>0</v>
      </c>
      <c r="D7" s="150">
        <f>(D6*(1.4*8.34)*0.38)/2000</f>
        <v>39.022839929676884</v>
      </c>
      <c r="E7" s="150">
        <f>(E6*(1.54*8.34)*0.5)/2000</f>
        <v>639.40757201241524</v>
      </c>
      <c r="F7" s="150">
        <f>(F6*(1.04*8.34)*1)/2000</f>
        <v>21.43912898459811</v>
      </c>
      <c r="G7" s="150">
        <f>(G6*(1.055*8.34)*0.005)/2000</f>
        <v>0</v>
      </c>
      <c r="H7" s="150">
        <f>H6/2000</f>
        <v>261.41736652887641</v>
      </c>
      <c r="I7" s="150">
        <f>(I6*(1.135*8.34)*0.35)/2000</f>
        <v>13.115512249743796</v>
      </c>
      <c r="J7" s="150">
        <f>(J6*(1.055*8.34)*1)/2000</f>
        <v>0</v>
      </c>
      <c r="K7" s="150">
        <f>(K6*(1.055*8.34)*1)/2000</f>
        <v>1.207549820551547E-4</v>
      </c>
      <c r="L7" s="150">
        <f>(L6*(1.4*8.34)*0.38)/2000</f>
        <v>0</v>
      </c>
      <c r="M7" s="150">
        <f>M6/2000</f>
        <v>19.281620861368577</v>
      </c>
      <c r="N7" s="150">
        <f>(N6*(0.895*8.34)*0.29)/2000</f>
        <v>4.9693900283287507</v>
      </c>
      <c r="O7" s="150">
        <f>(O6*(1.54*8.34)*0.5)/2000</f>
        <v>87.286019103570368</v>
      </c>
      <c r="P7" s="151">
        <f>(P6*(1.135*8.34)*0.35)/2000</f>
        <v>0</v>
      </c>
      <c r="Q7" s="149">
        <f>(Q6*(1.029*8.34)*0.03)/2000</f>
        <v>6.3981430978013494</v>
      </c>
      <c r="R7" s="150">
        <f>(R6*(1.4*8.34)*0.38)/2000</f>
        <v>483.363146644876</v>
      </c>
      <c r="S7" s="150">
        <f>(S6*(1.04*8.34)*1)/2000</f>
        <v>51.784585944645514</v>
      </c>
      <c r="T7" s="150">
        <f>(T6*(1.135*8.34)*0.35)/2000</f>
        <v>4.0497282654953825E-3</v>
      </c>
      <c r="U7" s="150">
        <f>(U6*(1.055*8.34)*0.005)/2000</f>
        <v>0</v>
      </c>
      <c r="V7" s="150">
        <f>(V6*(1.055*8.34)*0.005)/2000</f>
        <v>0</v>
      </c>
      <c r="W7" s="150">
        <f>(W6*(1.055*8.34)*1)/2000</f>
        <v>6.9720933634673298E-4</v>
      </c>
      <c r="X7" s="150">
        <f>(X6*(1.055*8.34)*1)/2000</f>
        <v>3.9177650127149955E-4</v>
      </c>
      <c r="Y7" s="150">
        <f>(Y6*(1.4*8.34)*0.38)/2000</f>
        <v>0</v>
      </c>
      <c r="Z7" s="150">
        <f>Z6/2000</f>
        <v>68.974466405120452</v>
      </c>
      <c r="AA7" s="150">
        <f>(AA6*(0.895*8.34)*0.29)/2000</f>
        <v>17.524941090545095</v>
      </c>
      <c r="AB7" s="150">
        <f>(AB6*(1.54*8.34)*0.5)/2000</f>
        <v>338.09453731808719</v>
      </c>
      <c r="AC7" s="151">
        <f>(AC6*(1.135*8.34)*0.35)/2000</f>
        <v>0</v>
      </c>
      <c r="AD7" s="152">
        <f>AD6/2000</f>
        <v>2.344192304258867</v>
      </c>
      <c r="AE7" s="150">
        <f>(AE6*(1.029*8.34)*0.03)/2000</f>
        <v>0</v>
      </c>
      <c r="AF7" s="476" t="s">
        <v>160</v>
      </c>
      <c r="AG7" s="477"/>
      <c r="AH7" s="477"/>
      <c r="AI7" s="478"/>
    </row>
    <row r="8" spans="1:35" x14ac:dyDescent="0.25">
      <c r="A8" s="485" t="s">
        <v>104</v>
      </c>
      <c r="B8" s="486"/>
      <c r="C8" s="156">
        <f>C7/$AH$6</f>
        <v>0</v>
      </c>
      <c r="D8" s="154">
        <f>D7/$AH$6</f>
        <v>2.8490413079821676E-2</v>
      </c>
      <c r="E8" s="154">
        <f t="shared" ref="E8:P8" si="0">E7/$AH$6</f>
        <v>0.46682880809875427</v>
      </c>
      <c r="F8" s="154">
        <f t="shared" si="0"/>
        <v>1.5652618875087485E-2</v>
      </c>
      <c r="G8" s="154">
        <f t="shared" si="0"/>
        <v>0</v>
      </c>
      <c r="H8" s="154">
        <f t="shared" si="0"/>
        <v>0.19085973168710144</v>
      </c>
      <c r="I8" s="154">
        <f t="shared" si="0"/>
        <v>9.5755809270172739E-3</v>
      </c>
      <c r="J8" s="154">
        <f t="shared" si="0"/>
        <v>0</v>
      </c>
      <c r="K8" s="154">
        <f t="shared" si="0"/>
        <v>8.81627100025956E-8</v>
      </c>
      <c r="L8" s="154">
        <f t="shared" si="0"/>
        <v>0</v>
      </c>
      <c r="M8" s="154">
        <f t="shared" si="0"/>
        <v>1.4077431170536708E-2</v>
      </c>
      <c r="N8" s="154">
        <f t="shared" si="0"/>
        <v>3.6281309847508362E-3</v>
      </c>
      <c r="O8" s="154">
        <f t="shared" si="0"/>
        <v>6.3727159397814676E-2</v>
      </c>
      <c r="P8" s="155">
        <f t="shared" si="0"/>
        <v>0</v>
      </c>
      <c r="Q8" s="153">
        <f>Q7/$AG$6</f>
        <v>1.3312383335852716E-3</v>
      </c>
      <c r="R8" s="154">
        <f t="shared" ref="R8:AD8" si="1">R7/$AG$6</f>
        <v>0.10057160960922863</v>
      </c>
      <c r="S8" s="154">
        <f t="shared" si="1"/>
        <v>1.077463020826196E-2</v>
      </c>
      <c r="T8" s="154">
        <f t="shared" si="1"/>
        <v>8.4261221189064299E-7</v>
      </c>
      <c r="U8" s="154">
        <f t="shared" si="1"/>
        <v>0</v>
      </c>
      <c r="V8" s="154">
        <f t="shared" si="1"/>
        <v>0</v>
      </c>
      <c r="W8" s="154">
        <f t="shared" si="1"/>
        <v>1.4506580751488147E-7</v>
      </c>
      <c r="X8" s="154">
        <f t="shared" si="1"/>
        <v>8.1515509846874677E-8</v>
      </c>
      <c r="Y8" s="154">
        <f t="shared" si="1"/>
        <v>0</v>
      </c>
      <c r="Z8" s="154">
        <f t="shared" si="1"/>
        <v>1.4351266033521394E-2</v>
      </c>
      <c r="AA8" s="154">
        <f t="shared" si="1"/>
        <v>3.6463506703334528E-3</v>
      </c>
      <c r="AB8" s="154">
        <f t="shared" si="1"/>
        <v>7.034609910620479E-2</v>
      </c>
      <c r="AC8" s="155">
        <f t="shared" si="1"/>
        <v>0</v>
      </c>
      <c r="AD8" s="156">
        <f t="shared" si="1"/>
        <v>4.8774755566148228E-4</v>
      </c>
      <c r="AE8" s="154"/>
      <c r="AF8" s="479"/>
      <c r="AG8" s="480"/>
      <c r="AH8" s="480"/>
      <c r="AI8" s="481"/>
    </row>
    <row r="9" spans="1:35" ht="15.75" thickBot="1" x14ac:dyDescent="0.3">
      <c r="A9" s="487" t="s">
        <v>105</v>
      </c>
      <c r="B9" s="488"/>
      <c r="C9" s="219">
        <f t="shared" ref="C9:P9" si="2">C7/$AH$19</f>
        <v>0</v>
      </c>
      <c r="D9" s="157">
        <f t="shared" si="2"/>
        <v>7.4920166360220669E-2</v>
      </c>
      <c r="E9" s="157">
        <f t="shared" si="2"/>
        <v>1.2276021364278904</v>
      </c>
      <c r="F9" s="157">
        <f t="shared" si="2"/>
        <v>4.1161102396414413E-2</v>
      </c>
      <c r="G9" s="157">
        <f t="shared" si="2"/>
        <v>0</v>
      </c>
      <c r="H9" s="157">
        <f t="shared" si="2"/>
        <v>0.50189664886228524</v>
      </c>
      <c r="I9" s="157">
        <f t="shared" si="2"/>
        <v>2.5180544558548061E-2</v>
      </c>
      <c r="J9" s="157">
        <f t="shared" si="2"/>
        <v>0</v>
      </c>
      <c r="K9" s="157">
        <f t="shared" si="2"/>
        <v>2.318381583888111E-7</v>
      </c>
      <c r="L9" s="157">
        <f t="shared" si="2"/>
        <v>0</v>
      </c>
      <c r="M9" s="157">
        <f t="shared" si="2"/>
        <v>3.7018890609492254E-2</v>
      </c>
      <c r="N9" s="157">
        <f t="shared" si="2"/>
        <v>9.5407594194104692E-3</v>
      </c>
      <c r="O9" s="157">
        <f t="shared" si="2"/>
        <v>0.16758091117780519</v>
      </c>
      <c r="P9" s="158">
        <f t="shared" si="2"/>
        <v>0</v>
      </c>
      <c r="Q9" s="159">
        <f t="shared" ref="Q9:AD9" si="3">Q7/$AF$19</f>
        <v>2.1003932245057628E-3</v>
      </c>
      <c r="R9" s="160">
        <f t="shared" si="3"/>
        <v>0.15867927032416065</v>
      </c>
      <c r="S9" s="160">
        <f t="shared" si="3"/>
        <v>1.6999931353418259E-2</v>
      </c>
      <c r="T9" s="160">
        <f t="shared" si="3"/>
        <v>1.3294516361878457E-6</v>
      </c>
      <c r="U9" s="160">
        <f t="shared" si="3"/>
        <v>0</v>
      </c>
      <c r="V9" s="160">
        <f t="shared" si="3"/>
        <v>0</v>
      </c>
      <c r="W9" s="160">
        <f t="shared" si="3"/>
        <v>2.2888105872906576E-7</v>
      </c>
      <c r="X9" s="160">
        <f t="shared" si="3"/>
        <v>1.286130516640064E-7</v>
      </c>
      <c r="Y9" s="160">
        <f t="shared" si="3"/>
        <v>0</v>
      </c>
      <c r="Z9" s="160">
        <f t="shared" si="3"/>
        <v>2.2643054349784631E-2</v>
      </c>
      <c r="AA9" s="160">
        <f t="shared" si="3"/>
        <v>5.7531172660224873E-3</v>
      </c>
      <c r="AB9" s="160">
        <f t="shared" si="3"/>
        <v>0.1109902458526365</v>
      </c>
      <c r="AC9" s="161">
        <f t="shared" si="3"/>
        <v>0</v>
      </c>
      <c r="AD9" s="162">
        <f t="shared" si="3"/>
        <v>7.6955540967751392E-4</v>
      </c>
      <c r="AE9" s="160"/>
      <c r="AF9" s="482"/>
      <c r="AG9" s="483"/>
      <c r="AH9" s="483"/>
      <c r="AI9" s="484"/>
    </row>
    <row r="10" spans="1:35" ht="15.75" thickBot="1" x14ac:dyDescent="0.3">
      <c r="A10" s="517" t="s">
        <v>106</v>
      </c>
      <c r="B10" s="518"/>
      <c r="C10" s="166">
        <f>'Yearly Summary '!$C$30</f>
        <v>0</v>
      </c>
      <c r="D10" s="164">
        <f>'Yearly Summary '!D30</f>
        <v>19787.418483524423</v>
      </c>
      <c r="E10" s="164">
        <f>'Yearly Summary '!E30</f>
        <v>498737.90616968391</v>
      </c>
      <c r="F10" s="164">
        <f>'Yearly Summary '!F30</f>
        <v>19723.998665830259</v>
      </c>
      <c r="G10" s="164">
        <f>'Yearly Summary '!G30</f>
        <v>0</v>
      </c>
      <c r="H10" s="164">
        <f>'Yearly Summary '!H30</f>
        <v>28894.461522436712</v>
      </c>
      <c r="I10" s="164">
        <f>'Yearly Summary '!I30</f>
        <v>24807.054598086841</v>
      </c>
      <c r="J10" s="164">
        <f>'Yearly Summary '!$Q$30</f>
        <v>0</v>
      </c>
      <c r="K10" s="164">
        <v>1.2105721215442565E-3</v>
      </c>
      <c r="L10" s="164">
        <v>1.8505665867433036E-2</v>
      </c>
      <c r="M10" s="164">
        <f>'Yearly Summary '!$W$30</f>
        <v>8949.4609513421583</v>
      </c>
      <c r="N10" s="164">
        <f>'Yearly Summary '!$Y$30</f>
        <v>3413.6866287455323</v>
      </c>
      <c r="O10" s="164">
        <f>'Yearly Summary '!$AA$30</f>
        <v>68083.094900784869</v>
      </c>
      <c r="P10" s="165">
        <f>('Yearly Summary '!$AB$30)*(1-AI6)</f>
        <v>0</v>
      </c>
      <c r="Q10" s="163">
        <f>'Yearly Summary '!J30</f>
        <v>40820.152963972614</v>
      </c>
      <c r="R10" s="164">
        <f>'Yearly Summary '!K30</f>
        <v>247010.45180586309</v>
      </c>
      <c r="S10" s="164">
        <f>'Yearly Summary '!L30</f>
        <v>47641.819069073877</v>
      </c>
      <c r="T10" s="164">
        <f>'Yearly Summary '!M30</f>
        <v>0</v>
      </c>
      <c r="U10" s="164">
        <f>'Yearly Summary '!N30</f>
        <v>0</v>
      </c>
      <c r="V10" s="164">
        <f>'Yearly Summary '!O30</f>
        <v>0</v>
      </c>
      <c r="W10" s="164">
        <f>'Yearly Summary '!$P$30</f>
        <v>2.4992308486908246</v>
      </c>
      <c r="X10" s="164">
        <f>'Yearly Summary '!$R$30</f>
        <v>1.4043700603615414</v>
      </c>
      <c r="Y10" s="164">
        <v>0.11860580125559859</v>
      </c>
      <c r="Z10" s="164">
        <f>'Yearly Summary '!$V$30</f>
        <v>32014.633493279562</v>
      </c>
      <c r="AA10" s="164">
        <f>'Yearly Summary '!$X$30</f>
        <v>12038.631850047501</v>
      </c>
      <c r="AB10" s="164">
        <f>'Yearly Summary '!$Z$30</f>
        <v>263713.73910810798</v>
      </c>
      <c r="AC10" s="165">
        <f>('Yearly Summary '!$AB$30)*AI6</f>
        <v>0</v>
      </c>
      <c r="AD10" s="166">
        <f>'Yearly Summary '!$AC$30</f>
        <v>7394.618696382081</v>
      </c>
      <c r="AE10" s="164">
        <f>'Yearly Summary '!$AD$30</f>
        <v>0</v>
      </c>
      <c r="AF10" s="167" t="s">
        <v>107</v>
      </c>
      <c r="AG10" s="168">
        <f>'[1]Yearly Summary '!$Q$29</f>
        <v>42.185885911956788</v>
      </c>
      <c r="AH10" s="167" t="s">
        <v>108</v>
      </c>
      <c r="AI10" s="169">
        <f>'[1]Yearly Summary '!$R$29</f>
        <v>89.382557874206555</v>
      </c>
    </row>
    <row r="11" spans="1:35" ht="15.75" thickBot="1" x14ac:dyDescent="0.3">
      <c r="A11" s="216"/>
      <c r="B11" s="217"/>
      <c r="C11" s="521" t="s">
        <v>117</v>
      </c>
      <c r="D11" s="522"/>
      <c r="E11" s="522"/>
      <c r="F11" s="220">
        <f>SUM(C10:P10)</f>
        <v>672397.10163667263</v>
      </c>
      <c r="G11" s="523" t="s">
        <v>118</v>
      </c>
      <c r="H11" s="522"/>
      <c r="I11" s="522"/>
      <c r="J11" s="221">
        <f>SUM(Q10:AE10)</f>
        <v>650638.069193437</v>
      </c>
      <c r="K11" s="523" t="s">
        <v>119</v>
      </c>
      <c r="L11" s="524"/>
      <c r="M11" s="524">
        <f>SUM(C10:AE10)</f>
        <v>1323035.1708301096</v>
      </c>
      <c r="N11" s="532"/>
      <c r="O11" s="533" t="s">
        <v>120</v>
      </c>
      <c r="P11" s="534"/>
      <c r="Q11" s="534"/>
      <c r="R11" s="222">
        <f>($AG$6+$AH$6)/($AG$19+$AI$19)</f>
        <v>1.7976781287259551</v>
      </c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184"/>
      <c r="AF11" s="583" t="s">
        <v>110</v>
      </c>
      <c r="AG11" s="583" t="s">
        <v>111</v>
      </c>
      <c r="AH11" s="583" t="s">
        <v>112</v>
      </c>
      <c r="AI11" s="583" t="s">
        <v>113</v>
      </c>
    </row>
    <row r="12" spans="1:35" ht="21.75" customHeight="1" thickBot="1" x14ac:dyDescent="0.3">
      <c r="A12" s="489">
        <f>A1+1</f>
        <v>2017</v>
      </c>
      <c r="B12" s="519"/>
      <c r="C12" s="520" t="s">
        <v>109</v>
      </c>
      <c r="D12" s="520"/>
      <c r="E12" s="520"/>
      <c r="F12" s="520"/>
      <c r="G12" s="520"/>
      <c r="H12" s="520"/>
      <c r="I12" s="520"/>
      <c r="J12" s="520"/>
      <c r="K12" s="520"/>
      <c r="L12" s="520"/>
      <c r="M12" s="520"/>
      <c r="N12" s="520"/>
      <c r="O12" s="520"/>
      <c r="P12" s="520"/>
      <c r="Q12" s="520"/>
      <c r="R12" s="520"/>
      <c r="S12" s="493"/>
      <c r="T12" s="493"/>
      <c r="U12" s="493"/>
      <c r="V12" s="493"/>
      <c r="W12" s="493"/>
      <c r="X12" s="493"/>
      <c r="Y12" s="493"/>
      <c r="Z12" s="493"/>
      <c r="AA12" s="493"/>
      <c r="AB12" s="493"/>
      <c r="AC12" s="493"/>
      <c r="AD12" s="493"/>
      <c r="AE12" s="493"/>
      <c r="AF12" s="584"/>
      <c r="AG12" s="584"/>
      <c r="AH12" s="584"/>
      <c r="AI12" s="584"/>
    </row>
    <row r="13" spans="1:35" ht="15" customHeight="1" x14ac:dyDescent="0.25">
      <c r="A13" s="528" t="s">
        <v>114</v>
      </c>
      <c r="B13" s="544"/>
      <c r="C13" s="170" t="s">
        <v>100</v>
      </c>
      <c r="D13" s="171" t="s">
        <v>100</v>
      </c>
      <c r="E13" s="171" t="s">
        <v>100</v>
      </c>
      <c r="F13" s="171" t="s">
        <v>100</v>
      </c>
      <c r="G13" s="171" t="s">
        <v>100</v>
      </c>
      <c r="H13" s="171" t="s">
        <v>101</v>
      </c>
      <c r="I13" s="171" t="s">
        <v>100</v>
      </c>
      <c r="J13" s="171" t="s">
        <v>100</v>
      </c>
      <c r="K13" s="171" t="s">
        <v>100</v>
      </c>
      <c r="L13" s="171" t="s">
        <v>100</v>
      </c>
      <c r="M13" s="171" t="s">
        <v>101</v>
      </c>
      <c r="N13" s="171" t="s">
        <v>100</v>
      </c>
      <c r="O13" s="171" t="s">
        <v>100</v>
      </c>
      <c r="P13" s="172" t="s">
        <v>100</v>
      </c>
      <c r="Q13" s="141" t="s">
        <v>100</v>
      </c>
      <c r="R13" s="142" t="s">
        <v>100</v>
      </c>
      <c r="S13" s="142" t="s">
        <v>100</v>
      </c>
      <c r="T13" s="142" t="s">
        <v>100</v>
      </c>
      <c r="U13" s="142" t="s">
        <v>100</v>
      </c>
      <c r="V13" s="142" t="s">
        <v>100</v>
      </c>
      <c r="W13" s="142" t="s">
        <v>100</v>
      </c>
      <c r="X13" s="142" t="s">
        <v>100</v>
      </c>
      <c r="Y13" s="142" t="s">
        <v>100</v>
      </c>
      <c r="Z13" s="142" t="s">
        <v>101</v>
      </c>
      <c r="AA13" s="142" t="s">
        <v>100</v>
      </c>
      <c r="AB13" s="142" t="s">
        <v>100</v>
      </c>
      <c r="AC13" s="143" t="s">
        <v>100</v>
      </c>
      <c r="AD13" s="144" t="s">
        <v>101</v>
      </c>
      <c r="AE13" s="173" t="s">
        <v>100</v>
      </c>
      <c r="AF13" s="584"/>
      <c r="AG13" s="584"/>
      <c r="AH13" s="584"/>
      <c r="AI13" s="584"/>
    </row>
    <row r="14" spans="1:35" x14ac:dyDescent="0.25">
      <c r="A14" s="528"/>
      <c r="B14" s="544"/>
      <c r="C14" s="141">
        <f t="shared" ref="C14:P14" si="4">(C6/$AH$6)*$AB$18</f>
        <v>0</v>
      </c>
      <c r="D14" s="142">
        <f t="shared" si="4"/>
        <v>15735.577337726763</v>
      </c>
      <c r="E14" s="142">
        <f t="shared" si="4"/>
        <v>178140.42800609069</v>
      </c>
      <c r="F14" s="142">
        <f t="shared" si="4"/>
        <v>4422.3105752557194</v>
      </c>
      <c r="G14" s="142">
        <f t="shared" si="4"/>
        <v>0</v>
      </c>
      <c r="H14" s="142">
        <f t="shared" si="4"/>
        <v>467709.21602877782</v>
      </c>
      <c r="I14" s="142">
        <f t="shared" si="4"/>
        <v>7082.6665064862855</v>
      </c>
      <c r="J14" s="142">
        <f t="shared" si="4"/>
        <v>0</v>
      </c>
      <c r="K14" s="142">
        <f t="shared" si="4"/>
        <v>2.4554327253690954E-2</v>
      </c>
      <c r="L14" s="142">
        <f t="shared" si="4"/>
        <v>0</v>
      </c>
      <c r="M14" s="142">
        <f t="shared" si="4"/>
        <v>34497.294103215849</v>
      </c>
      <c r="N14" s="142">
        <f t="shared" si="4"/>
        <v>4107.3100950133339</v>
      </c>
      <c r="O14" s="142">
        <f t="shared" si="4"/>
        <v>24318.086745703906</v>
      </c>
      <c r="P14" s="143">
        <f t="shared" si="4"/>
        <v>0</v>
      </c>
      <c r="Q14" s="141">
        <f t="shared" ref="Q14:AE14" si="5">(Q6/$AG$6)*$T$18</f>
        <v>39047.714619134196</v>
      </c>
      <c r="R14" s="142">
        <f t="shared" si="5"/>
        <v>171174.94770947992</v>
      </c>
      <c r="S14" s="142">
        <f t="shared" si="5"/>
        <v>9380.9208094855348</v>
      </c>
      <c r="T14" s="142">
        <f t="shared" si="5"/>
        <v>1.9206148320839782</v>
      </c>
      <c r="U14" s="142">
        <f t="shared" si="5"/>
        <v>0</v>
      </c>
      <c r="V14" s="142">
        <f t="shared" si="5"/>
        <v>0</v>
      </c>
      <c r="W14" s="142">
        <f t="shared" si="5"/>
        <v>0.12450564299767437</v>
      </c>
      <c r="X14" s="142">
        <f t="shared" si="5"/>
        <v>6.996232359391269E-2</v>
      </c>
      <c r="Y14" s="142">
        <f t="shared" si="5"/>
        <v>0</v>
      </c>
      <c r="Z14" s="142">
        <f t="shared" si="5"/>
        <v>108375.89600596821</v>
      </c>
      <c r="AA14" s="142">
        <f t="shared" si="5"/>
        <v>12720.782718605391</v>
      </c>
      <c r="AB14" s="142">
        <f t="shared" si="5"/>
        <v>82722.895936102272</v>
      </c>
      <c r="AC14" s="143">
        <f t="shared" si="5"/>
        <v>0</v>
      </c>
      <c r="AD14" s="144">
        <f t="shared" si="5"/>
        <v>3683.3041939341451</v>
      </c>
      <c r="AE14" s="173">
        <f t="shared" si="5"/>
        <v>0</v>
      </c>
      <c r="AF14" s="584"/>
      <c r="AG14" s="584"/>
      <c r="AH14" s="584"/>
      <c r="AI14" s="584"/>
    </row>
    <row r="15" spans="1:35" x14ac:dyDescent="0.25">
      <c r="A15" s="530" t="s">
        <v>115</v>
      </c>
      <c r="B15" s="545"/>
      <c r="C15" s="149">
        <f t="shared" ref="C15:P15" si="6">C8*$AB$18</f>
        <v>0</v>
      </c>
      <c r="D15" s="150">
        <f t="shared" si="6"/>
        <v>34.908434189106565</v>
      </c>
      <c r="E15" s="150">
        <f t="shared" si="6"/>
        <v>571.9911002847565</v>
      </c>
      <c r="F15" s="150">
        <f t="shared" si="6"/>
        <v>19.178676502769004</v>
      </c>
      <c r="G15" s="150">
        <f t="shared" si="6"/>
        <v>0</v>
      </c>
      <c r="H15" s="150">
        <f t="shared" si="6"/>
        <v>233.8546080143889</v>
      </c>
      <c r="I15" s="150">
        <f t="shared" si="6"/>
        <v>11.73266725465599</v>
      </c>
      <c r="J15" s="150">
        <f t="shared" si="6"/>
        <v>0</v>
      </c>
      <c r="K15" s="150">
        <f t="shared" si="6"/>
        <v>1.080230796035253E-4</v>
      </c>
      <c r="L15" s="150">
        <f t="shared" si="6"/>
        <v>0</v>
      </c>
      <c r="M15" s="150">
        <f t="shared" si="6"/>
        <v>17.248647051607925</v>
      </c>
      <c r="N15" s="150">
        <f t="shared" si="6"/>
        <v>4.4454382376201647</v>
      </c>
      <c r="O15" s="150">
        <f t="shared" si="6"/>
        <v>78.082944731780685</v>
      </c>
      <c r="P15" s="151">
        <f t="shared" si="6"/>
        <v>0</v>
      </c>
      <c r="Q15" s="149">
        <f t="shared" ref="Q15:AD15" si="7">Q8*$T$18</f>
        <v>5.0265303027204435</v>
      </c>
      <c r="R15" s="150">
        <f t="shared" si="7"/>
        <v>379.74135099661862</v>
      </c>
      <c r="S15" s="150">
        <f t="shared" si="7"/>
        <v>40.683177366576864</v>
      </c>
      <c r="T15" s="150">
        <f t="shared" si="7"/>
        <v>3.1815608893291528E-3</v>
      </c>
      <c r="U15" s="150">
        <f t="shared" si="7"/>
        <v>0</v>
      </c>
      <c r="V15" s="150">
        <f t="shared" si="7"/>
        <v>0</v>
      </c>
      <c r="W15" s="150">
        <f t="shared" si="7"/>
        <v>5.4774390052181874E-4</v>
      </c>
      <c r="X15" s="150">
        <f t="shared" si="7"/>
        <v>3.0778874830287976E-4</v>
      </c>
      <c r="Y15" s="150">
        <f t="shared" si="7"/>
        <v>0</v>
      </c>
      <c r="Z15" s="150">
        <f t="shared" si="7"/>
        <v>54.187948002984108</v>
      </c>
      <c r="AA15" s="150">
        <f t="shared" si="7"/>
        <v>13.768002074740497</v>
      </c>
      <c r="AB15" s="150">
        <f t="shared" si="7"/>
        <v>265.61494656123079</v>
      </c>
      <c r="AC15" s="151">
        <f t="shared" si="7"/>
        <v>0</v>
      </c>
      <c r="AD15" s="152">
        <f t="shared" si="7"/>
        <v>1.8416520969670727</v>
      </c>
      <c r="AE15" s="174">
        <f>(AE14*(1.029*8.34)*0.03)/2000</f>
        <v>0</v>
      </c>
      <c r="AF15" s="584"/>
      <c r="AG15" s="584"/>
      <c r="AH15" s="584"/>
      <c r="AI15" s="584"/>
    </row>
    <row r="16" spans="1:35" ht="15" customHeight="1" thickBot="1" x14ac:dyDescent="0.3">
      <c r="A16" s="517" t="s">
        <v>116</v>
      </c>
      <c r="B16" s="546"/>
      <c r="C16" s="175">
        <f>$AI$30*C15</f>
        <v>0</v>
      </c>
      <c r="D16" s="176">
        <f>$AI$28*D15</f>
        <v>18292.019515091841</v>
      </c>
      <c r="E16" s="176">
        <f>$AI$31*E15</f>
        <v>446153.05822211009</v>
      </c>
      <c r="F16" s="176">
        <f>$AI$26*F15</f>
        <v>17644.382382547483</v>
      </c>
      <c r="G16" s="177">
        <f>$AI$23*G15</f>
        <v>0</v>
      </c>
      <c r="H16" s="177">
        <f>$AI$24*H15</f>
        <v>25847.949823830404</v>
      </c>
      <c r="I16" s="177">
        <f>$AI$29*I15</f>
        <v>22191.502064520759</v>
      </c>
      <c r="J16" s="177">
        <v>0</v>
      </c>
      <c r="K16" s="177">
        <f>'Yearly Summary '!$S$30</f>
        <v>0.43286077875363166</v>
      </c>
      <c r="L16" s="177">
        <f>'Yearly Summary '!$U$30</f>
        <v>0</v>
      </c>
      <c r="M16" s="177">
        <f>$AI$27*M15</f>
        <v>8007.3394207679476</v>
      </c>
      <c r="N16" s="177">
        <f>$AI$22*N15</f>
        <v>397.99834820679212</v>
      </c>
      <c r="O16" s="177">
        <f>$AI$31*O15</f>
        <v>60904.696890788931</v>
      </c>
      <c r="P16" s="178">
        <v>0</v>
      </c>
      <c r="Q16" s="179">
        <f>$AI$30*Q15</f>
        <v>32069.263331356429</v>
      </c>
      <c r="R16" s="177">
        <f>$AI$28*R15</f>
        <v>198984.46792222816</v>
      </c>
      <c r="S16" s="177">
        <f>$AI$26*S15</f>
        <v>37428.523177250718</v>
      </c>
      <c r="T16" s="177">
        <f>$AI$25*T15</f>
        <v>0</v>
      </c>
      <c r="U16" s="177">
        <f>$AI$23*U15</f>
        <v>0</v>
      </c>
      <c r="V16" s="177">
        <f>$AI$23*V15</f>
        <v>0</v>
      </c>
      <c r="W16" s="177">
        <v>0</v>
      </c>
      <c r="X16" s="177">
        <v>0</v>
      </c>
      <c r="Y16" s="177">
        <f>'Yearly Summary '!$T$30</f>
        <v>0</v>
      </c>
      <c r="Z16" s="177">
        <f>$AI$27*Z15</f>
        <v>25155.671101425312</v>
      </c>
      <c r="AA16" s="177">
        <f>$AI$22*AA15</f>
        <v>1232.643845432862</v>
      </c>
      <c r="AB16" s="177">
        <f>$AI$31*AB15</f>
        <v>207179.65831776001</v>
      </c>
      <c r="AC16" s="178">
        <v>0</v>
      </c>
      <c r="AD16" s="180">
        <f>$AI$27*AD15</f>
        <v>854.95015297502414</v>
      </c>
      <c r="AE16" s="181">
        <f>$AI$30*AE15</f>
        <v>0</v>
      </c>
      <c r="AF16" s="584"/>
      <c r="AG16" s="584"/>
      <c r="AH16" s="584"/>
      <c r="AI16" s="584"/>
    </row>
    <row r="17" spans="1:35" ht="15" customHeight="1" thickBot="1" x14ac:dyDescent="0.3">
      <c r="A17" s="547"/>
      <c r="B17" s="548"/>
      <c r="C17" s="549" t="s">
        <v>117</v>
      </c>
      <c r="D17" s="550"/>
      <c r="E17" s="550"/>
      <c r="F17" s="182">
        <f>SUM(C16:P16)</f>
        <v>599439.37952864298</v>
      </c>
      <c r="G17" s="551" t="s">
        <v>118</v>
      </c>
      <c r="H17" s="550"/>
      <c r="I17" s="550"/>
      <c r="J17" s="183">
        <f>SUM(Q16:AE16)</f>
        <v>502905.17784842849</v>
      </c>
      <c r="K17" s="551" t="s">
        <v>119</v>
      </c>
      <c r="L17" s="552"/>
      <c r="M17" s="553">
        <f>SUM(C16:AE16)</f>
        <v>1102344.5573770716</v>
      </c>
      <c r="N17" s="554"/>
      <c r="O17" s="555"/>
      <c r="P17" s="556"/>
      <c r="Q17" s="556"/>
      <c r="R17" s="223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585"/>
      <c r="AG17" s="585"/>
      <c r="AH17" s="585"/>
      <c r="AI17" s="585"/>
    </row>
    <row r="18" spans="1:35" ht="15" customHeight="1" thickTop="1" thickBot="1" x14ac:dyDescent="0.3">
      <c r="A18" s="185" t="s">
        <v>121</v>
      </c>
      <c r="B18" s="186"/>
      <c r="C18" s="186"/>
      <c r="D18" s="187">
        <v>5001.1000000000004</v>
      </c>
      <c r="E18" s="188" t="s">
        <v>122</v>
      </c>
      <c r="F18" s="189"/>
      <c r="G18" s="189"/>
      <c r="H18" s="190">
        <f>D18*((AF19+AH19)/(AG6+AH6))</f>
        <v>2888.5195000051854</v>
      </c>
      <c r="I18" s="191" t="s">
        <v>123</v>
      </c>
      <c r="J18" s="189"/>
      <c r="K18" s="189"/>
      <c r="L18" s="192">
        <v>0.755</v>
      </c>
      <c r="M18" s="191" t="s">
        <v>124</v>
      </c>
      <c r="N18" s="189"/>
      <c r="O18" s="189"/>
      <c r="P18" s="193">
        <f>L18/(1-L18)</f>
        <v>3.0816326530612246</v>
      </c>
      <c r="Q18" s="191" t="s">
        <v>125</v>
      </c>
      <c r="R18" s="189"/>
      <c r="S18" s="189"/>
      <c r="T18" s="190">
        <f>D18*L18</f>
        <v>3775.8305000000005</v>
      </c>
      <c r="U18" s="191" t="s">
        <v>126</v>
      </c>
      <c r="V18" s="189"/>
      <c r="W18" s="189"/>
      <c r="X18" s="190">
        <f>H18*L18</f>
        <v>2180.8322225039151</v>
      </c>
      <c r="Y18" s="191" t="s">
        <v>127</v>
      </c>
      <c r="Z18" s="189"/>
      <c r="AA18" s="189"/>
      <c r="AB18" s="190">
        <f>D18-T18</f>
        <v>1225.2694999999999</v>
      </c>
      <c r="AC18" s="191" t="s">
        <v>128</v>
      </c>
      <c r="AD18" s="189"/>
      <c r="AE18" s="194">
        <f>H18-X18</f>
        <v>707.68727750127027</v>
      </c>
      <c r="AF18" s="224" t="s">
        <v>102</v>
      </c>
      <c r="AG18" s="225" t="s">
        <v>102</v>
      </c>
      <c r="AH18" s="225" t="s">
        <v>102</v>
      </c>
      <c r="AI18" s="225" t="s">
        <v>102</v>
      </c>
    </row>
    <row r="19" spans="1:35" ht="16.5" thickTop="1" thickBot="1" x14ac:dyDescent="0.3">
      <c r="O19" s="535"/>
      <c r="P19" s="535"/>
      <c r="AF19" s="195">
        <f>'[1]Yearly Summary '!$C$29</f>
        <v>3046.1644149070598</v>
      </c>
      <c r="AG19" s="195">
        <f>AF19-AG10</f>
        <v>3003.9785289951033</v>
      </c>
      <c r="AH19" s="195">
        <f>'[1]Yearly Summary '!$D$29</f>
        <v>520.85895995015176</v>
      </c>
      <c r="AI19" s="195">
        <f>AH19-AI10</f>
        <v>431.4764020759452</v>
      </c>
    </row>
    <row r="20" spans="1:35" ht="15" customHeight="1" x14ac:dyDescent="0.25">
      <c r="A20" s="536">
        <f>A12</f>
        <v>2017</v>
      </c>
      <c r="B20" s="537"/>
      <c r="C20" s="537" t="s">
        <v>129</v>
      </c>
      <c r="D20" s="537"/>
      <c r="E20" s="537"/>
      <c r="F20" s="537"/>
      <c r="G20" s="537"/>
      <c r="H20" s="537"/>
      <c r="I20" s="537"/>
      <c r="J20" s="537" t="s">
        <v>130</v>
      </c>
      <c r="K20" s="537"/>
      <c r="L20" s="537"/>
      <c r="M20" s="537"/>
      <c r="N20" s="537"/>
      <c r="O20" s="537"/>
      <c r="P20" s="538"/>
      <c r="Q20" s="196"/>
      <c r="R20" s="197">
        <f>A1</f>
        <v>2016</v>
      </c>
      <c r="S20" s="539" t="s">
        <v>131</v>
      </c>
      <c r="T20" s="540"/>
      <c r="U20" s="541" t="s">
        <v>132</v>
      </c>
      <c r="V20" s="542"/>
      <c r="W20" s="542"/>
      <c r="X20" s="542"/>
      <c r="Y20" s="543"/>
      <c r="Z20" s="557" t="s">
        <v>133</v>
      </c>
      <c r="AA20" s="558"/>
      <c r="AB20" s="558"/>
      <c r="AC20" s="558"/>
      <c r="AD20" s="559"/>
      <c r="AE20" s="560" t="s">
        <v>134</v>
      </c>
      <c r="AF20" s="561"/>
      <c r="AG20" s="561"/>
      <c r="AH20" s="561"/>
      <c r="AI20" s="562"/>
    </row>
    <row r="21" spans="1:35" ht="15.75" thickBot="1" x14ac:dyDescent="0.3">
      <c r="A21" s="563" t="s">
        <v>135</v>
      </c>
      <c r="B21" s="564"/>
      <c r="C21" s="565" t="s">
        <v>163</v>
      </c>
      <c r="D21" s="565"/>
      <c r="E21" s="565" t="s">
        <v>164</v>
      </c>
      <c r="F21" s="566"/>
      <c r="G21" s="566" t="s">
        <v>165</v>
      </c>
      <c r="H21" s="567"/>
      <c r="I21" s="567"/>
      <c r="J21" s="568" t="s">
        <v>166</v>
      </c>
      <c r="K21" s="568"/>
      <c r="L21" s="569"/>
      <c r="M21" s="568" t="s">
        <v>167</v>
      </c>
      <c r="N21" s="569"/>
      <c r="O21" s="565" t="s">
        <v>136</v>
      </c>
      <c r="P21" s="570"/>
      <c r="Q21" s="196"/>
      <c r="R21" s="571" t="s">
        <v>135</v>
      </c>
      <c r="S21" s="572"/>
      <c r="T21" s="572"/>
      <c r="U21" s="198" t="s">
        <v>137</v>
      </c>
      <c r="V21" s="248" t="s">
        <v>138</v>
      </c>
      <c r="W21" s="248" t="s">
        <v>139</v>
      </c>
      <c r="X21" s="248" t="s">
        <v>58</v>
      </c>
      <c r="Y21" s="248" t="s">
        <v>140</v>
      </c>
      <c r="Z21" s="199" t="s">
        <v>137</v>
      </c>
      <c r="AA21" s="199" t="s">
        <v>138</v>
      </c>
      <c r="AB21" s="199" t="s">
        <v>139</v>
      </c>
      <c r="AC21" s="199" t="s">
        <v>58</v>
      </c>
      <c r="AD21" s="199" t="s">
        <v>140</v>
      </c>
      <c r="AE21" s="200" t="s">
        <v>137</v>
      </c>
      <c r="AF21" s="200" t="s">
        <v>138</v>
      </c>
      <c r="AG21" s="200" t="s">
        <v>139</v>
      </c>
      <c r="AH21" s="200" t="s">
        <v>58</v>
      </c>
      <c r="AI21" s="201" t="s">
        <v>140</v>
      </c>
    </row>
    <row r="22" spans="1:35" ht="15.75" thickTop="1" x14ac:dyDescent="0.25">
      <c r="A22" s="574" t="s">
        <v>141</v>
      </c>
      <c r="B22" s="575"/>
      <c r="C22" s="576">
        <f>N15+AA15</f>
        <v>18.21344031236066</v>
      </c>
      <c r="D22" s="565"/>
      <c r="E22" s="577">
        <f>N16+AA16</f>
        <v>1630.6421936396541</v>
      </c>
      <c r="F22" s="578"/>
      <c r="G22" s="579">
        <f>(C22*2000)/(8.34*0.895*0.29)</f>
        <v>16828.092813618721</v>
      </c>
      <c r="H22" s="579"/>
      <c r="I22" s="202" t="s">
        <v>142</v>
      </c>
      <c r="J22" s="580">
        <f>(G22*8.34*0.895)/27000</f>
        <v>4.6522197477294149</v>
      </c>
      <c r="K22" s="581"/>
      <c r="L22" s="203" t="s">
        <v>143</v>
      </c>
      <c r="M22" s="582">
        <f>ROUNDUP(J22,0)</f>
        <v>5</v>
      </c>
      <c r="N22" s="566"/>
      <c r="O22" s="573">
        <f>((M22*27000)/(8.34*0.895))*$Y$22</f>
        <v>1752.5421003978938</v>
      </c>
      <c r="P22" s="570"/>
      <c r="Q22" s="196"/>
      <c r="R22" s="571" t="s">
        <v>141</v>
      </c>
      <c r="S22" s="572"/>
      <c r="T22" s="572"/>
      <c r="U22" s="244" t="s">
        <v>146</v>
      </c>
      <c r="V22" s="361">
        <v>9.69E-2</v>
      </c>
      <c r="W22" s="362">
        <v>9.69E-2</v>
      </c>
      <c r="X22" s="362">
        <v>9.69E-2</v>
      </c>
      <c r="Y22" s="249">
        <v>9.69E-2</v>
      </c>
      <c r="Z22" s="246" t="s">
        <v>142</v>
      </c>
      <c r="AA22" s="205">
        <f>V22*8.34*0.92</f>
        <v>0.74349432000000004</v>
      </c>
      <c r="AB22" s="205">
        <f t="shared" ref="AB22:AD22" si="8">W22*8.34*0.92</f>
        <v>0.74349432000000004</v>
      </c>
      <c r="AC22" s="205">
        <f t="shared" si="8"/>
        <v>0.74349432000000004</v>
      </c>
      <c r="AD22" s="205">
        <f t="shared" si="8"/>
        <v>0.74349432000000004</v>
      </c>
      <c r="AE22" s="206" t="s">
        <v>144</v>
      </c>
      <c r="AF22" s="207">
        <f>(V22/((0.895*8.34)*0.29))*2000</f>
        <v>89.529609215728939</v>
      </c>
      <c r="AG22" s="207">
        <f>(W22/((0.895*8.34)*0.29))*2000</f>
        <v>89.529609215728939</v>
      </c>
      <c r="AH22" s="207">
        <f>(X22/((0.895*8.34)*0.29))*2000</f>
        <v>89.529609215728939</v>
      </c>
      <c r="AI22" s="208">
        <f>(Y22/((0.895*8.34)*0.29))*2000</f>
        <v>89.529609215728939</v>
      </c>
    </row>
    <row r="23" spans="1:35" x14ac:dyDescent="0.25">
      <c r="A23" s="574" t="s">
        <v>145</v>
      </c>
      <c r="B23" s="575"/>
      <c r="C23" s="576">
        <f>G15+U15+V15</f>
        <v>0</v>
      </c>
      <c r="D23" s="565"/>
      <c r="E23" s="577">
        <f>G16+U16+V16</f>
        <v>0</v>
      </c>
      <c r="F23" s="578"/>
      <c r="G23" s="579">
        <f>C23*2000</f>
        <v>0</v>
      </c>
      <c r="H23" s="579"/>
      <c r="I23" s="202" t="s">
        <v>146</v>
      </c>
      <c r="J23" s="580">
        <f>(G23/(8.34*1.055))/400</f>
        <v>0</v>
      </c>
      <c r="K23" s="581"/>
      <c r="L23" s="203" t="s">
        <v>147</v>
      </c>
      <c r="M23" s="582">
        <f t="shared" ref="M23:M31" si="9">ROUNDUP(J23,0)</f>
        <v>0</v>
      </c>
      <c r="N23" s="566"/>
      <c r="O23" s="573">
        <f>(M23*400*8.34*1.055)*$Y$23</f>
        <v>0</v>
      </c>
      <c r="P23" s="570"/>
      <c r="Q23" s="196"/>
      <c r="R23" s="571" t="s">
        <v>145</v>
      </c>
      <c r="S23" s="572"/>
      <c r="T23" s="572"/>
      <c r="U23" s="244" t="s">
        <v>146</v>
      </c>
      <c r="V23" s="363"/>
      <c r="W23" s="364"/>
      <c r="X23" s="364"/>
      <c r="Y23" s="364"/>
      <c r="Z23" s="246" t="s">
        <v>142</v>
      </c>
      <c r="AA23" s="205">
        <f>V23*8.34*0.005</f>
        <v>0</v>
      </c>
      <c r="AB23" s="205">
        <f>W23*8.34*0.005</f>
        <v>0</v>
      </c>
      <c r="AC23" s="205">
        <f>X23*8.34*0.005</f>
        <v>0</v>
      </c>
      <c r="AD23" s="205">
        <f>Y23*8.34*0.005</f>
        <v>0</v>
      </c>
      <c r="AE23" s="206" t="s">
        <v>144</v>
      </c>
      <c r="AF23" s="207">
        <f>V23*2000</f>
        <v>0</v>
      </c>
      <c r="AG23" s="207">
        <f>W23*2000</f>
        <v>0</v>
      </c>
      <c r="AH23" s="207">
        <f>X23*2000</f>
        <v>0</v>
      </c>
      <c r="AI23" s="208">
        <f>Y23*2000</f>
        <v>0</v>
      </c>
    </row>
    <row r="24" spans="1:35" x14ac:dyDescent="0.25">
      <c r="A24" s="574" t="s">
        <v>148</v>
      </c>
      <c r="B24" s="575"/>
      <c r="C24" s="576">
        <f>H15</f>
        <v>233.8546080143889</v>
      </c>
      <c r="D24" s="565"/>
      <c r="E24" s="577">
        <f>H16</f>
        <v>25847.949823830404</v>
      </c>
      <c r="F24" s="578"/>
      <c r="G24" s="579">
        <f>C24</f>
        <v>233.8546080143889</v>
      </c>
      <c r="H24" s="579"/>
      <c r="I24" s="202" t="s">
        <v>149</v>
      </c>
      <c r="J24" s="580">
        <f>(G24*2000)/40000</f>
        <v>11.692730400719446</v>
      </c>
      <c r="K24" s="581"/>
      <c r="L24" s="203" t="s">
        <v>143</v>
      </c>
      <c r="M24" s="582">
        <f t="shared" si="9"/>
        <v>12</v>
      </c>
      <c r="N24" s="566"/>
      <c r="O24" s="573">
        <f>((M24*40000)/2000)*$Y$24</f>
        <v>26527.200000000001</v>
      </c>
      <c r="P24" s="570"/>
      <c r="Q24" s="196"/>
      <c r="R24" s="571" t="s">
        <v>148</v>
      </c>
      <c r="S24" s="572"/>
      <c r="T24" s="572"/>
      <c r="U24" s="244" t="s">
        <v>149</v>
      </c>
      <c r="V24" s="363">
        <v>110.53</v>
      </c>
      <c r="W24" s="364">
        <v>110.53</v>
      </c>
      <c r="X24" s="364">
        <v>110.53</v>
      </c>
      <c r="Y24" s="251">
        <v>110.53</v>
      </c>
      <c r="Z24" s="246" t="s">
        <v>146</v>
      </c>
      <c r="AA24" s="205">
        <f>V24/2000</f>
        <v>5.5265000000000002E-2</v>
      </c>
      <c r="AB24" s="205">
        <f>W24/2000</f>
        <v>5.5265000000000002E-2</v>
      </c>
      <c r="AC24" s="205">
        <f>X24/2000</f>
        <v>5.5265000000000002E-2</v>
      </c>
      <c r="AD24" s="205">
        <f>Y24/2000</f>
        <v>5.5265000000000002E-2</v>
      </c>
      <c r="AE24" s="206" t="s">
        <v>144</v>
      </c>
      <c r="AF24" s="207">
        <f>V24</f>
        <v>110.53</v>
      </c>
      <c r="AG24" s="207">
        <f>W24</f>
        <v>110.53</v>
      </c>
      <c r="AH24" s="207">
        <f>X24</f>
        <v>110.53</v>
      </c>
      <c r="AI24" s="207">
        <f>Y24</f>
        <v>110.53</v>
      </c>
    </row>
    <row r="25" spans="1:35" ht="15.75" customHeight="1" x14ac:dyDescent="0.25">
      <c r="A25" s="574" t="s">
        <v>150</v>
      </c>
      <c r="B25" s="575"/>
      <c r="C25" s="576">
        <f>T15</f>
        <v>3.1815608893291528E-3</v>
      </c>
      <c r="D25" s="565"/>
      <c r="E25" s="577">
        <f>T16</f>
        <v>0</v>
      </c>
      <c r="F25" s="578"/>
      <c r="G25" s="579">
        <f>C25*2000</f>
        <v>6.3631217786583054</v>
      </c>
      <c r="H25" s="579"/>
      <c r="I25" s="202" t="s">
        <v>151</v>
      </c>
      <c r="J25" s="580">
        <f>G25/45000</f>
        <v>1.414027061924068E-4</v>
      </c>
      <c r="K25" s="581"/>
      <c r="L25" s="203" t="s">
        <v>143</v>
      </c>
      <c r="M25" s="582">
        <f t="shared" si="9"/>
        <v>1</v>
      </c>
      <c r="N25" s="566"/>
      <c r="O25" s="573">
        <f>J25*45000*$Y$25</f>
        <v>0</v>
      </c>
      <c r="P25" s="570"/>
      <c r="Q25" s="196"/>
      <c r="R25" s="571" t="s">
        <v>150</v>
      </c>
      <c r="S25" s="572"/>
      <c r="T25" s="572"/>
      <c r="U25" s="244" t="s">
        <v>151</v>
      </c>
      <c r="V25" s="250"/>
      <c r="W25" s="204"/>
      <c r="X25" s="204"/>
      <c r="Y25" s="251"/>
      <c r="Z25" s="246" t="s">
        <v>142</v>
      </c>
      <c r="AA25" s="205">
        <f>V25*8.34*0.055</f>
        <v>0</v>
      </c>
      <c r="AB25" s="205">
        <f>W25*8.34*0.055</f>
        <v>0</v>
      </c>
      <c r="AC25" s="205">
        <f>X25*8.34*0.055</f>
        <v>0</v>
      </c>
      <c r="AD25" s="205">
        <f>Y25*8.34*0.055</f>
        <v>0</v>
      </c>
      <c r="AE25" s="206" t="s">
        <v>144</v>
      </c>
      <c r="AF25" s="207">
        <f>V25*2000</f>
        <v>0</v>
      </c>
      <c r="AG25" s="207">
        <f>W25*2000</f>
        <v>0</v>
      </c>
      <c r="AH25" s="207">
        <f>X25*2000</f>
        <v>0</v>
      </c>
      <c r="AI25" s="208">
        <f>Y25*2000</f>
        <v>0</v>
      </c>
    </row>
    <row r="26" spans="1:35" x14ac:dyDescent="0.25">
      <c r="A26" s="574" t="s">
        <v>152</v>
      </c>
      <c r="B26" s="575"/>
      <c r="C26" s="576">
        <f>F15+S15</f>
        <v>59.861853869345865</v>
      </c>
      <c r="D26" s="565"/>
      <c r="E26" s="577">
        <f>F16+S16</f>
        <v>55072.905559798201</v>
      </c>
      <c r="F26" s="578"/>
      <c r="G26" s="579">
        <f>C26</f>
        <v>59.861853869345865</v>
      </c>
      <c r="H26" s="579"/>
      <c r="I26" s="202" t="s">
        <v>149</v>
      </c>
      <c r="J26" s="580">
        <f>(G26*2000)/45000</f>
        <v>2.660526838637594</v>
      </c>
      <c r="K26" s="581"/>
      <c r="L26" s="203" t="s">
        <v>143</v>
      </c>
      <c r="M26" s="582">
        <f t="shared" si="9"/>
        <v>3</v>
      </c>
      <c r="N26" s="566"/>
      <c r="O26" s="573">
        <f>((M26*45000)/2000)*$Y$26</f>
        <v>62100</v>
      </c>
      <c r="P26" s="570"/>
      <c r="Q26" s="196"/>
      <c r="R26" s="571" t="s">
        <v>152</v>
      </c>
      <c r="S26" s="572"/>
      <c r="T26" s="572"/>
      <c r="U26" s="244" t="s">
        <v>149</v>
      </c>
      <c r="V26" s="363">
        <v>920</v>
      </c>
      <c r="W26" s="364">
        <v>920</v>
      </c>
      <c r="X26" s="364">
        <v>920</v>
      </c>
      <c r="Y26" s="251">
        <v>920</v>
      </c>
      <c r="Z26" s="246" t="s">
        <v>142</v>
      </c>
      <c r="AA26" s="205">
        <f>(V26/2000)*8.34*1.04*1</f>
        <v>3.9898560000000005</v>
      </c>
      <c r="AB26" s="205">
        <f t="shared" ref="AB26:AD26" si="10">(W26/2000)*8.34*1.04*1</f>
        <v>3.9898560000000005</v>
      </c>
      <c r="AC26" s="205">
        <f t="shared" si="10"/>
        <v>3.9898560000000005</v>
      </c>
      <c r="AD26" s="205">
        <f t="shared" si="10"/>
        <v>3.9898560000000005</v>
      </c>
      <c r="AE26" s="206" t="s">
        <v>144</v>
      </c>
      <c r="AF26" s="207">
        <f t="shared" ref="AF26:AI28" si="11">V26</f>
        <v>920</v>
      </c>
      <c r="AG26" s="207">
        <f t="shared" si="11"/>
        <v>920</v>
      </c>
      <c r="AH26" s="207">
        <f t="shared" si="11"/>
        <v>920</v>
      </c>
      <c r="AI26" s="208">
        <f t="shared" si="11"/>
        <v>920</v>
      </c>
    </row>
    <row r="27" spans="1:35" x14ac:dyDescent="0.25">
      <c r="A27" s="574" t="s">
        <v>153</v>
      </c>
      <c r="B27" s="575"/>
      <c r="C27" s="576">
        <f>M15+Z15+AD15</f>
        <v>73.2782471515591</v>
      </c>
      <c r="D27" s="565"/>
      <c r="E27" s="577">
        <f>M16+Z16+AD16</f>
        <v>34017.960675168288</v>
      </c>
      <c r="F27" s="578"/>
      <c r="G27" s="579">
        <f>C27</f>
        <v>73.2782471515591</v>
      </c>
      <c r="H27" s="579"/>
      <c r="I27" s="202" t="s">
        <v>149</v>
      </c>
      <c r="J27" s="580">
        <f>G27/8</f>
        <v>9.1597808939448875</v>
      </c>
      <c r="K27" s="581"/>
      <c r="L27" s="203" t="s">
        <v>143</v>
      </c>
      <c r="M27" s="582">
        <f t="shared" si="9"/>
        <v>10</v>
      </c>
      <c r="N27" s="566"/>
      <c r="O27" s="573">
        <f>M27*8*$Y$27</f>
        <v>37138.400000000001</v>
      </c>
      <c r="P27" s="570"/>
      <c r="Q27" s="196"/>
      <c r="R27" s="571" t="s">
        <v>153</v>
      </c>
      <c r="S27" s="572"/>
      <c r="T27" s="572"/>
      <c r="U27" s="244" t="s">
        <v>149</v>
      </c>
      <c r="V27" s="363">
        <v>464.2</v>
      </c>
      <c r="W27" s="364">
        <v>464</v>
      </c>
      <c r="X27" s="364">
        <v>464.2</v>
      </c>
      <c r="Y27" s="251">
        <v>464.23</v>
      </c>
      <c r="Z27" s="246" t="s">
        <v>146</v>
      </c>
      <c r="AA27" s="205">
        <f>V27/2000</f>
        <v>0.2321</v>
      </c>
      <c r="AB27" s="205">
        <f>W27/2000</f>
        <v>0.23200000000000001</v>
      </c>
      <c r="AC27" s="205">
        <f>X27/2000</f>
        <v>0.2321</v>
      </c>
      <c r="AD27" s="205">
        <f>Y27/2000</f>
        <v>0.23211500000000002</v>
      </c>
      <c r="AE27" s="206" t="s">
        <v>144</v>
      </c>
      <c r="AF27" s="207">
        <f t="shared" si="11"/>
        <v>464.2</v>
      </c>
      <c r="AG27" s="207">
        <f t="shared" si="11"/>
        <v>464</v>
      </c>
      <c r="AH27" s="207">
        <f t="shared" si="11"/>
        <v>464.2</v>
      </c>
      <c r="AI27" s="208">
        <f t="shared" si="11"/>
        <v>464.23</v>
      </c>
    </row>
    <row r="28" spans="1:35" x14ac:dyDescent="0.25">
      <c r="A28" s="574" t="s">
        <v>154</v>
      </c>
      <c r="B28" s="575"/>
      <c r="C28" s="576">
        <f>D15+L15+R15+Y15</f>
        <v>414.64978518572519</v>
      </c>
      <c r="D28" s="565"/>
      <c r="E28" s="577">
        <f>D16+L16+R16+Y16</f>
        <v>217276.48743732</v>
      </c>
      <c r="F28" s="578"/>
      <c r="G28" s="579">
        <f>C28</f>
        <v>414.64978518572519</v>
      </c>
      <c r="H28" s="579"/>
      <c r="I28" s="202" t="s">
        <v>144</v>
      </c>
      <c r="J28" s="580">
        <f>((G28/0.38)*2000)/45000</f>
        <v>48.497050898915219</v>
      </c>
      <c r="K28" s="581"/>
      <c r="L28" s="203" t="s">
        <v>143</v>
      </c>
      <c r="M28" s="582">
        <f t="shared" si="9"/>
        <v>49</v>
      </c>
      <c r="N28" s="566"/>
      <c r="O28" s="573">
        <f>((M28*45000*0.38)/2000)*$Y$28</f>
        <v>219529.8</v>
      </c>
      <c r="P28" s="570"/>
      <c r="Q28" s="196"/>
      <c r="R28" s="571" t="s">
        <v>154</v>
      </c>
      <c r="S28" s="572"/>
      <c r="T28" s="572"/>
      <c r="U28" s="244" t="s">
        <v>144</v>
      </c>
      <c r="V28" s="250">
        <v>494</v>
      </c>
      <c r="W28" s="204">
        <v>494</v>
      </c>
      <c r="X28" s="204">
        <v>524</v>
      </c>
      <c r="Y28" s="251">
        <v>524</v>
      </c>
      <c r="Z28" s="246" t="s">
        <v>142</v>
      </c>
      <c r="AA28" s="205">
        <f>(V28/2000)*8.34*1.4*0.38</f>
        <v>1.0959093599999998</v>
      </c>
      <c r="AB28" s="205">
        <f>(W28/2000)*8.34*1.4*0.38</f>
        <v>1.0959093599999998</v>
      </c>
      <c r="AC28" s="205">
        <f>(X28/2000)*8.34*1.4*0.38</f>
        <v>1.16246256</v>
      </c>
      <c r="AD28" s="205">
        <f>(Y28/2000)*8.34*1.4*0.38</f>
        <v>1.16246256</v>
      </c>
      <c r="AE28" s="206" t="s">
        <v>144</v>
      </c>
      <c r="AF28" s="207">
        <f t="shared" si="11"/>
        <v>494</v>
      </c>
      <c r="AG28" s="207">
        <f t="shared" si="11"/>
        <v>494</v>
      </c>
      <c r="AH28" s="207">
        <f t="shared" si="11"/>
        <v>524</v>
      </c>
      <c r="AI28" s="208">
        <f t="shared" si="11"/>
        <v>524</v>
      </c>
    </row>
    <row r="29" spans="1:35" x14ac:dyDescent="0.25">
      <c r="A29" s="574" t="s">
        <v>155</v>
      </c>
      <c r="B29" s="575"/>
      <c r="C29" s="576">
        <f>I15</f>
        <v>11.73266725465599</v>
      </c>
      <c r="D29" s="565"/>
      <c r="E29" s="577">
        <f>I16</f>
        <v>22191.502064520759</v>
      </c>
      <c r="F29" s="578"/>
      <c r="G29" s="579">
        <f>C29/0.35</f>
        <v>33.521906441874258</v>
      </c>
      <c r="H29" s="579"/>
      <c r="I29" s="202" t="s">
        <v>149</v>
      </c>
      <c r="J29" s="580">
        <f>(G29*2000)/45000</f>
        <v>1.4898625085277448</v>
      </c>
      <c r="K29" s="581"/>
      <c r="L29" s="203" t="s">
        <v>143</v>
      </c>
      <c r="M29" s="582">
        <f t="shared" si="9"/>
        <v>2</v>
      </c>
      <c r="N29" s="566"/>
      <c r="O29" s="573">
        <f>((M29*45000)/2000)*$Y$29</f>
        <v>29790</v>
      </c>
      <c r="P29" s="570"/>
      <c r="Q29" s="196"/>
      <c r="R29" s="571" t="s">
        <v>155</v>
      </c>
      <c r="S29" s="572"/>
      <c r="T29" s="572"/>
      <c r="U29" s="244" t="s">
        <v>149</v>
      </c>
      <c r="V29" s="250">
        <v>662</v>
      </c>
      <c r="W29" s="204">
        <v>662</v>
      </c>
      <c r="X29" s="204">
        <v>662</v>
      </c>
      <c r="Y29" s="251">
        <v>662</v>
      </c>
      <c r="Z29" s="246" t="s">
        <v>142</v>
      </c>
      <c r="AA29" s="205">
        <f>(V29/2000)*8.34*1.135</f>
        <v>3.1332129000000002</v>
      </c>
      <c r="AB29" s="205">
        <f>(W29/2000)*8.34*1.135</f>
        <v>3.1332129000000002</v>
      </c>
      <c r="AC29" s="205">
        <f>(X29/2000)*8.34*1.135</f>
        <v>3.1332129000000002</v>
      </c>
      <c r="AD29" s="205">
        <f>(Y29/2000)*8.34*1.135</f>
        <v>3.1332129000000002</v>
      </c>
      <c r="AE29" s="206" t="s">
        <v>144</v>
      </c>
      <c r="AF29" s="207">
        <f>V29/0.35</f>
        <v>1891.4285714285716</v>
      </c>
      <c r="AG29" s="207">
        <f>W29/0.35</f>
        <v>1891.4285714285716</v>
      </c>
      <c r="AH29" s="207">
        <f>X29/0.35</f>
        <v>1891.4285714285716</v>
      </c>
      <c r="AI29" s="208">
        <f>Y29/0.35</f>
        <v>1891.4285714285716</v>
      </c>
    </row>
    <row r="30" spans="1:35" x14ac:dyDescent="0.25">
      <c r="A30" s="574" t="s">
        <v>156</v>
      </c>
      <c r="B30" s="575"/>
      <c r="C30" s="576">
        <f>C15+Q15+AE15</f>
        <v>5.0265303027204435</v>
      </c>
      <c r="D30" s="565"/>
      <c r="E30" s="577">
        <f>C16+Q16+AE16</f>
        <v>32069.263331356429</v>
      </c>
      <c r="F30" s="578"/>
      <c r="G30" s="579">
        <f>C30*2000</f>
        <v>10053.060605440887</v>
      </c>
      <c r="H30" s="579"/>
      <c r="I30" s="202" t="s">
        <v>151</v>
      </c>
      <c r="J30" s="580">
        <f>G30/3300</f>
        <v>3.0463820016487535</v>
      </c>
      <c r="K30" s="581"/>
      <c r="L30" s="203" t="s">
        <v>157</v>
      </c>
      <c r="M30" s="582">
        <f t="shared" si="9"/>
        <v>4</v>
      </c>
      <c r="N30" s="566"/>
      <c r="O30" s="573">
        <f>M30*3300*$Y$30</f>
        <v>42108</v>
      </c>
      <c r="P30" s="570"/>
      <c r="Q30" s="196"/>
      <c r="R30" s="571" t="s">
        <v>156</v>
      </c>
      <c r="S30" s="572"/>
      <c r="T30" s="572"/>
      <c r="U30" s="244" t="s">
        <v>151</v>
      </c>
      <c r="V30" s="250">
        <v>3.19</v>
      </c>
      <c r="W30" s="204">
        <v>3.19</v>
      </c>
      <c r="X30" s="204">
        <v>3.19</v>
      </c>
      <c r="Y30" s="251">
        <v>3.19</v>
      </c>
      <c r="Z30" s="246" t="s">
        <v>142</v>
      </c>
      <c r="AA30" s="205">
        <f>(8.34*1.029*0.03)*V30</f>
        <v>0.82128400199999985</v>
      </c>
      <c r="AB30" s="205">
        <f>(8.34*1.029*0.03)*W30</f>
        <v>0.82128400199999985</v>
      </c>
      <c r="AC30" s="205">
        <f>(8.34*1.029*0.03)*X30</f>
        <v>0.82128400199999985</v>
      </c>
      <c r="AD30" s="205">
        <f>(8.34*1.029*0.03)*Y30</f>
        <v>0.82128400199999985</v>
      </c>
      <c r="AE30" s="206" t="s">
        <v>144</v>
      </c>
      <c r="AF30" s="207">
        <f>V30*2000</f>
        <v>6380</v>
      </c>
      <c r="AG30" s="207">
        <f>W30*2000</f>
        <v>6380</v>
      </c>
      <c r="AH30" s="207">
        <f>X30*2000</f>
        <v>6380</v>
      </c>
      <c r="AI30" s="208">
        <f>Y30*2000</f>
        <v>6380</v>
      </c>
    </row>
    <row r="31" spans="1:35" ht="15.75" thickBot="1" x14ac:dyDescent="0.3">
      <c r="A31" s="586" t="s">
        <v>158</v>
      </c>
      <c r="B31" s="587"/>
      <c r="C31" s="588">
        <f>E15+O15+AB15</f>
        <v>915.68899157776798</v>
      </c>
      <c r="D31" s="589"/>
      <c r="E31" s="590">
        <f>E16+O16+AB16</f>
        <v>714237.41343065898</v>
      </c>
      <c r="F31" s="591"/>
      <c r="G31" s="592">
        <f>(C31/0.5)*2000</f>
        <v>3662755.966311072</v>
      </c>
      <c r="H31" s="592"/>
      <c r="I31" s="209" t="s">
        <v>146</v>
      </c>
      <c r="J31" s="593">
        <f>G31/45000</f>
        <v>81.394577029134936</v>
      </c>
      <c r="K31" s="594"/>
      <c r="L31" s="210" t="s">
        <v>143</v>
      </c>
      <c r="M31" s="595">
        <f t="shared" si="9"/>
        <v>82</v>
      </c>
      <c r="N31" s="596"/>
      <c r="O31" s="597">
        <f>M31*45000*$Y$31</f>
        <v>719550</v>
      </c>
      <c r="P31" s="598"/>
      <c r="Q31" s="196"/>
      <c r="R31" s="599" t="s">
        <v>158</v>
      </c>
      <c r="S31" s="600"/>
      <c r="T31" s="600"/>
      <c r="U31" s="245" t="s">
        <v>146</v>
      </c>
      <c r="V31" s="252">
        <v>0.19500000000000001</v>
      </c>
      <c r="W31" s="253">
        <v>0.19500000000000001</v>
      </c>
      <c r="X31" s="253">
        <v>0.19500000000000001</v>
      </c>
      <c r="Y31" s="339">
        <v>0.19500000000000001</v>
      </c>
      <c r="Z31" s="247" t="s">
        <v>142</v>
      </c>
      <c r="AA31" s="211">
        <f>V31*8.34*1.54</f>
        <v>2.504502</v>
      </c>
      <c r="AB31" s="211">
        <f>W31*8.34*1.54</f>
        <v>2.504502</v>
      </c>
      <c r="AC31" s="211">
        <f>X31*8.34*1.54</f>
        <v>2.504502</v>
      </c>
      <c r="AD31" s="211">
        <f>Y31*8.34*1.54</f>
        <v>2.504502</v>
      </c>
      <c r="AE31" s="212" t="s">
        <v>144</v>
      </c>
      <c r="AF31" s="213">
        <f>(V31*2000)/0.5</f>
        <v>780</v>
      </c>
      <c r="AG31" s="213">
        <f>(W31*2000)/0.5</f>
        <v>780</v>
      </c>
      <c r="AH31" s="213">
        <f>(X31*2000)/0.5</f>
        <v>780</v>
      </c>
      <c r="AI31" s="214">
        <f>(Y31*2000)/0.5</f>
        <v>780</v>
      </c>
    </row>
    <row r="32" spans="1:35" x14ac:dyDescent="0.25">
      <c r="F32" s="215"/>
    </row>
    <row r="34" spans="7:7" x14ac:dyDescent="0.25">
      <c r="G34" s="196"/>
    </row>
    <row r="35" spans="7:7" x14ac:dyDescent="0.25">
      <c r="G35" s="196"/>
    </row>
    <row r="36" spans="7:7" x14ac:dyDescent="0.25">
      <c r="G36" s="196"/>
    </row>
    <row r="37" spans="7:7" x14ac:dyDescent="0.25">
      <c r="G37" s="196"/>
    </row>
    <row r="38" spans="7:7" x14ac:dyDescent="0.25">
      <c r="G38" s="196"/>
    </row>
    <row r="39" spans="7:7" x14ac:dyDescent="0.25">
      <c r="G39" s="196"/>
    </row>
    <row r="40" spans="7:7" x14ac:dyDescent="0.25">
      <c r="G40" s="196"/>
    </row>
    <row r="41" spans="7:7" x14ac:dyDescent="0.25">
      <c r="G41" s="196"/>
    </row>
    <row r="42" spans="7:7" x14ac:dyDescent="0.25">
      <c r="G42" s="196"/>
    </row>
    <row r="43" spans="7:7" x14ac:dyDescent="0.25">
      <c r="G43" s="196"/>
    </row>
    <row r="44" spans="7:7" x14ac:dyDescent="0.25">
      <c r="G44" s="196"/>
    </row>
    <row r="45" spans="7:7" x14ac:dyDescent="0.25">
      <c r="G45" s="196"/>
    </row>
  </sheetData>
  <sheetProtection selectLockedCells="1" selectUnlockedCells="1"/>
  <mergeCells count="135">
    <mergeCell ref="AF11:AF17"/>
    <mergeCell ref="AG11:AG17"/>
    <mergeCell ref="AH11:AH17"/>
    <mergeCell ref="AI11:AI17"/>
    <mergeCell ref="O30:P30"/>
    <mergeCell ref="R30:T30"/>
    <mergeCell ref="A31:B31"/>
    <mergeCell ref="C31:D31"/>
    <mergeCell ref="E31:F31"/>
    <mergeCell ref="G31:H31"/>
    <mergeCell ref="J31:K31"/>
    <mergeCell ref="M31:N31"/>
    <mergeCell ref="O31:P31"/>
    <mergeCell ref="R31:T31"/>
    <mergeCell ref="A30:B30"/>
    <mergeCell ref="C30:D30"/>
    <mergeCell ref="E30:F30"/>
    <mergeCell ref="G30:H30"/>
    <mergeCell ref="J30:K30"/>
    <mergeCell ref="M30:N30"/>
    <mergeCell ref="O28:P28"/>
    <mergeCell ref="R28:T28"/>
    <mergeCell ref="A29:B29"/>
    <mergeCell ref="C29:D29"/>
    <mergeCell ref="E29:F29"/>
    <mergeCell ref="G29:H29"/>
    <mergeCell ref="J29:K29"/>
    <mergeCell ref="M29:N29"/>
    <mergeCell ref="O29:P29"/>
    <mergeCell ref="R29:T29"/>
    <mergeCell ref="A28:B28"/>
    <mergeCell ref="C28:D28"/>
    <mergeCell ref="E28:F28"/>
    <mergeCell ref="G28:H28"/>
    <mergeCell ref="J28:K28"/>
    <mergeCell ref="M28:N28"/>
    <mergeCell ref="O26:P26"/>
    <mergeCell ref="R26:T26"/>
    <mergeCell ref="A27:B27"/>
    <mergeCell ref="C27:D27"/>
    <mergeCell ref="E27:F27"/>
    <mergeCell ref="G27:H27"/>
    <mergeCell ref="J27:K27"/>
    <mergeCell ref="M27:N27"/>
    <mergeCell ref="O27:P27"/>
    <mergeCell ref="R27:T27"/>
    <mergeCell ref="A26:B26"/>
    <mergeCell ref="C26:D26"/>
    <mergeCell ref="E26:F26"/>
    <mergeCell ref="G26:H26"/>
    <mergeCell ref="J26:K26"/>
    <mergeCell ref="M26:N26"/>
    <mergeCell ref="O24:P24"/>
    <mergeCell ref="R24:T24"/>
    <mergeCell ref="A25:B25"/>
    <mergeCell ref="C25:D25"/>
    <mergeCell ref="E25:F25"/>
    <mergeCell ref="G25:H25"/>
    <mergeCell ref="J25:K25"/>
    <mergeCell ref="M25:N25"/>
    <mergeCell ref="O25:P25"/>
    <mergeCell ref="R25:T25"/>
    <mergeCell ref="A24:B24"/>
    <mergeCell ref="C24:D24"/>
    <mergeCell ref="E24:F24"/>
    <mergeCell ref="G24:H24"/>
    <mergeCell ref="J24:K24"/>
    <mergeCell ref="M24:N24"/>
    <mergeCell ref="O22:P22"/>
    <mergeCell ref="R22:T22"/>
    <mergeCell ref="A23:B23"/>
    <mergeCell ref="C23:D23"/>
    <mergeCell ref="E23:F23"/>
    <mergeCell ref="G23:H23"/>
    <mergeCell ref="J23:K23"/>
    <mergeCell ref="M23:N23"/>
    <mergeCell ref="O23:P23"/>
    <mergeCell ref="R23:T23"/>
    <mergeCell ref="A22:B22"/>
    <mergeCell ref="C22:D22"/>
    <mergeCell ref="E22:F22"/>
    <mergeCell ref="G22:H22"/>
    <mergeCell ref="J22:K22"/>
    <mergeCell ref="M22:N22"/>
    <mergeCell ref="Z20:AD20"/>
    <mergeCell ref="AE20:AI20"/>
    <mergeCell ref="A21:B21"/>
    <mergeCell ref="C21:D21"/>
    <mergeCell ref="E21:F21"/>
    <mergeCell ref="G21:I21"/>
    <mergeCell ref="J21:L21"/>
    <mergeCell ref="M21:N21"/>
    <mergeCell ref="O21:P21"/>
    <mergeCell ref="R21:T21"/>
    <mergeCell ref="O19:P19"/>
    <mergeCell ref="A20:B20"/>
    <mergeCell ref="C20:I20"/>
    <mergeCell ref="J20:P20"/>
    <mergeCell ref="S20:T20"/>
    <mergeCell ref="U20:Y20"/>
    <mergeCell ref="A13:B14"/>
    <mergeCell ref="A15:B15"/>
    <mergeCell ref="A16:B16"/>
    <mergeCell ref="A17:B17"/>
    <mergeCell ref="C17:E17"/>
    <mergeCell ref="G17:I17"/>
    <mergeCell ref="K17:L17"/>
    <mergeCell ref="M17:N17"/>
    <mergeCell ref="O17:Q17"/>
    <mergeCell ref="A10:B10"/>
    <mergeCell ref="A12:B12"/>
    <mergeCell ref="C12:AE12"/>
    <mergeCell ref="C11:E11"/>
    <mergeCell ref="G11:I11"/>
    <mergeCell ref="K11:L11"/>
    <mergeCell ref="Q3:V3"/>
    <mergeCell ref="W3:Y3"/>
    <mergeCell ref="Z3:AC3"/>
    <mergeCell ref="A5:B6"/>
    <mergeCell ref="A7:B7"/>
    <mergeCell ref="M11:N11"/>
    <mergeCell ref="O11:Q11"/>
    <mergeCell ref="AF7:AI9"/>
    <mergeCell ref="A8:B8"/>
    <mergeCell ref="A9:B9"/>
    <mergeCell ref="A1:B1"/>
    <mergeCell ref="C1:AI1"/>
    <mergeCell ref="A2:B4"/>
    <mergeCell ref="C2:P2"/>
    <mergeCell ref="Q2:AC2"/>
    <mergeCell ref="AD2:AE3"/>
    <mergeCell ref="AF2:AI3"/>
    <mergeCell ref="C3:I3"/>
    <mergeCell ref="J3:L3"/>
    <mergeCell ref="M3:P3"/>
  </mergeCells>
  <pageMargins left="0.7" right="0.7" top="0.75" bottom="0.75" header="0.3" footer="0.3"/>
  <pageSetup paperSize="17" scale="61" orientation="landscape" r:id="rId1"/>
  <ignoredErrors>
    <ignoredError sqref="J11 F11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63"/>
  <sheetViews>
    <sheetView topLeftCell="A25" zoomScale="75" zoomScaleNormal="75" workbookViewId="0">
      <selection activeCell="B50" sqref="B50"/>
    </sheetView>
  </sheetViews>
  <sheetFormatPr defaultRowHeight="15" x14ac:dyDescent="0.25"/>
  <cols>
    <col min="1" max="1" width="36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23" t="s">
        <v>3</v>
      </c>
      <c r="C4" s="624"/>
      <c r="D4" s="624"/>
      <c r="E4" s="624"/>
      <c r="F4" s="624"/>
      <c r="G4" s="624"/>
      <c r="H4" s="625"/>
      <c r="I4" s="623" t="s">
        <v>4</v>
      </c>
      <c r="J4" s="624"/>
      <c r="K4" s="624"/>
      <c r="L4" s="624"/>
      <c r="M4" s="624"/>
      <c r="N4" s="625"/>
      <c r="O4" s="629" t="s">
        <v>5</v>
      </c>
      <c r="P4" s="630"/>
      <c r="Q4" s="631"/>
      <c r="R4" s="631"/>
      <c r="S4" s="631"/>
      <c r="T4" s="632"/>
      <c r="U4" s="623" t="s">
        <v>6</v>
      </c>
      <c r="V4" s="636"/>
      <c r="W4" s="636"/>
      <c r="X4" s="636"/>
      <c r="Y4" s="636"/>
      <c r="Z4" s="636"/>
      <c r="AA4" s="637"/>
      <c r="AB4" s="641" t="s">
        <v>7</v>
      </c>
      <c r="AC4" s="643" t="s">
        <v>8</v>
      </c>
      <c r="AD4" s="608" t="s">
        <v>237</v>
      </c>
      <c r="AE4" s="608" t="s">
        <v>236</v>
      </c>
      <c r="AF4" s="608" t="s">
        <v>27</v>
      </c>
      <c r="AG4" s="608" t="s">
        <v>31</v>
      </c>
      <c r="AH4" s="608" t="s">
        <v>32</v>
      </c>
      <c r="AI4" s="608" t="s">
        <v>33</v>
      </c>
      <c r="AJ4" s="641" t="s">
        <v>175</v>
      </c>
      <c r="AK4" s="641" t="s">
        <v>176</v>
      </c>
      <c r="AL4" s="641" t="s">
        <v>177</v>
      </c>
      <c r="AM4" s="641" t="s">
        <v>178</v>
      </c>
      <c r="AN4" s="641" t="s">
        <v>179</v>
      </c>
      <c r="AO4" s="641" t="s">
        <v>180</v>
      </c>
      <c r="AP4" s="641" t="s">
        <v>181</v>
      </c>
      <c r="AQ4" s="641" t="s">
        <v>184</v>
      </c>
      <c r="AR4" s="641" t="s">
        <v>182</v>
      </c>
      <c r="AS4" s="641" t="s">
        <v>183</v>
      </c>
    </row>
    <row r="5" spans="1:49" ht="30" customHeight="1" thickBot="1" x14ac:dyDescent="0.3">
      <c r="A5" s="13"/>
      <c r="B5" s="626"/>
      <c r="C5" s="627"/>
      <c r="D5" s="627"/>
      <c r="E5" s="627"/>
      <c r="F5" s="627"/>
      <c r="G5" s="627"/>
      <c r="H5" s="628"/>
      <c r="I5" s="626"/>
      <c r="J5" s="627"/>
      <c r="K5" s="627"/>
      <c r="L5" s="627"/>
      <c r="M5" s="627"/>
      <c r="N5" s="628"/>
      <c r="O5" s="633"/>
      <c r="P5" s="634"/>
      <c r="Q5" s="634"/>
      <c r="R5" s="634"/>
      <c r="S5" s="634"/>
      <c r="T5" s="635"/>
      <c r="U5" s="638"/>
      <c r="V5" s="639"/>
      <c r="W5" s="639"/>
      <c r="X5" s="639"/>
      <c r="Y5" s="639"/>
      <c r="Z5" s="639"/>
      <c r="AA5" s="640"/>
      <c r="AB5" s="642"/>
      <c r="AC5" s="644"/>
      <c r="AD5" s="609"/>
      <c r="AE5" s="609"/>
      <c r="AF5" s="622"/>
      <c r="AG5" s="622"/>
      <c r="AH5" s="622"/>
      <c r="AI5" s="622"/>
      <c r="AJ5" s="609"/>
      <c r="AK5" s="609"/>
      <c r="AL5" s="609"/>
      <c r="AM5" s="609"/>
      <c r="AN5" s="609"/>
      <c r="AO5" s="609"/>
      <c r="AP5" s="609"/>
      <c r="AQ5" s="609"/>
      <c r="AR5" s="609"/>
      <c r="AS5" s="609"/>
      <c r="AV5" t="s">
        <v>171</v>
      </c>
      <c r="AW5" s="337" t="s">
        <v>209</v>
      </c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98" t="s">
        <v>23</v>
      </c>
      <c r="AD7" s="399" t="s">
        <v>28</v>
      </c>
      <c r="AE7" s="399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  <c r="AR7" s="22" t="s">
        <v>172</v>
      </c>
      <c r="AS7" s="22" t="s">
        <v>172</v>
      </c>
    </row>
    <row r="8" spans="1:49" x14ac:dyDescent="0.25">
      <c r="A8" s="11">
        <v>42736</v>
      </c>
      <c r="B8" s="49"/>
      <c r="C8" s="50">
        <v>55.120099977651613</v>
      </c>
      <c r="D8" s="50">
        <v>628.62563184102498</v>
      </c>
      <c r="E8" s="50">
        <v>15.672020663817687</v>
      </c>
      <c r="F8" s="50">
        <v>0</v>
      </c>
      <c r="G8" s="50">
        <v>1498.9604373296067</v>
      </c>
      <c r="H8" s="51">
        <v>22.670792092879623</v>
      </c>
      <c r="I8" s="49">
        <v>156.81718738873784</v>
      </c>
      <c r="J8" s="50">
        <v>337.05702667236352</v>
      </c>
      <c r="K8" s="50">
        <v>18.482222278912843</v>
      </c>
      <c r="L8" s="50">
        <v>2.3614323139191033E-2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194.73487755717321</v>
      </c>
      <c r="V8" s="54">
        <v>116.85430881452159</v>
      </c>
      <c r="W8" s="54">
        <v>26.37804020690394</v>
      </c>
      <c r="X8" s="54">
        <v>15.828636836534052</v>
      </c>
      <c r="Y8" s="54">
        <v>142.94647832655696</v>
      </c>
      <c r="Z8" s="54">
        <v>85.77771035091348</v>
      </c>
      <c r="AA8" s="55">
        <v>0</v>
      </c>
      <c r="AB8" s="56">
        <v>47.546355093850373</v>
      </c>
      <c r="AC8" s="57">
        <v>0</v>
      </c>
      <c r="AD8" s="400">
        <v>7.9484935756117014</v>
      </c>
      <c r="AE8" s="400">
        <v>4.4906942037122679</v>
      </c>
      <c r="AF8" s="57">
        <v>12.204383159346049</v>
      </c>
      <c r="AG8" s="58">
        <v>7.5002245024134666</v>
      </c>
      <c r="AH8" s="58">
        <v>4.5006501207055107</v>
      </c>
      <c r="AI8" s="58">
        <v>0.62497315720345292</v>
      </c>
      <c r="AJ8" s="57">
        <v>276.34008893966671</v>
      </c>
      <c r="AK8" s="57">
        <v>1100.2370178222657</v>
      </c>
      <c r="AL8" s="57">
        <v>3128.088011423747</v>
      </c>
      <c r="AM8" s="57">
        <v>469.073358631134</v>
      </c>
      <c r="AN8" s="57">
        <v>3088.5070470174155</v>
      </c>
      <c r="AO8" s="57">
        <v>2648.8023918151853</v>
      </c>
      <c r="AP8" s="57">
        <v>567.30340576171875</v>
      </c>
      <c r="AQ8" s="57">
        <v>1736.5028686523437</v>
      </c>
      <c r="AR8" s="57">
        <v>389.89640731811522</v>
      </c>
      <c r="AS8" s="57">
        <v>504.6373985290528</v>
      </c>
    </row>
    <row r="9" spans="1:49" x14ac:dyDescent="0.25">
      <c r="A9" s="11">
        <v>42737</v>
      </c>
      <c r="B9" s="59"/>
      <c r="C9" s="60">
        <v>54.802376699447166</v>
      </c>
      <c r="D9" s="60">
        <v>639.87219219207634</v>
      </c>
      <c r="E9" s="60">
        <v>15.686185639103222</v>
      </c>
      <c r="F9" s="60">
        <v>0</v>
      </c>
      <c r="G9" s="60">
        <v>1499.796508598323</v>
      </c>
      <c r="H9" s="61">
        <v>22.695280162493411</v>
      </c>
      <c r="I9" s="59">
        <v>155.69050763448092</v>
      </c>
      <c r="J9" s="60">
        <v>334.77404856681915</v>
      </c>
      <c r="K9" s="60">
        <v>18.343816685179878</v>
      </c>
      <c r="L9" s="60">
        <v>2.3803544044494918E-2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195.41146040862282</v>
      </c>
      <c r="V9" s="62">
        <v>117.22471339067835</v>
      </c>
      <c r="W9" s="62">
        <v>26.30607152500188</v>
      </c>
      <c r="X9" s="62">
        <v>15.780659376398358</v>
      </c>
      <c r="Y9" s="66">
        <v>141.71239148973794</v>
      </c>
      <c r="Z9" s="66">
        <v>85.011362391717213</v>
      </c>
      <c r="AA9" s="67">
        <v>0</v>
      </c>
      <c r="AB9" s="68">
        <v>47.437628285090526</v>
      </c>
      <c r="AC9" s="69">
        <v>0</v>
      </c>
      <c r="AD9" s="401">
        <v>7.8945928391291833</v>
      </c>
      <c r="AE9" s="401">
        <v>4.5136829382508772</v>
      </c>
      <c r="AF9" s="69">
        <v>12.20231175687578</v>
      </c>
      <c r="AG9" s="68">
        <v>7.5003417665165593</v>
      </c>
      <c r="AH9" s="68">
        <v>4.4993543985265712</v>
      </c>
      <c r="AI9" s="68">
        <v>0.6250443064022031</v>
      </c>
      <c r="AJ9" s="69">
        <v>284.83129887580873</v>
      </c>
      <c r="AK9" s="69">
        <v>1124.5576669692994</v>
      </c>
      <c r="AL9" s="69">
        <v>3146.7186230977377</v>
      </c>
      <c r="AM9" s="69">
        <v>458.41039497057596</v>
      </c>
      <c r="AN9" s="69">
        <v>3343.404257202149</v>
      </c>
      <c r="AO9" s="69">
        <v>2771.9561753590897</v>
      </c>
      <c r="AP9" s="69">
        <v>567.30340576171875</v>
      </c>
      <c r="AQ9" s="69">
        <v>1736.5028686523437</v>
      </c>
      <c r="AR9" s="69">
        <v>376.15906709035232</v>
      </c>
      <c r="AS9" s="69">
        <v>512.12502683003731</v>
      </c>
    </row>
    <row r="10" spans="1:49" x14ac:dyDescent="0.25">
      <c r="A10" s="11">
        <v>42738</v>
      </c>
      <c r="B10" s="59"/>
      <c r="C10" s="60">
        <v>54.979268129667126</v>
      </c>
      <c r="D10" s="60">
        <v>635.20594593683609</v>
      </c>
      <c r="E10" s="60">
        <v>15.610907193024923</v>
      </c>
      <c r="F10" s="60">
        <v>0</v>
      </c>
      <c r="G10" s="60">
        <v>1506.5580082575434</v>
      </c>
      <c r="H10" s="61">
        <v>22.604157924652156</v>
      </c>
      <c r="I10" s="59">
        <v>154.24912593364729</v>
      </c>
      <c r="J10" s="60">
        <v>335.79748044014042</v>
      </c>
      <c r="K10" s="60">
        <v>18.547166844209045</v>
      </c>
      <c r="L10" s="60">
        <v>3.9348638057709578E-2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195.67966379807166</v>
      </c>
      <c r="V10" s="62">
        <v>117.37956870179278</v>
      </c>
      <c r="W10" s="62">
        <v>26.490353010040995</v>
      </c>
      <c r="X10" s="62">
        <v>15.890390195506315</v>
      </c>
      <c r="Y10" s="66">
        <v>141.7060232295396</v>
      </c>
      <c r="Z10" s="66">
        <v>85.003170826653374</v>
      </c>
      <c r="AA10" s="67">
        <v>0</v>
      </c>
      <c r="AB10" s="68">
        <v>47.524665461646627</v>
      </c>
      <c r="AC10" s="69">
        <v>0</v>
      </c>
      <c r="AD10" s="401">
        <v>7.9179352529486922</v>
      </c>
      <c r="AE10" s="401">
        <v>4.4958872834324941</v>
      </c>
      <c r="AF10" s="69">
        <v>12.205168469415771</v>
      </c>
      <c r="AG10" s="68">
        <v>7.5006850882321627</v>
      </c>
      <c r="AH10" s="68">
        <v>4.4993289723412531</v>
      </c>
      <c r="AI10" s="68">
        <v>0.62505635829844564</v>
      </c>
      <c r="AJ10" s="69">
        <v>319.69427765210474</v>
      </c>
      <c r="AK10" s="69">
        <v>1219.3869847615561</v>
      </c>
      <c r="AL10" s="69">
        <v>3205.9237593332923</v>
      </c>
      <c r="AM10" s="69">
        <v>469.51649354298905</v>
      </c>
      <c r="AN10" s="69">
        <v>3353.6340928395589</v>
      </c>
      <c r="AO10" s="69">
        <v>2874.5730279286704</v>
      </c>
      <c r="AP10" s="69">
        <v>567.30340576171875</v>
      </c>
      <c r="AQ10" s="69">
        <v>1736.5028686523437</v>
      </c>
      <c r="AR10" s="69">
        <v>389.26520778338113</v>
      </c>
      <c r="AS10" s="69">
        <v>587.74261134465519</v>
      </c>
    </row>
    <row r="11" spans="1:49" x14ac:dyDescent="0.25">
      <c r="A11" s="11">
        <v>42739</v>
      </c>
      <c r="B11" s="59"/>
      <c r="C11" s="60">
        <v>54.910948085785506</v>
      </c>
      <c r="D11" s="60">
        <v>635.31067250569697</v>
      </c>
      <c r="E11" s="60">
        <v>15.441820870836564</v>
      </c>
      <c r="F11" s="60">
        <v>0</v>
      </c>
      <c r="G11" s="60">
        <v>1468.9452707926382</v>
      </c>
      <c r="H11" s="61">
        <v>22.750855386257168</v>
      </c>
      <c r="I11" s="59">
        <v>153.61642062664038</v>
      </c>
      <c r="J11" s="60">
        <v>335.59342608451908</v>
      </c>
      <c r="K11" s="60">
        <v>18.506435791651377</v>
      </c>
      <c r="L11" s="60">
        <v>5.6919038295745406E-2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192.88660420562675</v>
      </c>
      <c r="V11" s="62">
        <v>115.73663142271485</v>
      </c>
      <c r="W11" s="62">
        <v>26.293815762949727</v>
      </c>
      <c r="X11" s="62">
        <v>15.776925910360911</v>
      </c>
      <c r="Y11" s="66">
        <v>140.01161272957452</v>
      </c>
      <c r="Z11" s="66">
        <v>84.010356676235958</v>
      </c>
      <c r="AA11" s="67">
        <v>0</v>
      </c>
      <c r="AB11" s="68">
        <v>47.453891759448389</v>
      </c>
      <c r="AC11" s="69">
        <v>0</v>
      </c>
      <c r="AD11" s="401">
        <v>7.9134532108634001</v>
      </c>
      <c r="AE11" s="401">
        <v>4.4967983723464844</v>
      </c>
      <c r="AF11" s="69">
        <v>12.055910024378049</v>
      </c>
      <c r="AG11" s="68">
        <v>7.4071043118849653</v>
      </c>
      <c r="AH11" s="68">
        <v>4.4444418791277807</v>
      </c>
      <c r="AI11" s="68">
        <v>0.62499054490475803</v>
      </c>
      <c r="AJ11" s="69">
        <v>362.86846062342323</v>
      </c>
      <c r="AK11" s="69">
        <v>1313.916112836202</v>
      </c>
      <c r="AL11" s="69">
        <v>3276.5480153401704</v>
      </c>
      <c r="AM11" s="69">
        <v>446.71791764895124</v>
      </c>
      <c r="AN11" s="69">
        <v>3418.663239669801</v>
      </c>
      <c r="AO11" s="69">
        <v>3023.3238175710048</v>
      </c>
      <c r="AP11" s="69">
        <v>520.02585487365718</v>
      </c>
      <c r="AQ11" s="69">
        <v>1736.5028686523437</v>
      </c>
      <c r="AR11" s="69">
        <v>384.27322657903034</v>
      </c>
      <c r="AS11" s="69">
        <v>593.41206165949495</v>
      </c>
    </row>
    <row r="12" spans="1:49" x14ac:dyDescent="0.25">
      <c r="A12" s="11">
        <v>42740</v>
      </c>
      <c r="B12" s="59"/>
      <c r="C12" s="60">
        <v>54.488512913386266</v>
      </c>
      <c r="D12" s="60">
        <v>634.79604066212949</v>
      </c>
      <c r="E12" s="60">
        <v>15.4200097888708</v>
      </c>
      <c r="F12" s="60">
        <v>0</v>
      </c>
      <c r="G12" s="60">
        <v>1503.1030646642034</v>
      </c>
      <c r="H12" s="61">
        <v>22.683526004354178</v>
      </c>
      <c r="I12" s="59">
        <v>161.83238133589424</v>
      </c>
      <c r="J12" s="60">
        <v>348.27856017748513</v>
      </c>
      <c r="K12" s="60">
        <v>19.060421803096926</v>
      </c>
      <c r="L12" s="60">
        <v>9.3767678737638527E-2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183.55850447343525</v>
      </c>
      <c r="V12" s="62">
        <v>104.57466851545543</v>
      </c>
      <c r="W12" s="62">
        <v>24.403574783739781</v>
      </c>
      <c r="X12" s="62">
        <v>13.902901153626699</v>
      </c>
      <c r="Y12" s="66">
        <v>133.75607346333678</v>
      </c>
      <c r="Z12" s="66">
        <v>76.201846841597202</v>
      </c>
      <c r="AA12" s="67">
        <v>0</v>
      </c>
      <c r="AB12" s="68">
        <v>48.53933328787469</v>
      </c>
      <c r="AC12" s="69">
        <v>0</v>
      </c>
      <c r="AD12" s="401">
        <v>8.2137196893577737</v>
      </c>
      <c r="AE12" s="401">
        <v>4.4929050553119776</v>
      </c>
      <c r="AF12" s="69">
        <v>11.325611503256692</v>
      </c>
      <c r="AG12" s="68">
        <v>7.0888774634304506</v>
      </c>
      <c r="AH12" s="68">
        <v>4.0385871142908885</v>
      </c>
      <c r="AI12" s="68">
        <v>0.63706133719116254</v>
      </c>
      <c r="AJ12" s="69">
        <v>386.33554178873692</v>
      </c>
      <c r="AK12" s="69">
        <v>1378.1349693934126</v>
      </c>
      <c r="AL12" s="69">
        <v>3285.3184819539383</v>
      </c>
      <c r="AM12" s="69">
        <v>483.25213478406278</v>
      </c>
      <c r="AN12" s="69">
        <v>3497.4218207041417</v>
      </c>
      <c r="AO12" s="69">
        <v>3015.2175519307461</v>
      </c>
      <c r="AP12" s="69">
        <v>494.25654602050781</v>
      </c>
      <c r="AQ12" s="69">
        <v>1736.5028686523437</v>
      </c>
      <c r="AR12" s="69">
        <v>379.26431868871055</v>
      </c>
      <c r="AS12" s="69">
        <v>601.22275292078666</v>
      </c>
    </row>
    <row r="13" spans="1:49" x14ac:dyDescent="0.25">
      <c r="A13" s="11">
        <v>42741</v>
      </c>
      <c r="B13" s="59"/>
      <c r="C13" s="60">
        <v>55.805633584659439</v>
      </c>
      <c r="D13" s="60">
        <v>635.49404818216919</v>
      </c>
      <c r="E13" s="60">
        <v>15.440715093413955</v>
      </c>
      <c r="F13" s="60">
        <v>0</v>
      </c>
      <c r="G13" s="60">
        <v>1498.1870580673165</v>
      </c>
      <c r="H13" s="61">
        <v>22.739976023634263</v>
      </c>
      <c r="I13" s="59">
        <v>155.92978974183393</v>
      </c>
      <c r="J13" s="60">
        <v>335.0568631490076</v>
      </c>
      <c r="K13" s="60">
        <v>18.41733124603828</v>
      </c>
      <c r="L13" s="60">
        <v>9.834294319152663E-2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192.66794378286238</v>
      </c>
      <c r="V13" s="62">
        <v>115.60763487492414</v>
      </c>
      <c r="W13" s="62">
        <v>25.543842051636773</v>
      </c>
      <c r="X13" s="62">
        <v>15.327215868024586</v>
      </c>
      <c r="Y13" s="66">
        <v>140.30421248010663</v>
      </c>
      <c r="Z13" s="66">
        <v>84.187529328149267</v>
      </c>
      <c r="AA13" s="67">
        <v>0</v>
      </c>
      <c r="AB13" s="68">
        <v>47.547048915756847</v>
      </c>
      <c r="AC13" s="69">
        <v>0</v>
      </c>
      <c r="AD13" s="401">
        <v>7.9024760928679854</v>
      </c>
      <c r="AE13" s="401">
        <v>4.4977343572989987</v>
      </c>
      <c r="AF13" s="69">
        <v>12.042961437834622</v>
      </c>
      <c r="AG13" s="68">
        <v>7.401614901697811</v>
      </c>
      <c r="AH13" s="68">
        <v>4.4412328083214332</v>
      </c>
      <c r="AI13" s="68">
        <v>0.62498607454319643</v>
      </c>
      <c r="AJ13" s="69">
        <v>356.1054632027944</v>
      </c>
      <c r="AK13" s="69">
        <v>1313.0092777252198</v>
      </c>
      <c r="AL13" s="69">
        <v>3256.5828641255698</v>
      </c>
      <c r="AM13" s="69">
        <v>485.02465499242152</v>
      </c>
      <c r="AN13" s="69">
        <v>3569.2452514648444</v>
      </c>
      <c r="AO13" s="69">
        <v>3009.453302001953</v>
      </c>
      <c r="AP13" s="69">
        <v>494.25654602050781</v>
      </c>
      <c r="AQ13" s="69">
        <v>1736.5028686523437</v>
      </c>
      <c r="AR13" s="69">
        <v>378.50311493873596</v>
      </c>
      <c r="AS13" s="69">
        <v>594.9620303789776</v>
      </c>
    </row>
    <row r="14" spans="1:49" x14ac:dyDescent="0.25">
      <c r="A14" s="11">
        <v>42742</v>
      </c>
      <c r="B14" s="59"/>
      <c r="C14" s="60">
        <v>55.559992182255677</v>
      </c>
      <c r="D14" s="60">
        <v>635.2311181068427</v>
      </c>
      <c r="E14" s="60">
        <v>15.467100963989875</v>
      </c>
      <c r="F14" s="60">
        <v>0</v>
      </c>
      <c r="G14" s="60">
        <v>1496.2592503865528</v>
      </c>
      <c r="H14" s="61">
        <v>22.646036123236094</v>
      </c>
      <c r="I14" s="59">
        <v>156.60238868395484</v>
      </c>
      <c r="J14" s="60">
        <v>336.52255881627468</v>
      </c>
      <c r="K14" s="60">
        <v>18.358964430789136</v>
      </c>
      <c r="L14" s="60">
        <v>0.10592095851898004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195.05917635630917</v>
      </c>
      <c r="V14" s="62">
        <v>117.03434692351406</v>
      </c>
      <c r="W14" s="62">
        <v>26.003196735897085</v>
      </c>
      <c r="X14" s="62">
        <v>15.6017635507202</v>
      </c>
      <c r="Y14" s="66">
        <v>142.03151135531348</v>
      </c>
      <c r="Z14" s="66">
        <v>85.218062972155735</v>
      </c>
      <c r="AA14" s="67">
        <v>0</v>
      </c>
      <c r="AB14" s="68">
        <v>47.292949986457266</v>
      </c>
      <c r="AC14" s="69">
        <v>0</v>
      </c>
      <c r="AD14" s="401">
        <v>7.9349597633717561</v>
      </c>
      <c r="AE14" s="401">
        <v>4.4891365837117041</v>
      </c>
      <c r="AF14" s="69">
        <v>12.191385573148731</v>
      </c>
      <c r="AG14" s="68">
        <v>7.4996220988465465</v>
      </c>
      <c r="AH14" s="68">
        <v>4.4997287023726837</v>
      </c>
      <c r="AI14" s="68">
        <v>0.62500232079926565</v>
      </c>
      <c r="AJ14" s="69">
        <v>332.94209683736159</v>
      </c>
      <c r="AK14" s="69">
        <v>1246.1396914164225</v>
      </c>
      <c r="AL14" s="69">
        <v>3213.3914115905764</v>
      </c>
      <c r="AM14" s="69">
        <v>480.3135563214621</v>
      </c>
      <c r="AN14" s="69">
        <v>3477.7245721181234</v>
      </c>
      <c r="AO14" s="69">
        <v>2919.5662923177083</v>
      </c>
      <c r="AP14" s="69">
        <v>494.25654602050781</v>
      </c>
      <c r="AQ14" s="69">
        <v>1736.5028686523437</v>
      </c>
      <c r="AR14" s="69">
        <v>373.90127560297645</v>
      </c>
      <c r="AS14" s="69">
        <v>557.17089614868155</v>
      </c>
    </row>
    <row r="15" spans="1:49" x14ac:dyDescent="0.25">
      <c r="A15" s="11">
        <v>42743</v>
      </c>
      <c r="B15" s="59"/>
      <c r="C15" s="60">
        <v>55.263955867291415</v>
      </c>
      <c r="D15" s="60">
        <v>637.39359617233481</v>
      </c>
      <c r="E15" s="60">
        <v>15.537119793891888</v>
      </c>
      <c r="F15" s="60">
        <v>0</v>
      </c>
      <c r="G15" s="60">
        <v>1499.6735879898035</v>
      </c>
      <c r="H15" s="61">
        <v>22.601232973734525</v>
      </c>
      <c r="I15" s="59">
        <v>156.51810673872626</v>
      </c>
      <c r="J15" s="60">
        <v>336.30271088282353</v>
      </c>
      <c r="K15" s="60">
        <v>18.563259767989308</v>
      </c>
      <c r="L15" s="60">
        <v>8.9717721939084477E-2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195.37579926662184</v>
      </c>
      <c r="V15" s="62">
        <v>117.2363708680311</v>
      </c>
      <c r="W15" s="62">
        <v>25.804560147387924</v>
      </c>
      <c r="X15" s="62">
        <v>15.48417457474949</v>
      </c>
      <c r="Y15" s="66">
        <v>142.18810194728027</v>
      </c>
      <c r="Z15" s="66">
        <v>85.320787505336725</v>
      </c>
      <c r="AA15" s="67">
        <v>0</v>
      </c>
      <c r="AB15" s="68">
        <v>47.096105058987447</v>
      </c>
      <c r="AC15" s="69">
        <v>0</v>
      </c>
      <c r="AD15" s="401">
        <v>7.9302862621275665</v>
      </c>
      <c r="AE15" s="401">
        <v>4.4903720489606584</v>
      </c>
      <c r="AF15" s="69">
        <v>12.197165851460573</v>
      </c>
      <c r="AG15" s="68">
        <v>7.49935011316893</v>
      </c>
      <c r="AH15" s="68">
        <v>4.5000281224026013</v>
      </c>
      <c r="AI15" s="68">
        <v>0.62497822519982726</v>
      </c>
      <c r="AJ15" s="69">
        <v>301.78199359575905</v>
      </c>
      <c r="AK15" s="69">
        <v>1160.2030968348186</v>
      </c>
      <c r="AL15" s="69">
        <v>3123.9207855224618</v>
      </c>
      <c r="AM15" s="69">
        <v>469.58104629516606</v>
      </c>
      <c r="AN15" s="69">
        <v>3382.688365300497</v>
      </c>
      <c r="AO15" s="69">
        <v>2734.3260293324788</v>
      </c>
      <c r="AP15" s="69">
        <v>494.25654602050781</v>
      </c>
      <c r="AQ15" s="69">
        <v>1736.5028686523437</v>
      </c>
      <c r="AR15" s="69">
        <v>392.62380609512326</v>
      </c>
      <c r="AS15" s="69">
        <v>520.16333780288699</v>
      </c>
    </row>
    <row r="16" spans="1:49" x14ac:dyDescent="0.25">
      <c r="A16" s="11">
        <v>42744</v>
      </c>
      <c r="B16" s="59"/>
      <c r="C16" s="60">
        <v>55.5772504369424</v>
      </c>
      <c r="D16" s="60">
        <v>648.76631841659457</v>
      </c>
      <c r="E16" s="60">
        <v>15.64668348232903</v>
      </c>
      <c r="F16" s="60">
        <v>0</v>
      </c>
      <c r="G16" s="60">
        <v>1499.8610370635968</v>
      </c>
      <c r="H16" s="61">
        <v>22.734447567661636</v>
      </c>
      <c r="I16" s="59">
        <v>152.77747902870172</v>
      </c>
      <c r="J16" s="60">
        <v>336.12768014272115</v>
      </c>
      <c r="K16" s="60">
        <v>18.837597111364204</v>
      </c>
      <c r="L16" s="60">
        <v>9.3712866306303086E-2</v>
      </c>
      <c r="M16" s="5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194.09143929658083</v>
      </c>
      <c r="V16" s="62">
        <v>116.4930634215996</v>
      </c>
      <c r="W16" s="62">
        <v>24.972899349780786</v>
      </c>
      <c r="X16" s="62">
        <v>14.988654617218272</v>
      </c>
      <c r="Y16" s="66">
        <v>141.11753185670389</v>
      </c>
      <c r="Z16" s="66">
        <v>84.698292969854876</v>
      </c>
      <c r="AA16" s="67">
        <v>0</v>
      </c>
      <c r="AB16" s="68">
        <v>47.277163028717453</v>
      </c>
      <c r="AC16" s="69">
        <v>0</v>
      </c>
      <c r="AD16" s="401">
        <v>7.9260770906776337</v>
      </c>
      <c r="AE16" s="401">
        <v>4.5348666219154339</v>
      </c>
      <c r="AF16" s="69">
        <v>12.198406739367377</v>
      </c>
      <c r="AG16" s="68">
        <v>7.4973850452126882</v>
      </c>
      <c r="AH16" s="68">
        <v>4.4999066148070952</v>
      </c>
      <c r="AI16" s="68">
        <v>0.62492312912565506</v>
      </c>
      <c r="AJ16" s="69">
        <v>257.49866685867312</v>
      </c>
      <c r="AK16" s="69">
        <v>1053.5877959569295</v>
      </c>
      <c r="AL16" s="69">
        <v>3082.9056652069089</v>
      </c>
      <c r="AM16" s="69">
        <v>464.69641640981047</v>
      </c>
      <c r="AN16" s="69">
        <v>3100.9860033671066</v>
      </c>
      <c r="AO16" s="69">
        <v>2632.3958394368487</v>
      </c>
      <c r="AP16" s="69">
        <v>494.25654602050781</v>
      </c>
      <c r="AQ16" s="69">
        <v>1736.5028686523437</v>
      </c>
      <c r="AR16" s="69">
        <v>386.83684476216627</v>
      </c>
      <c r="AS16" s="69">
        <v>559.27907835642509</v>
      </c>
    </row>
    <row r="17" spans="1:45" x14ac:dyDescent="0.25">
      <c r="A17" s="11">
        <v>42745</v>
      </c>
      <c r="B17" s="49"/>
      <c r="C17" s="50">
        <v>56.056393369039029</v>
      </c>
      <c r="D17" s="50">
        <v>649.87992207209095</v>
      </c>
      <c r="E17" s="50">
        <v>15.356233586867651</v>
      </c>
      <c r="F17" s="50">
        <v>0</v>
      </c>
      <c r="G17" s="50">
        <v>1650.2609209060613</v>
      </c>
      <c r="H17" s="51">
        <v>22.787632765372628</v>
      </c>
      <c r="I17" s="49">
        <v>154.73410718441016</v>
      </c>
      <c r="J17" s="50">
        <v>343.63239026069681</v>
      </c>
      <c r="K17" s="50">
        <v>18.836655442913397</v>
      </c>
      <c r="L17" s="60">
        <v>8.8620686531064974E-2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191.38760767283682</v>
      </c>
      <c r="V17" s="66">
        <v>114.51336822209331</v>
      </c>
      <c r="W17" s="62">
        <v>22.446259750640827</v>
      </c>
      <c r="X17" s="62">
        <v>13.430319963180644</v>
      </c>
      <c r="Y17" s="66">
        <v>128.3533288437022</v>
      </c>
      <c r="Z17" s="66">
        <v>76.797929537505652</v>
      </c>
      <c r="AA17" s="67">
        <v>0</v>
      </c>
      <c r="AB17" s="68">
        <v>48.354136400752708</v>
      </c>
      <c r="AC17" s="69">
        <v>0</v>
      </c>
      <c r="AD17" s="401">
        <v>8.1034459300633959</v>
      </c>
      <c r="AE17" s="401">
        <v>4.5366167133539621</v>
      </c>
      <c r="AF17" s="69">
        <v>11.903736173444331</v>
      </c>
      <c r="AG17" s="68">
        <v>7.3445879331899855</v>
      </c>
      <c r="AH17" s="68">
        <v>4.3945034511881653</v>
      </c>
      <c r="AI17" s="68">
        <v>0.6256521644395604</v>
      </c>
      <c r="AJ17" s="69">
        <v>271.89652434984839</v>
      </c>
      <c r="AK17" s="69">
        <v>1078.7639542261761</v>
      </c>
      <c r="AL17" s="69">
        <v>3079.7082360585528</v>
      </c>
      <c r="AM17" s="69">
        <v>466.44449543952936</v>
      </c>
      <c r="AN17" s="69">
        <v>3318.1909788767498</v>
      </c>
      <c r="AO17" s="69">
        <v>3048.0369255065912</v>
      </c>
      <c r="AP17" s="69">
        <v>561.55612468719482</v>
      </c>
      <c r="AQ17" s="69">
        <v>1736.5028686523437</v>
      </c>
      <c r="AR17" s="69">
        <v>379.75331498781838</v>
      </c>
      <c r="AS17" s="69">
        <v>548.84135386149092</v>
      </c>
    </row>
    <row r="18" spans="1:45" x14ac:dyDescent="0.25">
      <c r="A18" s="11">
        <v>42746</v>
      </c>
      <c r="B18" s="59"/>
      <c r="C18" s="60">
        <v>55.261170152822906</v>
      </c>
      <c r="D18" s="60">
        <v>641.75241562525355</v>
      </c>
      <c r="E18" s="60">
        <v>15.122120790680242</v>
      </c>
      <c r="F18" s="60">
        <v>0</v>
      </c>
      <c r="G18" s="60">
        <v>1638.6157758712727</v>
      </c>
      <c r="H18" s="61">
        <v>22.817150801420215</v>
      </c>
      <c r="I18" s="59">
        <v>150.59411049683879</v>
      </c>
      <c r="J18" s="60">
        <v>334.47060399055516</v>
      </c>
      <c r="K18" s="60">
        <v>18.359140964845835</v>
      </c>
      <c r="L18" s="60">
        <v>8.1621611118314771E-2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195.48750231196598</v>
      </c>
      <c r="V18" s="62">
        <v>117.31003072331295</v>
      </c>
      <c r="W18" s="62">
        <v>22.77201513475849</v>
      </c>
      <c r="X18" s="62">
        <v>13.665251044167379</v>
      </c>
      <c r="Y18" s="66">
        <v>127.65244929157227</v>
      </c>
      <c r="Z18" s="66">
        <v>76.602916151657539</v>
      </c>
      <c r="AA18" s="67">
        <v>0</v>
      </c>
      <c r="AB18" s="68">
        <v>47.399055160416694</v>
      </c>
      <c r="AC18" s="69">
        <v>0</v>
      </c>
      <c r="AD18" s="401">
        <v>7.881089350061476</v>
      </c>
      <c r="AE18" s="401">
        <v>4.4951976568078873</v>
      </c>
      <c r="AF18" s="69">
        <v>12.12103559176126</v>
      </c>
      <c r="AG18" s="68">
        <v>7.4993998229589618</v>
      </c>
      <c r="AH18" s="68">
        <v>4.5003123638757181</v>
      </c>
      <c r="AI18" s="68">
        <v>0.62496497467554479</v>
      </c>
      <c r="AJ18" s="69">
        <v>268.09198643366494</v>
      </c>
      <c r="AK18" s="69">
        <v>1089.1331085840861</v>
      </c>
      <c r="AL18" s="69">
        <v>3087.3574134826658</v>
      </c>
      <c r="AM18" s="69">
        <v>471.0527906894684</v>
      </c>
      <c r="AN18" s="69">
        <v>3180.2875780741374</v>
      </c>
      <c r="AO18" s="69">
        <v>2627.2546292622883</v>
      </c>
      <c r="AP18" s="69">
        <v>603.145751953125</v>
      </c>
      <c r="AQ18" s="69">
        <v>1736.5028686523437</v>
      </c>
      <c r="AR18" s="69">
        <v>389.64805576006574</v>
      </c>
      <c r="AS18" s="69">
        <v>580.80819320678711</v>
      </c>
    </row>
    <row r="19" spans="1:45" x14ac:dyDescent="0.25">
      <c r="A19" s="11">
        <v>42747</v>
      </c>
      <c r="B19" s="59"/>
      <c r="C19" s="60">
        <v>55.495303535462348</v>
      </c>
      <c r="D19" s="60">
        <v>622.70959996978502</v>
      </c>
      <c r="E19" s="60">
        <v>15.103058094779653</v>
      </c>
      <c r="F19" s="60">
        <v>0</v>
      </c>
      <c r="G19" s="60">
        <v>1639.2544520696033</v>
      </c>
      <c r="H19" s="61">
        <v>22.703662812709823</v>
      </c>
      <c r="I19" s="59">
        <v>153.85578841368363</v>
      </c>
      <c r="J19" s="60">
        <v>342.05685578982093</v>
      </c>
      <c r="K19" s="60">
        <v>18.712468321124717</v>
      </c>
      <c r="L19" s="60">
        <v>7.2035467624662897E-2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199.09418851580421</v>
      </c>
      <c r="V19" s="62">
        <v>117.10157193561764</v>
      </c>
      <c r="W19" s="62">
        <v>23.70270760729661</v>
      </c>
      <c r="X19" s="62">
        <v>13.941262377552647</v>
      </c>
      <c r="Y19" s="66">
        <v>134.18841106110236</v>
      </c>
      <c r="Z19" s="66">
        <v>78.925828965372062</v>
      </c>
      <c r="AA19" s="67">
        <v>0</v>
      </c>
      <c r="AB19" s="68">
        <v>50.162268768416865</v>
      </c>
      <c r="AC19" s="69">
        <v>0</v>
      </c>
      <c r="AD19" s="401">
        <v>8.0674944734208971</v>
      </c>
      <c r="AE19" s="401">
        <v>4.4904920810195126</v>
      </c>
      <c r="AF19" s="69">
        <v>12.272671548525485</v>
      </c>
      <c r="AG19" s="68">
        <v>7.6510979002001998</v>
      </c>
      <c r="AH19" s="68">
        <v>4.5001594362239521</v>
      </c>
      <c r="AI19" s="68">
        <v>0.62965483228353303</v>
      </c>
      <c r="AJ19" s="69">
        <v>299.59632302920016</v>
      </c>
      <c r="AK19" s="69">
        <v>1146.3264697392783</v>
      </c>
      <c r="AL19" s="69">
        <v>3128.7678297678635</v>
      </c>
      <c r="AM19" s="69">
        <v>483.56631294886273</v>
      </c>
      <c r="AN19" s="69">
        <v>3643.392155838013</v>
      </c>
      <c r="AO19" s="69">
        <v>2637.0155337015785</v>
      </c>
      <c r="AP19" s="69">
        <v>603.145751953125</v>
      </c>
      <c r="AQ19" s="69">
        <v>1736.5028686523437</v>
      </c>
      <c r="AR19" s="69">
        <v>395.06603829065961</v>
      </c>
      <c r="AS19" s="69">
        <v>564.27305231094351</v>
      </c>
    </row>
    <row r="20" spans="1:45" x14ac:dyDescent="0.25">
      <c r="A20" s="11">
        <v>42748</v>
      </c>
      <c r="B20" s="59"/>
      <c r="C20" s="60">
        <v>54.611318520704167</v>
      </c>
      <c r="D20" s="60">
        <v>619.10825602213583</v>
      </c>
      <c r="E20" s="60">
        <v>15.070465516050657</v>
      </c>
      <c r="F20" s="60">
        <v>0</v>
      </c>
      <c r="G20" s="60">
        <v>1507.6784579594905</v>
      </c>
      <c r="H20" s="61">
        <v>22.575479249159461</v>
      </c>
      <c r="I20" s="59">
        <v>153.2145629564921</v>
      </c>
      <c r="J20" s="60">
        <v>345.44524006843636</v>
      </c>
      <c r="K20" s="60">
        <v>19.076181354622058</v>
      </c>
      <c r="L20" s="60">
        <v>7.6592504978177781E-2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193.20842413809649</v>
      </c>
      <c r="V20" s="62">
        <v>112.16363445480901</v>
      </c>
      <c r="W20" s="62">
        <v>24.372415923923455</v>
      </c>
      <c r="X20" s="62">
        <v>14.148962513754547</v>
      </c>
      <c r="Y20" s="66">
        <v>140.65485617972539</v>
      </c>
      <c r="Z20" s="66">
        <v>81.654616993098799</v>
      </c>
      <c r="AA20" s="67">
        <v>0</v>
      </c>
      <c r="AB20" s="68">
        <v>52.230196616384887</v>
      </c>
      <c r="AC20" s="69">
        <v>0</v>
      </c>
      <c r="AD20" s="401">
        <v>8.1458600330953548</v>
      </c>
      <c r="AE20" s="401">
        <v>4.4886966350413404</v>
      </c>
      <c r="AF20" s="69">
        <v>12.371420181459849</v>
      </c>
      <c r="AG20" s="68">
        <v>7.7506251194327804</v>
      </c>
      <c r="AH20" s="68">
        <v>4.4994843603245567</v>
      </c>
      <c r="AI20" s="68">
        <v>0.63269843687848515</v>
      </c>
      <c r="AJ20" s="69">
        <v>305.20566085179649</v>
      </c>
      <c r="AK20" s="69">
        <v>1166.2638885498047</v>
      </c>
      <c r="AL20" s="69">
        <v>3120.2536771138507</v>
      </c>
      <c r="AM20" s="69">
        <v>457.04715296427412</v>
      </c>
      <c r="AN20" s="69">
        <v>3162.6366022745774</v>
      </c>
      <c r="AO20" s="69">
        <v>2851.3331508636479</v>
      </c>
      <c r="AP20" s="69">
        <v>603.145751953125</v>
      </c>
      <c r="AQ20" s="69">
        <v>1736.5028686523437</v>
      </c>
      <c r="AR20" s="69">
        <v>403.49310030937187</v>
      </c>
      <c r="AS20" s="69">
        <v>561.13735980987565</v>
      </c>
    </row>
    <row r="21" spans="1:45" x14ac:dyDescent="0.25">
      <c r="A21" s="11">
        <v>42749</v>
      </c>
      <c r="B21" s="59"/>
      <c r="C21" s="60">
        <v>54.524833067258804</v>
      </c>
      <c r="D21" s="60">
        <v>623.04189551671334</v>
      </c>
      <c r="E21" s="60">
        <v>14.756351307034469</v>
      </c>
      <c r="F21" s="60">
        <v>0</v>
      </c>
      <c r="G21" s="60">
        <v>1427.6682694753017</v>
      </c>
      <c r="H21" s="61">
        <v>22.73829969267053</v>
      </c>
      <c r="I21" s="59">
        <v>152.85504597822839</v>
      </c>
      <c r="J21" s="60">
        <v>345.53251822789559</v>
      </c>
      <c r="K21" s="60">
        <v>18.833858758211143</v>
      </c>
      <c r="L21" s="60">
        <v>5.5634355545043604E-2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191.82535508125665</v>
      </c>
      <c r="V21" s="62">
        <v>111.39562588086368</v>
      </c>
      <c r="W21" s="62">
        <v>23.524369089743264</v>
      </c>
      <c r="X21" s="62">
        <v>13.660925152956725</v>
      </c>
      <c r="Y21" s="66">
        <v>143.20147112210262</v>
      </c>
      <c r="Z21" s="66">
        <v>83.159066724781084</v>
      </c>
      <c r="AA21" s="67">
        <v>0</v>
      </c>
      <c r="AB21" s="68">
        <v>52.128519895341171</v>
      </c>
      <c r="AC21" s="69">
        <v>0</v>
      </c>
      <c r="AD21" s="401">
        <v>8.1486370217168478</v>
      </c>
      <c r="AE21" s="401">
        <v>4.4884733250197941</v>
      </c>
      <c r="AF21" s="69">
        <v>12.370289597908643</v>
      </c>
      <c r="AG21" s="68">
        <v>7.7500387661349945</v>
      </c>
      <c r="AH21" s="68">
        <v>4.5005542598311061</v>
      </c>
      <c r="AI21" s="68">
        <v>0.63262560022263203</v>
      </c>
      <c r="AJ21" s="69">
        <v>294.86037340164194</v>
      </c>
      <c r="AK21" s="69">
        <v>1163.4479047775267</v>
      </c>
      <c r="AL21" s="69">
        <v>3107.4641385396317</v>
      </c>
      <c r="AM21" s="69">
        <v>462.85556790033985</v>
      </c>
      <c r="AN21" s="69">
        <v>3174.5924022674562</v>
      </c>
      <c r="AO21" s="69">
        <v>2830.5956904093423</v>
      </c>
      <c r="AP21" s="69">
        <v>603.145751953125</v>
      </c>
      <c r="AQ21" s="69">
        <v>1736.5028686523437</v>
      </c>
      <c r="AR21" s="69">
        <v>407.20855814615885</v>
      </c>
      <c r="AS21" s="69">
        <v>508.34272165298466</v>
      </c>
    </row>
    <row r="22" spans="1:45" x14ac:dyDescent="0.25">
      <c r="A22" s="11">
        <v>42750</v>
      </c>
      <c r="B22" s="59"/>
      <c r="C22" s="60">
        <v>54.566074639559844</v>
      </c>
      <c r="D22" s="60">
        <v>626.79020694096948</v>
      </c>
      <c r="E22" s="60">
        <v>14.744927646716418</v>
      </c>
      <c r="F22" s="60">
        <v>0</v>
      </c>
      <c r="G22" s="60">
        <v>1429.3186223347968</v>
      </c>
      <c r="H22" s="61">
        <v>22.663051163156851</v>
      </c>
      <c r="I22" s="59">
        <v>152.80645910104121</v>
      </c>
      <c r="J22" s="60">
        <v>345.55267942746553</v>
      </c>
      <c r="K22" s="60">
        <v>18.875914943714932</v>
      </c>
      <c r="L22" s="60">
        <v>6.9775831699369975E-2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187.05393606341866</v>
      </c>
      <c r="V22" s="62">
        <v>108.62014017585226</v>
      </c>
      <c r="W22" s="62">
        <v>21.956362202218074</v>
      </c>
      <c r="X22" s="62">
        <v>12.749815322507489</v>
      </c>
      <c r="Y22" s="66">
        <v>139.094205290248</v>
      </c>
      <c r="Z22" s="66">
        <v>80.770457945098542</v>
      </c>
      <c r="AA22" s="67">
        <v>0</v>
      </c>
      <c r="AB22" s="68">
        <v>52.296254057353401</v>
      </c>
      <c r="AC22" s="69">
        <v>0</v>
      </c>
      <c r="AD22" s="401">
        <v>8.148170347157091</v>
      </c>
      <c r="AE22" s="401">
        <v>4.4907622125078355</v>
      </c>
      <c r="AF22" s="69">
        <v>12.088677212264788</v>
      </c>
      <c r="AG22" s="68">
        <v>7.5613187050513559</v>
      </c>
      <c r="AH22" s="68">
        <v>4.3907736717099324</v>
      </c>
      <c r="AI22" s="68">
        <v>0.63263556427600831</v>
      </c>
      <c r="AJ22" s="69">
        <v>315.4238378206889</v>
      </c>
      <c r="AK22" s="69">
        <v>1184.1397106170655</v>
      </c>
      <c r="AL22" s="69">
        <v>3118.7924716949469</v>
      </c>
      <c r="AM22" s="69">
        <v>495.09388116200762</v>
      </c>
      <c r="AN22" s="69">
        <v>3423.1035774230954</v>
      </c>
      <c r="AO22" s="69">
        <v>2902.0568103790279</v>
      </c>
      <c r="AP22" s="69">
        <v>603.145751953125</v>
      </c>
      <c r="AQ22" s="69">
        <v>1736.5028686523437</v>
      </c>
      <c r="AR22" s="69">
        <v>420.23548014958698</v>
      </c>
      <c r="AS22" s="69">
        <v>514.28123397827164</v>
      </c>
    </row>
    <row r="23" spans="1:45" x14ac:dyDescent="0.25">
      <c r="A23" s="11">
        <v>42751</v>
      </c>
      <c r="B23" s="59"/>
      <c r="C23" s="60">
        <v>54.548897302150401</v>
      </c>
      <c r="D23" s="60">
        <v>638.3794064203895</v>
      </c>
      <c r="E23" s="60">
        <v>14.69599405924477</v>
      </c>
      <c r="F23" s="60">
        <v>0</v>
      </c>
      <c r="G23" s="60">
        <v>1482.5218149185171</v>
      </c>
      <c r="H23" s="61">
        <v>22.596132879455887</v>
      </c>
      <c r="I23" s="59">
        <v>156.92984992663057</v>
      </c>
      <c r="J23" s="60">
        <v>356.38571286201505</v>
      </c>
      <c r="K23" s="60">
        <v>19.589204519987099</v>
      </c>
      <c r="L23" s="60">
        <v>7.8984844684599154E-2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186.83382138742613</v>
      </c>
      <c r="V23" s="62">
        <v>102.36209660039643</v>
      </c>
      <c r="W23" s="62">
        <v>22.503632622413413</v>
      </c>
      <c r="X23" s="62">
        <v>12.329239959068461</v>
      </c>
      <c r="Y23" s="66">
        <v>138.63547330504943</v>
      </c>
      <c r="Z23" s="66">
        <v>75.955293347375715</v>
      </c>
      <c r="AA23" s="67">
        <v>0</v>
      </c>
      <c r="AB23" s="68">
        <v>53.218123843934357</v>
      </c>
      <c r="AC23" s="69">
        <v>0</v>
      </c>
      <c r="AD23" s="401">
        <v>8.4041713600606798</v>
      </c>
      <c r="AE23" s="401">
        <v>4.4866968365087034</v>
      </c>
      <c r="AF23" s="69">
        <v>11.88258849216834</v>
      </c>
      <c r="AG23" s="68">
        <v>7.5900004851353815</v>
      </c>
      <c r="AH23" s="68">
        <v>4.1583925067047351</v>
      </c>
      <c r="AI23" s="68">
        <v>0.64604584562391132</v>
      </c>
      <c r="AJ23" s="69">
        <v>322.34693044026687</v>
      </c>
      <c r="AK23" s="69">
        <v>1205.5435190200808</v>
      </c>
      <c r="AL23" s="69">
        <v>3129.7413681030266</v>
      </c>
      <c r="AM23" s="69">
        <v>487.79777779579149</v>
      </c>
      <c r="AN23" s="69">
        <v>3355.1578932444258</v>
      </c>
      <c r="AO23" s="69">
        <v>2880.4700750986731</v>
      </c>
      <c r="AP23" s="69">
        <v>603.145751953125</v>
      </c>
      <c r="AQ23" s="69">
        <v>1736.5028686523437</v>
      </c>
      <c r="AR23" s="69">
        <v>408.07231251398719</v>
      </c>
      <c r="AS23" s="69">
        <v>509.63480138778704</v>
      </c>
    </row>
    <row r="24" spans="1:45" x14ac:dyDescent="0.25">
      <c r="A24" s="11">
        <v>42752</v>
      </c>
      <c r="B24" s="59"/>
      <c r="C24" s="60">
        <v>54.17020688056958</v>
      </c>
      <c r="D24" s="60">
        <v>642.47318585713708</v>
      </c>
      <c r="E24" s="60">
        <v>14.722413766384129</v>
      </c>
      <c r="F24" s="60">
        <v>0</v>
      </c>
      <c r="G24" s="60">
        <v>1569.2787830988505</v>
      </c>
      <c r="H24" s="61">
        <v>22.600252404809009</v>
      </c>
      <c r="I24" s="59">
        <v>153.03127114772781</v>
      </c>
      <c r="J24" s="60">
        <v>346.01086684862878</v>
      </c>
      <c r="K24" s="60">
        <v>19.110837514201794</v>
      </c>
      <c r="L24" s="60">
        <v>0.10373134613036925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188.71893142802583</v>
      </c>
      <c r="V24" s="62">
        <v>109.55586219684915</v>
      </c>
      <c r="W24" s="62">
        <v>22.325771882629237</v>
      </c>
      <c r="X24" s="62">
        <v>12.960645597680536</v>
      </c>
      <c r="Y24" s="66">
        <v>140.17112950441768</v>
      </c>
      <c r="Z24" s="66">
        <v>81.372699769760047</v>
      </c>
      <c r="AA24" s="67">
        <v>0</v>
      </c>
      <c r="AB24" s="68">
        <v>52.193517584270424</v>
      </c>
      <c r="AC24" s="69">
        <v>0</v>
      </c>
      <c r="AD24" s="401">
        <v>8.1591492297698398</v>
      </c>
      <c r="AE24" s="401">
        <v>4.4840029691781824</v>
      </c>
      <c r="AF24" s="69">
        <v>12.37409410013092</v>
      </c>
      <c r="AG24" s="68">
        <v>7.7503856513577256</v>
      </c>
      <c r="AH24" s="68">
        <v>4.4992846025965134</v>
      </c>
      <c r="AI24" s="68">
        <v>0.63270157405713612</v>
      </c>
      <c r="AJ24" s="69">
        <v>285.3270357767741</v>
      </c>
      <c r="AK24" s="69">
        <v>1146.3036163330082</v>
      </c>
      <c r="AL24" s="69">
        <v>3100.2299495697021</v>
      </c>
      <c r="AM24" s="69">
        <v>481.15403113365176</v>
      </c>
      <c r="AN24" s="69">
        <v>3553.884104792277</v>
      </c>
      <c r="AO24" s="69">
        <v>2800.3506468455003</v>
      </c>
      <c r="AP24" s="69">
        <v>603.145751953125</v>
      </c>
      <c r="AQ24" s="69">
        <v>1736.5028686523437</v>
      </c>
      <c r="AR24" s="69">
        <v>369.05752243995664</v>
      </c>
      <c r="AS24" s="69">
        <v>548.13597415288291</v>
      </c>
    </row>
    <row r="25" spans="1:45" x14ac:dyDescent="0.25">
      <c r="A25" s="11">
        <v>42753</v>
      </c>
      <c r="B25" s="59"/>
      <c r="C25" s="60">
        <v>55.044852769375225</v>
      </c>
      <c r="D25" s="60">
        <v>639.71773033142154</v>
      </c>
      <c r="E25" s="60">
        <v>14.730527245004968</v>
      </c>
      <c r="F25" s="60">
        <v>0</v>
      </c>
      <c r="G25" s="60">
        <v>1529.0440332412713</v>
      </c>
      <c r="H25" s="61">
        <v>22.711279069383988</v>
      </c>
      <c r="I25" s="59">
        <v>151.6293128728866</v>
      </c>
      <c r="J25" s="60">
        <v>370.87196443875655</v>
      </c>
      <c r="K25" s="60">
        <v>20.291756988565108</v>
      </c>
      <c r="L25" s="60">
        <v>9.1635239124295928E-2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189.7172848227209</v>
      </c>
      <c r="V25" s="62">
        <v>110.09034253730914</v>
      </c>
      <c r="W25" s="62">
        <v>22.082131699428821</v>
      </c>
      <c r="X25" s="62">
        <v>12.813958649132779</v>
      </c>
      <c r="Y25" s="66">
        <v>139.17341172274757</v>
      </c>
      <c r="Z25" s="66">
        <v>80.760425087046613</v>
      </c>
      <c r="AA25" s="67">
        <v>0</v>
      </c>
      <c r="AB25" s="68">
        <v>54.608219536145477</v>
      </c>
      <c r="AC25" s="69">
        <v>0</v>
      </c>
      <c r="AD25" s="401">
        <v>8.7451816812840839</v>
      </c>
      <c r="AE25" s="401">
        <v>4.4822877886189287</v>
      </c>
      <c r="AF25" s="69">
        <v>12.262607790364157</v>
      </c>
      <c r="AG25" s="68">
        <v>7.6778808721066403</v>
      </c>
      <c r="AH25" s="68">
        <v>4.4553691349774374</v>
      </c>
      <c r="AI25" s="68">
        <v>0.63279672533112397</v>
      </c>
      <c r="AJ25" s="69">
        <v>270.29197530746455</v>
      </c>
      <c r="AK25" s="69">
        <v>1091.2251240412393</v>
      </c>
      <c r="AL25" s="69">
        <v>3063.2525856018074</v>
      </c>
      <c r="AM25" s="69">
        <v>470.56966956456495</v>
      </c>
      <c r="AN25" s="69">
        <v>3188.550997924805</v>
      </c>
      <c r="AO25" s="69">
        <v>2696.4824651082358</v>
      </c>
      <c r="AP25" s="69">
        <v>603.145751953125</v>
      </c>
      <c r="AQ25" s="69">
        <v>1736.5028686523437</v>
      </c>
      <c r="AR25" s="69">
        <v>339.80640791257218</v>
      </c>
      <c r="AS25" s="69">
        <v>545.01991615295401</v>
      </c>
    </row>
    <row r="26" spans="1:45" x14ac:dyDescent="0.25">
      <c r="A26" s="11">
        <v>42754</v>
      </c>
      <c r="B26" s="59"/>
      <c r="C26" s="60">
        <v>56.291066463787921</v>
      </c>
      <c r="D26" s="60">
        <v>637.93758157094499</v>
      </c>
      <c r="E26" s="60">
        <v>14.746982295314453</v>
      </c>
      <c r="F26" s="60">
        <v>0</v>
      </c>
      <c r="G26" s="60">
        <v>1303.9655442555752</v>
      </c>
      <c r="H26" s="61">
        <v>22.61719634135564</v>
      </c>
      <c r="I26" s="59">
        <v>154.45917020638774</v>
      </c>
      <c r="J26" s="60">
        <v>345.62703075408967</v>
      </c>
      <c r="K26" s="60">
        <v>19.111051584283498</v>
      </c>
      <c r="L26" s="60">
        <v>7.8494942188261196E-2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196.4606126607913</v>
      </c>
      <c r="V26" s="62">
        <v>114.06990908171555</v>
      </c>
      <c r="W26" s="62">
        <v>22.408618633122089</v>
      </c>
      <c r="X26" s="62">
        <v>13.011000299283999</v>
      </c>
      <c r="Y26" s="66">
        <v>131.65060317632529</v>
      </c>
      <c r="Z26" s="66">
        <v>76.439608588645797</v>
      </c>
      <c r="AA26" s="67">
        <v>0</v>
      </c>
      <c r="AB26" s="68">
        <v>52.159572095340707</v>
      </c>
      <c r="AC26" s="69">
        <v>0</v>
      </c>
      <c r="AD26" s="401">
        <v>8.1490356604935492</v>
      </c>
      <c r="AE26" s="401">
        <v>4.4813636960414795</v>
      </c>
      <c r="AF26" s="69">
        <v>12.221466557847128</v>
      </c>
      <c r="AG26" s="68">
        <v>7.6492221511969207</v>
      </c>
      <c r="AH26" s="68">
        <v>4.4413282821194002</v>
      </c>
      <c r="AI26" s="68">
        <v>0.63266120044617458</v>
      </c>
      <c r="AJ26" s="69">
        <v>257.66531569162998</v>
      </c>
      <c r="AK26" s="69">
        <v>1061.4579462687175</v>
      </c>
      <c r="AL26" s="69">
        <v>3058.9263465881354</v>
      </c>
      <c r="AM26" s="69">
        <v>478.94860825538643</v>
      </c>
      <c r="AN26" s="69">
        <v>3177.6717933654791</v>
      </c>
      <c r="AO26" s="69">
        <v>2691.8585651397702</v>
      </c>
      <c r="AP26" s="69">
        <v>603.145751953125</v>
      </c>
      <c r="AQ26" s="69">
        <v>1736.5028686523437</v>
      </c>
      <c r="AR26" s="69">
        <v>341.88519825935367</v>
      </c>
      <c r="AS26" s="69">
        <v>533.30074389775598</v>
      </c>
    </row>
    <row r="27" spans="1:45" x14ac:dyDescent="0.25">
      <c r="A27" s="11">
        <v>42755</v>
      </c>
      <c r="B27" s="59"/>
      <c r="C27" s="60">
        <v>56.007011198997752</v>
      </c>
      <c r="D27" s="60">
        <v>643.56236677169693</v>
      </c>
      <c r="E27" s="60">
        <v>14.759224593639368</v>
      </c>
      <c r="F27" s="60">
        <v>0</v>
      </c>
      <c r="G27" s="60">
        <v>1382.122405052181</v>
      </c>
      <c r="H27" s="61">
        <v>22.545997276902249</v>
      </c>
      <c r="I27" s="59">
        <v>155.52630693912508</v>
      </c>
      <c r="J27" s="60">
        <v>345.70035804112842</v>
      </c>
      <c r="K27" s="60">
        <v>19.046422675251947</v>
      </c>
      <c r="L27" s="60">
        <v>7.1208560466764936E-2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199.79285601473896</v>
      </c>
      <c r="V27" s="62">
        <v>115.995398956237</v>
      </c>
      <c r="W27" s="62">
        <v>23.228282352501829</v>
      </c>
      <c r="X27" s="62">
        <v>13.485836942777382</v>
      </c>
      <c r="Y27" s="62">
        <v>125.51124071005805</v>
      </c>
      <c r="Z27" s="62">
        <v>72.869104181490172</v>
      </c>
      <c r="AA27" s="72">
        <v>0</v>
      </c>
      <c r="AB27" s="69">
        <v>51.797027338875502</v>
      </c>
      <c r="AC27" s="69">
        <v>0</v>
      </c>
      <c r="AD27" s="401">
        <v>8.1497571027149505</v>
      </c>
      <c r="AE27" s="401">
        <v>4.48218559744062</v>
      </c>
      <c r="AF27" s="69">
        <v>12.376071533891897</v>
      </c>
      <c r="AG27" s="69">
        <v>7.7505867361084544</v>
      </c>
      <c r="AH27" s="69">
        <v>4.4998225588881731</v>
      </c>
      <c r="AI27" s="69">
        <v>0.63267981905502435</v>
      </c>
      <c r="AJ27" s="69">
        <v>259.37328006426497</v>
      </c>
      <c r="AK27" s="69">
        <v>1082.697770945231</v>
      </c>
      <c r="AL27" s="69">
        <v>3050.0948748270675</v>
      </c>
      <c r="AM27" s="69">
        <v>490.78343043327328</v>
      </c>
      <c r="AN27" s="69">
        <v>3198.7042821248369</v>
      </c>
      <c r="AO27" s="69">
        <v>2686.1448544820146</v>
      </c>
      <c r="AP27" s="69">
        <v>603.145751953125</v>
      </c>
      <c r="AQ27" s="69">
        <v>1736.5028686523437</v>
      </c>
      <c r="AR27" s="69">
        <v>353.27453877131143</v>
      </c>
      <c r="AS27" s="69">
        <v>522.81747554143271</v>
      </c>
    </row>
    <row r="28" spans="1:45" x14ac:dyDescent="0.25">
      <c r="A28" s="11">
        <v>42756</v>
      </c>
      <c r="B28" s="59"/>
      <c r="C28" s="60">
        <v>55.778522702058133</v>
      </c>
      <c r="D28" s="60">
        <v>655.47024831771716</v>
      </c>
      <c r="E28" s="60">
        <v>14.746555997927977</v>
      </c>
      <c r="F28" s="60">
        <v>0</v>
      </c>
      <c r="G28" s="60">
        <v>1446.1619605382259</v>
      </c>
      <c r="H28" s="61">
        <v>22.535170391202001</v>
      </c>
      <c r="I28" s="59">
        <v>155.47900774478921</v>
      </c>
      <c r="J28" s="60">
        <v>345.65138796170658</v>
      </c>
      <c r="K28" s="60">
        <v>18.91956924895446</v>
      </c>
      <c r="L28" s="60">
        <v>7.4474620819089815E-2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203.18644937769881</v>
      </c>
      <c r="V28" s="62">
        <v>117.97902587424602</v>
      </c>
      <c r="W28" s="62">
        <v>23.765968434201373</v>
      </c>
      <c r="X28" s="62">
        <v>13.799570854319503</v>
      </c>
      <c r="Y28" s="66">
        <v>126.27476725488256</v>
      </c>
      <c r="Z28" s="66">
        <v>73.320706567075433</v>
      </c>
      <c r="AA28" s="67">
        <v>0</v>
      </c>
      <c r="AB28" s="68">
        <v>51.818864634302372</v>
      </c>
      <c r="AC28" s="69">
        <v>0</v>
      </c>
      <c r="AD28" s="401">
        <v>8.1501789151325497</v>
      </c>
      <c r="AE28" s="401">
        <v>4.480361935797621</v>
      </c>
      <c r="AF28" s="69">
        <v>12.373816127247292</v>
      </c>
      <c r="AG28" s="68">
        <v>7.7505720302465999</v>
      </c>
      <c r="AH28" s="68">
        <v>4.5003244108907294</v>
      </c>
      <c r="AI28" s="68">
        <v>0.6326534607068367</v>
      </c>
      <c r="AJ28" s="69">
        <v>277.81057593027748</v>
      </c>
      <c r="AK28" s="69">
        <v>1123.8239962259929</v>
      </c>
      <c r="AL28" s="69">
        <v>3085.0515099843337</v>
      </c>
      <c r="AM28" s="69">
        <v>488.11086837450654</v>
      </c>
      <c r="AN28" s="69">
        <v>3405.7048358917232</v>
      </c>
      <c r="AO28" s="69">
        <v>2565.992546081543</v>
      </c>
      <c r="AP28" s="69">
        <v>603.145751953125</v>
      </c>
      <c r="AQ28" s="69">
        <v>1736.5028686523437</v>
      </c>
      <c r="AR28" s="69">
        <v>363.93409872055054</v>
      </c>
      <c r="AS28" s="69">
        <v>507.84215307235712</v>
      </c>
    </row>
    <row r="29" spans="1:45" x14ac:dyDescent="0.25">
      <c r="A29" s="11">
        <v>42757</v>
      </c>
      <c r="B29" s="59"/>
      <c r="C29" s="60">
        <v>55.4930453141532</v>
      </c>
      <c r="D29" s="60">
        <v>656.29395144780301</v>
      </c>
      <c r="E29" s="60">
        <v>14.73745990097521</v>
      </c>
      <c r="F29" s="60">
        <v>0</v>
      </c>
      <c r="G29" s="60">
        <v>1486.0832439422595</v>
      </c>
      <c r="H29" s="61">
        <v>22.502049952745399</v>
      </c>
      <c r="I29" s="59">
        <v>155.58640591303509</v>
      </c>
      <c r="J29" s="60">
        <v>345.77890413602273</v>
      </c>
      <c r="K29" s="60">
        <v>18.875444109241158</v>
      </c>
      <c r="L29" s="60">
        <v>7.3739635944364848E-2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203.14728726028886</v>
      </c>
      <c r="V29" s="62">
        <v>117.9532266642055</v>
      </c>
      <c r="W29" s="62">
        <v>24.040729409025076</v>
      </c>
      <c r="X29" s="62">
        <v>13.958747091327188</v>
      </c>
      <c r="Y29" s="66">
        <v>130.750989289042</v>
      </c>
      <c r="Z29" s="66">
        <v>75.917829296036388</v>
      </c>
      <c r="AA29" s="67">
        <v>0</v>
      </c>
      <c r="AB29" s="68">
        <v>51.796225094794984</v>
      </c>
      <c r="AC29" s="69">
        <v>0</v>
      </c>
      <c r="AD29" s="401">
        <v>8.1520587819401751</v>
      </c>
      <c r="AE29" s="401">
        <v>4.4790324544262035</v>
      </c>
      <c r="AF29" s="69">
        <v>12.374593573808689</v>
      </c>
      <c r="AG29" s="68">
        <v>7.7500178053024067</v>
      </c>
      <c r="AH29" s="68">
        <v>4.4998858668941661</v>
      </c>
      <c r="AI29" s="68">
        <v>0.63265948963276408</v>
      </c>
      <c r="AJ29" s="69">
        <v>278.34030480384831</v>
      </c>
      <c r="AK29" s="69">
        <v>1113.9639088312783</v>
      </c>
      <c r="AL29" s="69">
        <v>3077.5458599090575</v>
      </c>
      <c r="AM29" s="69">
        <v>488.02624818483997</v>
      </c>
      <c r="AN29" s="69">
        <v>3239.9107252756758</v>
      </c>
      <c r="AO29" s="69">
        <v>2666.0796118418375</v>
      </c>
      <c r="AP29" s="69">
        <v>603.145751953125</v>
      </c>
      <c r="AQ29" s="69">
        <v>1736.5028686523437</v>
      </c>
      <c r="AR29" s="69">
        <v>354.10156949361169</v>
      </c>
      <c r="AS29" s="69">
        <v>510.2171656926472</v>
      </c>
    </row>
    <row r="30" spans="1:45" x14ac:dyDescent="0.25">
      <c r="A30" s="11">
        <v>42758</v>
      </c>
      <c r="B30" s="59"/>
      <c r="C30" s="60">
        <v>55.341276661554019</v>
      </c>
      <c r="D30" s="60">
        <v>656.14458030064736</v>
      </c>
      <c r="E30" s="60">
        <v>14.790966533621155</v>
      </c>
      <c r="F30" s="60">
        <v>0</v>
      </c>
      <c r="G30" s="60">
        <v>1476.146820831297</v>
      </c>
      <c r="H30" s="61">
        <v>22.443085312843351</v>
      </c>
      <c r="I30" s="59">
        <v>155.63049760659555</v>
      </c>
      <c r="J30" s="60">
        <v>345.67784241040624</v>
      </c>
      <c r="K30" s="60">
        <v>19.198441095650189</v>
      </c>
      <c r="L30" s="60">
        <v>6.4918506145476257E-2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198.39124544670236</v>
      </c>
      <c r="V30" s="62">
        <v>115.19786975969598</v>
      </c>
      <c r="W30" s="62">
        <v>24.721208732564246</v>
      </c>
      <c r="X30" s="62">
        <v>14.354618206382813</v>
      </c>
      <c r="Y30" s="66">
        <v>132.73439756765154</v>
      </c>
      <c r="Z30" s="66">
        <v>77.073561432618106</v>
      </c>
      <c r="AA30" s="67">
        <v>0</v>
      </c>
      <c r="AB30" s="68">
        <v>51.957715757687289</v>
      </c>
      <c r="AC30" s="69">
        <v>0</v>
      </c>
      <c r="AD30" s="401">
        <v>8.1514705166700772</v>
      </c>
      <c r="AE30" s="401">
        <v>4.4781443962684149</v>
      </c>
      <c r="AF30" s="69">
        <v>12.379826135767841</v>
      </c>
      <c r="AG30" s="68">
        <v>7.7500958320845328</v>
      </c>
      <c r="AH30" s="68">
        <v>4.5001710044180596</v>
      </c>
      <c r="AI30" s="68">
        <v>0.632647103570942</v>
      </c>
      <c r="AJ30" s="69">
        <v>271.16760330200191</v>
      </c>
      <c r="AK30" s="69">
        <v>1097.9503842671711</v>
      </c>
      <c r="AL30" s="69">
        <v>3059.7685750325518</v>
      </c>
      <c r="AM30" s="69">
        <v>531.34544283548996</v>
      </c>
      <c r="AN30" s="69">
        <v>3446.5592489878341</v>
      </c>
      <c r="AO30" s="69">
        <v>2601.3757095336914</v>
      </c>
      <c r="AP30" s="69">
        <v>603.145751953125</v>
      </c>
      <c r="AQ30" s="69">
        <v>1736.5028686523437</v>
      </c>
      <c r="AR30" s="69">
        <v>399.2453021367391</v>
      </c>
      <c r="AS30" s="69">
        <v>563.03330993652355</v>
      </c>
    </row>
    <row r="31" spans="1:45" x14ac:dyDescent="0.25">
      <c r="A31" s="11">
        <v>42759</v>
      </c>
      <c r="B31" s="59"/>
      <c r="C31" s="60">
        <v>55.024886711438072</v>
      </c>
      <c r="D31" s="60">
        <v>656.25530147552456</v>
      </c>
      <c r="E31" s="60">
        <v>14.96318825433649</v>
      </c>
      <c r="F31" s="60">
        <v>0</v>
      </c>
      <c r="G31" s="60">
        <v>1476.3094420115126</v>
      </c>
      <c r="H31" s="61">
        <v>22.508399511377039</v>
      </c>
      <c r="I31" s="59">
        <v>155.47857935428624</v>
      </c>
      <c r="J31" s="60">
        <v>365.59728439648865</v>
      </c>
      <c r="K31" s="60">
        <v>20.051442203919102</v>
      </c>
      <c r="L31" s="60">
        <v>6.8552911281584458E-2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195.34183152971386</v>
      </c>
      <c r="V31" s="62">
        <v>113.41446649308355</v>
      </c>
      <c r="W31" s="62">
        <v>25.525555990317475</v>
      </c>
      <c r="X31" s="62">
        <v>14.820007020057194</v>
      </c>
      <c r="Y31" s="66">
        <v>133.06570031279395</v>
      </c>
      <c r="Z31" s="66">
        <v>77.257263799169692</v>
      </c>
      <c r="AA31" s="67">
        <v>0</v>
      </c>
      <c r="AB31" s="68">
        <v>52.126209701432096</v>
      </c>
      <c r="AC31" s="69">
        <v>0</v>
      </c>
      <c r="AD31" s="401">
        <v>8.1489093201512972</v>
      </c>
      <c r="AE31" s="401">
        <v>4.4784747293872327</v>
      </c>
      <c r="AF31" s="69">
        <v>12.378711143467168</v>
      </c>
      <c r="AG31" s="68">
        <v>7.7506366833221403</v>
      </c>
      <c r="AH31" s="68">
        <v>4.49997994560111</v>
      </c>
      <c r="AI31" s="68">
        <v>0.63267318846817677</v>
      </c>
      <c r="AJ31" s="69">
        <v>313.09743183453878</v>
      </c>
      <c r="AK31" s="69">
        <v>1180.9251538594565</v>
      </c>
      <c r="AL31" s="69">
        <v>3115.9562808990486</v>
      </c>
      <c r="AM31" s="69">
        <v>577.99003346761071</v>
      </c>
      <c r="AN31" s="69">
        <v>3299.8806405385335</v>
      </c>
      <c r="AO31" s="69">
        <v>2307.3483606974291</v>
      </c>
      <c r="AP31" s="69">
        <v>603.145751953125</v>
      </c>
      <c r="AQ31" s="69">
        <v>1736.5028686523437</v>
      </c>
      <c r="AR31" s="69">
        <v>413.7118249575297</v>
      </c>
      <c r="AS31" s="69">
        <v>580.50331112543745</v>
      </c>
    </row>
    <row r="32" spans="1:45" x14ac:dyDescent="0.25">
      <c r="A32" s="11">
        <v>42760</v>
      </c>
      <c r="B32" s="59"/>
      <c r="C32" s="60">
        <v>54.75191183090223</v>
      </c>
      <c r="D32" s="60">
        <v>656.3932822227456</v>
      </c>
      <c r="E32" s="60">
        <v>15.059311154484732</v>
      </c>
      <c r="F32" s="60">
        <v>0</v>
      </c>
      <c r="G32" s="60">
        <v>1432.8204697926869</v>
      </c>
      <c r="H32" s="61">
        <v>22.460225597023957</v>
      </c>
      <c r="I32" s="59">
        <v>155.54355687300381</v>
      </c>
      <c r="J32" s="60">
        <v>374.37695012092502</v>
      </c>
      <c r="K32" s="60">
        <v>20.428057353695241</v>
      </c>
      <c r="L32" s="60">
        <v>8.1384921073911626E-2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189.84161185683172</v>
      </c>
      <c r="V32" s="62">
        <v>110.24976138543902</v>
      </c>
      <c r="W32" s="62">
        <v>31.125670892616149</v>
      </c>
      <c r="X32" s="62">
        <v>18.076109633227098</v>
      </c>
      <c r="Y32" s="66">
        <v>129.74047207730405</v>
      </c>
      <c r="Z32" s="66">
        <v>75.346263385838611</v>
      </c>
      <c r="AA32" s="67">
        <v>0</v>
      </c>
      <c r="AB32" s="68">
        <v>52.124501140912521</v>
      </c>
      <c r="AC32" s="69">
        <v>0</v>
      </c>
      <c r="AD32" s="401">
        <v>8.1484988060529382</v>
      </c>
      <c r="AE32" s="401">
        <v>4.4799480010768296</v>
      </c>
      <c r="AF32" s="69">
        <v>12.049033603072191</v>
      </c>
      <c r="AG32" s="68">
        <v>7.5437438561745953</v>
      </c>
      <c r="AH32" s="68">
        <v>4.3809992549122514</v>
      </c>
      <c r="AI32" s="68">
        <v>0.63261269327981706</v>
      </c>
      <c r="AJ32" s="69">
        <v>365.5177255789439</v>
      </c>
      <c r="AK32" s="69">
        <v>1265.470914268494</v>
      </c>
      <c r="AL32" s="69">
        <v>3119.6837090810141</v>
      </c>
      <c r="AM32" s="69">
        <v>579.59604794184372</v>
      </c>
      <c r="AN32" s="69">
        <v>3614.4059432983399</v>
      </c>
      <c r="AO32" s="69">
        <v>2545.7503213246669</v>
      </c>
      <c r="AP32" s="69">
        <v>603.145751953125</v>
      </c>
      <c r="AQ32" s="69">
        <v>1736.5028686523437</v>
      </c>
      <c r="AR32" s="69">
        <v>419.40593935648604</v>
      </c>
      <c r="AS32" s="69">
        <v>572.98613252639768</v>
      </c>
    </row>
    <row r="33" spans="1:45" x14ac:dyDescent="0.25">
      <c r="A33" s="11">
        <v>42761</v>
      </c>
      <c r="B33" s="59"/>
      <c r="C33" s="60">
        <v>39.941650482018382</v>
      </c>
      <c r="D33" s="60">
        <v>474.02426451841961</v>
      </c>
      <c r="E33" s="60">
        <v>11.041303539276139</v>
      </c>
      <c r="F33" s="60">
        <v>0</v>
      </c>
      <c r="G33" s="60">
        <v>1007.7322671254477</v>
      </c>
      <c r="H33" s="61">
        <v>16.014379067222272</v>
      </c>
      <c r="I33" s="59">
        <v>165.24409208297715</v>
      </c>
      <c r="J33" s="60">
        <v>444.6941356817884</v>
      </c>
      <c r="K33" s="60">
        <v>24.331464467446011</v>
      </c>
      <c r="L33" s="60">
        <v>0.15643625259399593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230.41229599985795</v>
      </c>
      <c r="V33" s="62">
        <v>50.454079933894739</v>
      </c>
      <c r="W33" s="62">
        <v>36.896466612189869</v>
      </c>
      <c r="X33" s="62">
        <v>8.0793313032688747</v>
      </c>
      <c r="Y33" s="66">
        <v>154.27732999176914</v>
      </c>
      <c r="Z33" s="66">
        <v>33.782575298834644</v>
      </c>
      <c r="AA33" s="67">
        <v>0</v>
      </c>
      <c r="AB33" s="68">
        <v>53.285410269101256</v>
      </c>
      <c r="AC33" s="69">
        <v>0</v>
      </c>
      <c r="AD33" s="401">
        <v>9.6795687974695497</v>
      </c>
      <c r="AE33" s="401">
        <v>3.2302073386786616</v>
      </c>
      <c r="AF33" s="69">
        <v>10.983046623071004</v>
      </c>
      <c r="AG33" s="68">
        <v>8.9046207239960324</v>
      </c>
      <c r="AH33" s="68">
        <v>1.9498718323165727</v>
      </c>
      <c r="AI33" s="68">
        <v>0.82036269109765125</v>
      </c>
      <c r="AJ33" s="69">
        <v>370.4536350965501</v>
      </c>
      <c r="AK33" s="69">
        <v>1203.5578524271643</v>
      </c>
      <c r="AL33" s="69">
        <v>2589.2312064488724</v>
      </c>
      <c r="AM33" s="69">
        <v>580.60886904398592</v>
      </c>
      <c r="AN33" s="69">
        <v>2638.1854047139486</v>
      </c>
      <c r="AO33" s="69">
        <v>2738.8948836008708</v>
      </c>
      <c r="AP33" s="69">
        <v>603.145751953125</v>
      </c>
      <c r="AQ33" s="69">
        <v>1736.5028686523437</v>
      </c>
      <c r="AR33" s="69">
        <v>310.20169099171954</v>
      </c>
      <c r="AS33" s="69">
        <v>669.29238030115766</v>
      </c>
    </row>
    <row r="34" spans="1:45" x14ac:dyDescent="0.25">
      <c r="A34" s="11">
        <v>42762</v>
      </c>
      <c r="B34" s="59"/>
      <c r="C34" s="60">
        <v>55.858489505450486</v>
      </c>
      <c r="D34" s="60">
        <v>655.93393920262679</v>
      </c>
      <c r="E34" s="60">
        <v>15.122525635361667</v>
      </c>
      <c r="F34" s="60">
        <v>0</v>
      </c>
      <c r="G34" s="60">
        <v>1429.4160706837961</v>
      </c>
      <c r="H34" s="61">
        <v>22.506276666124684</v>
      </c>
      <c r="I34" s="59">
        <v>155.6578913291294</v>
      </c>
      <c r="J34" s="60">
        <v>374.91924681663471</v>
      </c>
      <c r="K34" s="60">
        <v>20.500607024629907</v>
      </c>
      <c r="L34" s="60">
        <v>0.1035385847091652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189.35672847614256</v>
      </c>
      <c r="V34" s="62">
        <v>109.9426007941148</v>
      </c>
      <c r="W34" s="62">
        <v>31.371649492044899</v>
      </c>
      <c r="X34" s="62">
        <v>18.214725001395148</v>
      </c>
      <c r="Y34" s="66">
        <v>137.45571314844781</v>
      </c>
      <c r="Z34" s="66">
        <v>79.808300022748739</v>
      </c>
      <c r="AA34" s="67">
        <v>0</v>
      </c>
      <c r="AB34" s="68">
        <v>52.253063294623388</v>
      </c>
      <c r="AC34" s="69">
        <v>0</v>
      </c>
      <c r="AD34" s="401">
        <v>8.1614936864781207</v>
      </c>
      <c r="AE34" s="401">
        <v>4.485627835370849</v>
      </c>
      <c r="AF34" s="69">
        <v>12.215019219120345</v>
      </c>
      <c r="AG34" s="68">
        <v>7.6483991575323653</v>
      </c>
      <c r="AH34" s="68">
        <v>4.4407447364436781</v>
      </c>
      <c r="AI34" s="68">
        <v>0.63266673178929755</v>
      </c>
      <c r="AJ34" s="69">
        <v>362.48634591102598</v>
      </c>
      <c r="AK34" s="69">
        <v>1273.8205329895018</v>
      </c>
      <c r="AL34" s="69">
        <v>3156.4298891703288</v>
      </c>
      <c r="AM34" s="69">
        <v>576.01256367365511</v>
      </c>
      <c r="AN34" s="69">
        <v>3578.7794474283855</v>
      </c>
      <c r="AO34" s="69">
        <v>2727.2340277353924</v>
      </c>
      <c r="AP34" s="69">
        <v>603.145751953125</v>
      </c>
      <c r="AQ34" s="69">
        <v>1736.5028686523437</v>
      </c>
      <c r="AR34" s="69">
        <v>405.70163427988683</v>
      </c>
      <c r="AS34" s="69">
        <v>588.73135658899923</v>
      </c>
    </row>
    <row r="35" spans="1:45" x14ac:dyDescent="0.25">
      <c r="A35" s="11">
        <v>42763</v>
      </c>
      <c r="B35" s="59"/>
      <c r="C35" s="60">
        <v>54.405963647364928</v>
      </c>
      <c r="D35" s="60">
        <v>654.68879817326763</v>
      </c>
      <c r="E35" s="60">
        <v>15.110944981376342</v>
      </c>
      <c r="F35" s="60">
        <v>0</v>
      </c>
      <c r="G35" s="60">
        <v>1428.4714167277045</v>
      </c>
      <c r="H35" s="61">
        <v>22.54390999774138</v>
      </c>
      <c r="I35" s="59">
        <v>161.1048636992773</v>
      </c>
      <c r="J35" s="60">
        <v>385.10134043693478</v>
      </c>
      <c r="K35" s="60">
        <v>21.228353998064915</v>
      </c>
      <c r="L35" s="60">
        <v>8.2844138145444918E-2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190.04364802465813</v>
      </c>
      <c r="V35" s="62">
        <v>110.33296309154171</v>
      </c>
      <c r="W35" s="62">
        <v>29.826758920172598</v>
      </c>
      <c r="X35" s="62">
        <v>17.316415072461279</v>
      </c>
      <c r="Y35" s="66">
        <v>139.38584201268037</v>
      </c>
      <c r="Z35" s="66">
        <v>80.92274128663918</v>
      </c>
      <c r="AA35" s="67">
        <v>0</v>
      </c>
      <c r="AB35" s="68">
        <v>53.080675135718437</v>
      </c>
      <c r="AC35" s="69">
        <v>0</v>
      </c>
      <c r="AD35" s="401">
        <v>8.3836068411785902</v>
      </c>
      <c r="AE35" s="401">
        <v>4.4881857324625312</v>
      </c>
      <c r="AF35" s="69">
        <v>12.250054053796672</v>
      </c>
      <c r="AG35" s="68">
        <v>7.6715489199081066</v>
      </c>
      <c r="AH35" s="68">
        <v>4.4538438018478494</v>
      </c>
      <c r="AI35" s="68">
        <v>0.63268457327105365</v>
      </c>
      <c r="AJ35" s="69">
        <v>329.67705946763351</v>
      </c>
      <c r="AK35" s="69">
        <v>1182.3359551747637</v>
      </c>
      <c r="AL35" s="69">
        <v>3138.2249889373775</v>
      </c>
      <c r="AM35" s="69">
        <v>566.42416985829675</v>
      </c>
      <c r="AN35" s="69">
        <v>3452.2932933807369</v>
      </c>
      <c r="AO35" s="69">
        <v>2597.6130144755043</v>
      </c>
      <c r="AP35" s="69">
        <v>603.145751953125</v>
      </c>
      <c r="AQ35" s="69">
        <v>1736.5028686523437</v>
      </c>
      <c r="AR35" s="69">
        <v>406.32497838338213</v>
      </c>
      <c r="AS35" s="69">
        <v>523.54999647140505</v>
      </c>
    </row>
    <row r="36" spans="1:45" x14ac:dyDescent="0.25">
      <c r="A36" s="11">
        <v>42764</v>
      </c>
      <c r="B36" s="59"/>
      <c r="C36" s="60">
        <v>54.337635735670027</v>
      </c>
      <c r="D36" s="60">
        <v>654.92790508270059</v>
      </c>
      <c r="E36" s="60">
        <v>15.152252160509409</v>
      </c>
      <c r="F36" s="60">
        <v>0</v>
      </c>
      <c r="G36" s="60">
        <v>1428.5688670476291</v>
      </c>
      <c r="H36" s="61">
        <v>22.600199257334065</v>
      </c>
      <c r="I36" s="59">
        <v>159.87215698560078</v>
      </c>
      <c r="J36" s="60">
        <v>378.48548380533776</v>
      </c>
      <c r="K36" s="60">
        <v>20.645247862736433</v>
      </c>
      <c r="L36" s="60">
        <v>7.9529953002927811E-2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188.9552072064017</v>
      </c>
      <c r="V36" s="62">
        <v>109.74672117605162</v>
      </c>
      <c r="W36" s="62">
        <v>29.964941774602579</v>
      </c>
      <c r="X36" s="62">
        <v>17.403881896738312</v>
      </c>
      <c r="Y36" s="66">
        <v>137.52466282506316</v>
      </c>
      <c r="Z36" s="66">
        <v>79.875442699000573</v>
      </c>
      <c r="AA36" s="67">
        <v>0</v>
      </c>
      <c r="AB36" s="68">
        <v>52.691985930337701</v>
      </c>
      <c r="AC36" s="69">
        <v>0</v>
      </c>
      <c r="AD36" s="401">
        <v>8.2383697094529325</v>
      </c>
      <c r="AE36" s="401">
        <v>4.4896735045448573</v>
      </c>
      <c r="AF36" s="69">
        <v>12.293462074796349</v>
      </c>
      <c r="AG36" s="68">
        <v>7.6468063549738741</v>
      </c>
      <c r="AH36" s="68">
        <v>4.441327324786978</v>
      </c>
      <c r="AI36" s="68">
        <v>0.63258783841685273</v>
      </c>
      <c r="AJ36" s="69">
        <v>377.42942503293352</v>
      </c>
      <c r="AK36" s="69">
        <v>1182.8319505055745</v>
      </c>
      <c r="AL36" s="69">
        <v>3081.8395790100099</v>
      </c>
      <c r="AM36" s="69">
        <v>562.28762009938555</v>
      </c>
      <c r="AN36" s="69">
        <v>3365.698884455363</v>
      </c>
      <c r="AO36" s="69">
        <v>2632.2602274576825</v>
      </c>
      <c r="AP36" s="69">
        <v>665.72123465538027</v>
      </c>
      <c r="AQ36" s="69">
        <v>1686.2236569722495</v>
      </c>
      <c r="AR36" s="69">
        <v>403.55960178375244</v>
      </c>
      <c r="AS36" s="69">
        <v>512.1601772944133</v>
      </c>
    </row>
    <row r="37" spans="1:45" x14ac:dyDescent="0.25">
      <c r="A37" s="11">
        <v>42765</v>
      </c>
      <c r="B37" s="59"/>
      <c r="C37" s="60">
        <v>54.178410518169422</v>
      </c>
      <c r="D37" s="60">
        <v>654.63307024637891</v>
      </c>
      <c r="E37" s="60">
        <v>15.16767446895442</v>
      </c>
      <c r="F37" s="60">
        <v>0</v>
      </c>
      <c r="G37" s="60">
        <v>1429.2832483927382</v>
      </c>
      <c r="H37" s="61">
        <v>22.613005340099335</v>
      </c>
      <c r="I37" s="59">
        <v>160.6978299856188</v>
      </c>
      <c r="J37" s="60">
        <v>377.92833449045713</v>
      </c>
      <c r="K37" s="60">
        <v>20.631445030371342</v>
      </c>
      <c r="L37" s="60">
        <v>6.0624384880065524E-2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189.8633485953745</v>
      </c>
      <c r="V37" s="62">
        <v>110.28103839549301</v>
      </c>
      <c r="W37" s="62">
        <v>28.39643594235428</v>
      </c>
      <c r="X37" s="62">
        <v>16.493907147544235</v>
      </c>
      <c r="Y37" s="66">
        <v>134.13695987577734</v>
      </c>
      <c r="Z37" s="66">
        <v>77.912684737488561</v>
      </c>
      <c r="AA37" s="67">
        <v>0</v>
      </c>
      <c r="AB37" s="68">
        <v>52.780213952065239</v>
      </c>
      <c r="AC37" s="69">
        <v>0</v>
      </c>
      <c r="AD37" s="401">
        <v>8.2258949922878273</v>
      </c>
      <c r="AE37" s="401">
        <v>4.4879059583289447</v>
      </c>
      <c r="AF37" s="69">
        <v>12.325933361384601</v>
      </c>
      <c r="AG37" s="68">
        <v>7.6634600225517042</v>
      </c>
      <c r="AH37" s="68">
        <v>4.4512768538094747</v>
      </c>
      <c r="AI37" s="68">
        <v>0.63257337742968178</v>
      </c>
      <c r="AJ37" s="69">
        <v>373.49414722919465</v>
      </c>
      <c r="AK37" s="69">
        <v>1155.3743975321454</v>
      </c>
      <c r="AL37" s="69">
        <v>3060.6695107777919</v>
      </c>
      <c r="AM37" s="69">
        <v>558.16714855829878</v>
      </c>
      <c r="AN37" s="69">
        <v>3428.6695582071948</v>
      </c>
      <c r="AO37" s="69">
        <v>2663.9506551106774</v>
      </c>
      <c r="AP37" s="69">
        <v>726.96052551269531</v>
      </c>
      <c r="AQ37" s="69">
        <v>1650.8252563476562</v>
      </c>
      <c r="AR37" s="69">
        <v>413.32700961430874</v>
      </c>
      <c r="AS37" s="69">
        <v>637.21186342239389</v>
      </c>
    </row>
    <row r="38" spans="1:45" ht="15.75" thickBot="1" x14ac:dyDescent="0.3">
      <c r="A38" s="11">
        <v>42766</v>
      </c>
      <c r="B38" s="73"/>
      <c r="C38" s="74">
        <v>55.002301979064647</v>
      </c>
      <c r="D38" s="74">
        <v>653.66344032287611</v>
      </c>
      <c r="E38" s="74">
        <v>15.25365604758259</v>
      </c>
      <c r="F38" s="74">
        <v>0</v>
      </c>
      <c r="G38" s="74">
        <v>1430.1249082565275</v>
      </c>
      <c r="H38" s="75">
        <v>22.709922938545542</v>
      </c>
      <c r="I38" s="76">
        <v>83.21126640240351</v>
      </c>
      <c r="J38" s="74">
        <v>374.91227172215707</v>
      </c>
      <c r="K38" s="74">
        <v>20.656983706355152</v>
      </c>
      <c r="L38" s="60">
        <v>1.7387604713440079E-2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191.48681275996691</v>
      </c>
      <c r="V38" s="80">
        <v>111.19171024011948</v>
      </c>
      <c r="W38" s="81">
        <v>28.585265515128331</v>
      </c>
      <c r="X38" s="81">
        <v>16.598764763395391</v>
      </c>
      <c r="Y38" s="80">
        <v>131.77844060768791</v>
      </c>
      <c r="Z38" s="80">
        <v>76.520518425006557</v>
      </c>
      <c r="AA38" s="82">
        <v>0</v>
      </c>
      <c r="AB38" s="83">
        <v>52.548512090577134</v>
      </c>
      <c r="AC38" s="84">
        <v>0</v>
      </c>
      <c r="AD38" s="401">
        <v>8.1606140866620009</v>
      </c>
      <c r="AE38" s="401">
        <v>4.5174926722269557</v>
      </c>
      <c r="AF38" s="85">
        <v>12.455213331513939</v>
      </c>
      <c r="AG38" s="83">
        <v>7.7505327960714103</v>
      </c>
      <c r="AH38" s="83">
        <v>4.5005448910343233</v>
      </c>
      <c r="AI38" s="83">
        <v>0.63264089854142791</v>
      </c>
      <c r="AJ38" s="84">
        <v>429.68838466008503</v>
      </c>
      <c r="AK38" s="84">
        <v>1217.7319404602051</v>
      </c>
      <c r="AL38" s="84">
        <v>3135.0545870463056</v>
      </c>
      <c r="AM38" s="84">
        <v>563.10364665985105</v>
      </c>
      <c r="AN38" s="84">
        <v>3694.2209958394369</v>
      </c>
      <c r="AO38" s="84">
        <v>2648.048876571655</v>
      </c>
      <c r="AP38" s="84">
        <v>726.96052551269531</v>
      </c>
      <c r="AQ38" s="84">
        <v>1650.8252563476562</v>
      </c>
      <c r="AR38" s="84">
        <v>402.37265574137376</v>
      </c>
      <c r="AS38" s="84">
        <v>724.03241570790613</v>
      </c>
    </row>
    <row r="39" spans="1:45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1693.1992608646581</v>
      </c>
      <c r="D39" s="30">
        <f t="shared" si="0"/>
        <v>19744.476912424951</v>
      </c>
      <c r="E39" s="30">
        <f t="shared" si="0"/>
        <v>464.87670106540088</v>
      </c>
      <c r="F39" s="30">
        <f t="shared" si="0"/>
        <v>0</v>
      </c>
      <c r="G39" s="30">
        <f t="shared" si="0"/>
        <v>45502.192017682333</v>
      </c>
      <c r="H39" s="31">
        <f t="shared" si="0"/>
        <v>694.91906274755843</v>
      </c>
      <c r="I39" s="29">
        <f t="shared" si="0"/>
        <v>4757.175520312785</v>
      </c>
      <c r="J39" s="30">
        <f t="shared" si="0"/>
        <v>10969.919757620502</v>
      </c>
      <c r="K39" s="30">
        <f t="shared" si="0"/>
        <v>602.4277651280164</v>
      </c>
      <c r="L39" s="30">
        <f t="shared" si="0"/>
        <v>2.3569146156310641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6029.0724557760232</v>
      </c>
      <c r="V39" s="262">
        <f t="shared" si="0"/>
        <v>3448.0627515061728</v>
      </c>
      <c r="W39" s="262">
        <f t="shared" si="0"/>
        <v>797.73957218723194</v>
      </c>
      <c r="X39" s="262">
        <f t="shared" si="0"/>
        <v>453.89461789531845</v>
      </c>
      <c r="Y39" s="262">
        <f t="shared" si="0"/>
        <v>4241.1857920483008</v>
      </c>
      <c r="Z39" s="262">
        <f t="shared" si="0"/>
        <v>2428.4749541049027</v>
      </c>
      <c r="AA39" s="270">
        <f t="shared" si="0"/>
        <v>0</v>
      </c>
      <c r="AB39" s="273">
        <f t="shared" si="0"/>
        <v>1570.7254091766142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9777.6397703886014</v>
      </c>
      <c r="AK39" s="273">
        <f t="shared" si="1"/>
        <v>36322.262613360101</v>
      </c>
      <c r="AL39" s="273">
        <f t="shared" si="1"/>
        <v>96383.442205238345</v>
      </c>
      <c r="AM39" s="273">
        <f t="shared" si="1"/>
        <v>15543.572350581493</v>
      </c>
      <c r="AN39" s="273">
        <f t="shared" si="1"/>
        <v>103772.75599390666</v>
      </c>
      <c r="AO39" s="273">
        <f t="shared" si="1"/>
        <v>84975.762008921301</v>
      </c>
      <c r="AP39" s="273">
        <f t="shared" si="1"/>
        <v>18231.040747785566</v>
      </c>
      <c r="AQ39" s="273">
        <f t="shared" si="1"/>
        <v>53609.954491933189</v>
      </c>
      <c r="AR39" s="273">
        <f t="shared" si="1"/>
        <v>11950.110101858774</v>
      </c>
      <c r="AS39" s="273">
        <f t="shared" si="1"/>
        <v>17356.868282063806</v>
      </c>
    </row>
    <row r="40" spans="1:45" ht="15.75" thickBot="1" x14ac:dyDescent="0.3">
      <c r="A40" s="47" t="s">
        <v>174</v>
      </c>
      <c r="B40" s="32">
        <f>Projection!$AA$30</f>
        <v>0.82128400199999985</v>
      </c>
      <c r="C40" s="33">
        <f>Projection!$AA$28</f>
        <v>1.0959093599999998</v>
      </c>
      <c r="D40" s="33">
        <f>Projection!$AA$31</f>
        <v>2.504502</v>
      </c>
      <c r="E40" s="33">
        <f>Projection!$AA$26</f>
        <v>3.9898560000000005</v>
      </c>
      <c r="F40" s="33">
        <f>Projection!$AA$23</f>
        <v>0</v>
      </c>
      <c r="G40" s="33">
        <f>Projection!$AA$24</f>
        <v>5.5265000000000002E-2</v>
      </c>
      <c r="H40" s="34">
        <f>Projection!$AA$29</f>
        <v>3.1332129000000002</v>
      </c>
      <c r="I40" s="32">
        <f>Projection!$AA$30</f>
        <v>0.82128400199999985</v>
      </c>
      <c r="J40" s="33">
        <f>Projection!$AA$28</f>
        <v>1.0959093599999998</v>
      </c>
      <c r="K40" s="33">
        <f>Projection!$AA$26</f>
        <v>3.9898560000000005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1.0959093599999998</v>
      </c>
      <c r="T40" s="38">
        <f>Projection!$AA$28</f>
        <v>1.0959093599999998</v>
      </c>
      <c r="U40" s="26">
        <f>Projection!$AA$27</f>
        <v>0.2321</v>
      </c>
      <c r="V40" s="27">
        <f>Projection!$AA$27</f>
        <v>0.2321</v>
      </c>
      <c r="W40" s="27">
        <f>Projection!$AA$22</f>
        <v>0.74349432000000004</v>
      </c>
      <c r="X40" s="27">
        <f>Projection!$AA$22</f>
        <v>0.74349432000000004</v>
      </c>
      <c r="Y40" s="27">
        <f>Projection!$AA$31</f>
        <v>2.504502</v>
      </c>
      <c r="Z40" s="27">
        <f>Projection!$AA$31</f>
        <v>2.504502</v>
      </c>
      <c r="AA40" s="28">
        <v>0</v>
      </c>
      <c r="AB40" s="41">
        <f>Projection!$AA$27</f>
        <v>0.2321</v>
      </c>
      <c r="AC40" s="41">
        <f>Projection!$AA$30</f>
        <v>0.82128400199999985</v>
      </c>
      <c r="AD40" s="403">
        <f>SUM(AD8:AD38)</f>
        <v>253.28465042026997</v>
      </c>
      <c r="AE40" s="403">
        <f>SUM(AE8:AE38)</f>
        <v>138.00390753504826</v>
      </c>
      <c r="AF40" s="277">
        <f>SUM(AF8:AF38)</f>
        <v>376.94667254189659</v>
      </c>
      <c r="AG40" s="277">
        <f>SUM(AG8:AG38)</f>
        <v>236.7007836164407</v>
      </c>
      <c r="AH40" s="277">
        <f>SUM(AH8:AH38)</f>
        <v>135.38221328429069</v>
      </c>
      <c r="AI40" s="277">
        <f>IF(SUM(AG40:AH40)&gt;0, AG40/(AG40+AH40), 0)</f>
        <v>0.63615049757189124</v>
      </c>
      <c r="AJ40" s="313">
        <v>6.8000000000000005E-2</v>
      </c>
      <c r="AK40" s="313">
        <f t="shared" ref="AK40:AS40" si="2">$AJ$40</f>
        <v>6.8000000000000005E-2</v>
      </c>
      <c r="AL40" s="313">
        <f t="shared" si="2"/>
        <v>6.8000000000000005E-2</v>
      </c>
      <c r="AM40" s="313">
        <f t="shared" si="2"/>
        <v>6.8000000000000005E-2</v>
      </c>
      <c r="AN40" s="313">
        <f t="shared" si="2"/>
        <v>6.8000000000000005E-2</v>
      </c>
      <c r="AO40" s="313">
        <f t="shared" si="2"/>
        <v>6.8000000000000005E-2</v>
      </c>
      <c r="AP40" s="313">
        <f t="shared" si="2"/>
        <v>6.8000000000000005E-2</v>
      </c>
      <c r="AQ40" s="313">
        <f t="shared" si="2"/>
        <v>6.8000000000000005E-2</v>
      </c>
      <c r="AR40" s="313">
        <f t="shared" si="2"/>
        <v>6.8000000000000005E-2</v>
      </c>
      <c r="AS40" s="313">
        <f t="shared" si="2"/>
        <v>6.8000000000000005E-2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1855.5929183266601</v>
      </c>
      <c r="D41" s="36">
        <f t="shared" si="3"/>
        <v>49450.081916122115</v>
      </c>
      <c r="E41" s="36">
        <f t="shared" si="3"/>
        <v>1854.7910950059963</v>
      </c>
      <c r="F41" s="36">
        <f t="shared" si="3"/>
        <v>0</v>
      </c>
      <c r="G41" s="36">
        <f t="shared" si="3"/>
        <v>2514.6786418572142</v>
      </c>
      <c r="H41" s="37">
        <f t="shared" si="3"/>
        <v>2177.3293718565596</v>
      </c>
      <c r="I41" s="35">
        <f t="shared" si="3"/>
        <v>3906.9921495389158</v>
      </c>
      <c r="J41" s="36">
        <f t="shared" si="3"/>
        <v>12022.037740825239</v>
      </c>
      <c r="K41" s="36">
        <f t="shared" si="3"/>
        <v>2403.6000332626072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1399.3477169856151</v>
      </c>
      <c r="V41" s="268">
        <f t="shared" si="3"/>
        <v>800.2953646245827</v>
      </c>
      <c r="W41" s="268">
        <f t="shared" si="3"/>
        <v>593.114840760437</v>
      </c>
      <c r="X41" s="268">
        <f t="shared" si="3"/>
        <v>337.46807028373962</v>
      </c>
      <c r="Y41" s="268">
        <f t="shared" si="3"/>
        <v>10622.058298556552</v>
      </c>
      <c r="Z41" s="268">
        <f t="shared" si="3"/>
        <v>6082.1203795056372</v>
      </c>
      <c r="AA41" s="272">
        <f t="shared" si="3"/>
        <v>0</v>
      </c>
      <c r="AB41" s="275">
        <f t="shared" si="3"/>
        <v>364.56536746989218</v>
      </c>
      <c r="AC41" s="275">
        <f t="shared" si="3"/>
        <v>0</v>
      </c>
      <c r="AJ41" s="278">
        <f t="shared" ref="AJ41:AS41" si="4">AJ40*AJ39</f>
        <v>664.87950438642497</v>
      </c>
      <c r="AK41" s="278">
        <f t="shared" si="4"/>
        <v>2469.9138577084868</v>
      </c>
      <c r="AL41" s="278">
        <f t="shared" si="4"/>
        <v>6554.0740699562075</v>
      </c>
      <c r="AM41" s="278">
        <f t="shared" si="4"/>
        <v>1056.9629198395417</v>
      </c>
      <c r="AN41" s="278">
        <f t="shared" si="4"/>
        <v>7056.5474075856528</v>
      </c>
      <c r="AO41" s="278">
        <f t="shared" si="4"/>
        <v>5778.3518166066488</v>
      </c>
      <c r="AP41" s="278">
        <f t="shared" si="4"/>
        <v>1239.7107708494186</v>
      </c>
      <c r="AQ41" s="278">
        <f t="shared" si="4"/>
        <v>3645.4769054514572</v>
      </c>
      <c r="AR41" s="278">
        <f t="shared" si="4"/>
        <v>812.60748692639675</v>
      </c>
      <c r="AS41" s="278">
        <f t="shared" si="4"/>
        <v>1180.267043180339</v>
      </c>
    </row>
    <row r="42" spans="1:45" ht="49.5" customHeight="1" thickTop="1" thickBot="1" x14ac:dyDescent="0.3">
      <c r="A42" s="620" t="s">
        <v>224</v>
      </c>
      <c r="B42" s="621"/>
      <c r="C42" s="621"/>
      <c r="D42" s="621"/>
      <c r="E42" s="621"/>
      <c r="F42" s="621"/>
      <c r="G42" s="621"/>
      <c r="H42" s="621"/>
      <c r="I42" s="621"/>
      <c r="J42" s="621"/>
      <c r="K42" s="614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186</v>
      </c>
      <c r="AJ42" s="295">
        <v>1456.44</v>
      </c>
      <c r="AK42" s="278" t="s">
        <v>199</v>
      </c>
      <c r="AL42" s="278">
        <v>2834.13</v>
      </c>
      <c r="AM42" s="278">
        <v>1058.46</v>
      </c>
      <c r="AN42" s="278">
        <v>1464.04</v>
      </c>
      <c r="AO42" s="278">
        <v>7747.65</v>
      </c>
      <c r="AP42" s="278">
        <v>2606.63</v>
      </c>
      <c r="AQ42" s="278" t="s">
        <v>199</v>
      </c>
      <c r="AR42" s="278">
        <v>449.44</v>
      </c>
      <c r="AS42" s="278">
        <v>663.33</v>
      </c>
    </row>
    <row r="43" spans="1:45" ht="38.25" customHeight="1" thickTop="1" thickBot="1" x14ac:dyDescent="0.3">
      <c r="A43" s="617" t="s">
        <v>49</v>
      </c>
      <c r="B43" s="613"/>
      <c r="C43" s="289"/>
      <c r="D43" s="613" t="s">
        <v>47</v>
      </c>
      <c r="E43" s="613"/>
      <c r="F43" s="289"/>
      <c r="G43" s="613" t="s">
        <v>48</v>
      </c>
      <c r="H43" s="613"/>
      <c r="I43" s="290"/>
      <c r="J43" s="613" t="s">
        <v>50</v>
      </c>
      <c r="K43" s="614"/>
      <c r="L43" s="44"/>
      <c r="M43" s="44"/>
      <c r="N43" s="44"/>
      <c r="O43" s="45"/>
      <c r="P43" s="45"/>
      <c r="Q43" s="45"/>
      <c r="R43" s="602" t="s">
        <v>168</v>
      </c>
      <c r="S43" s="603"/>
      <c r="T43" s="603"/>
      <c r="U43" s="604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96384.073904981793</v>
      </c>
      <c r="C44" s="12"/>
      <c r="D44" s="282" t="s">
        <v>135</v>
      </c>
      <c r="E44" s="283">
        <f>SUM(B41:H41)+P41+R41+T41+V41+X41+Z41</f>
        <v>65072.357757582511</v>
      </c>
      <c r="F44" s="12"/>
      <c r="G44" s="282" t="s">
        <v>135</v>
      </c>
      <c r="H44" s="283">
        <f>SUM(I41:N41)+O41+Q41+S41+U41+W41+Y41</f>
        <v>30947.150779929369</v>
      </c>
      <c r="I44" s="12"/>
      <c r="J44" s="282" t="s">
        <v>200</v>
      </c>
      <c r="K44" s="283">
        <f>'[2]2017'!$D$145</f>
        <v>122268.13999999998</v>
      </c>
      <c r="L44" s="12"/>
      <c r="M44" s="12"/>
      <c r="N44" s="12"/>
      <c r="O44" s="12"/>
      <c r="P44" s="12"/>
      <c r="Q44" s="12"/>
      <c r="R44" s="301" t="s">
        <v>135</v>
      </c>
      <c r="S44" s="302"/>
      <c r="T44" s="297" t="s">
        <v>169</v>
      </c>
      <c r="U44" s="255" t="s">
        <v>170</v>
      </c>
    </row>
    <row r="45" spans="1:45" ht="24" thickBot="1" x14ac:dyDescent="0.4">
      <c r="A45" s="284" t="s">
        <v>185</v>
      </c>
      <c r="B45" s="285">
        <f>SUM(AJ41:AS41)</f>
        <v>30458.791782490578</v>
      </c>
      <c r="C45" s="12"/>
      <c r="D45" s="284" t="s">
        <v>185</v>
      </c>
      <c r="E45" s="285">
        <f>AJ41*(1-$AI$40)+AK41+AL41*0.5+AN41+AO41*(1-$AI$40)+AP41*(1-$AI$40)+AQ41*(1-$AI$40)+AR41*0.5+AS41*0.5</f>
        <v>17921.77518078815</v>
      </c>
      <c r="F45" s="24"/>
      <c r="G45" s="284" t="s">
        <v>185</v>
      </c>
      <c r="H45" s="285">
        <f>AJ41*AI40+AL41*0.5+AM41+AO41*AI40+AP41*AI40+AQ41*AI40+AR41*0.5+AS41*0.5</f>
        <v>12537.016601702426</v>
      </c>
      <c r="I45" s="12"/>
      <c r="J45" s="12"/>
      <c r="K45" s="288"/>
      <c r="L45" s="12"/>
      <c r="M45" s="12"/>
      <c r="N45" s="12"/>
      <c r="O45" s="12"/>
      <c r="P45" s="12"/>
      <c r="Q45" s="12"/>
      <c r="R45" s="299" t="s">
        <v>141</v>
      </c>
      <c r="S45" s="300"/>
      <c r="T45" s="254">
        <f>$W$39+$X$39</f>
        <v>1251.6341900825505</v>
      </c>
      <c r="U45" s="256">
        <f>(T45*8.34*0.895)/27000</f>
        <v>0.34602122537159935</v>
      </c>
    </row>
    <row r="46" spans="1:45" ht="32.25" thickBot="1" x14ac:dyDescent="0.3">
      <c r="A46" s="286" t="s">
        <v>186</v>
      </c>
      <c r="B46" s="287">
        <f>SUM(AJ42:AS42)</f>
        <v>18280.12</v>
      </c>
      <c r="C46" s="12"/>
      <c r="D46" s="286" t="s">
        <v>186</v>
      </c>
      <c r="E46" s="287">
        <f>AJ42*(1-$AI$40)+AL42*0.5+AN42+AO42*(1-$AI$40)+AP42*(1-$AI$40)+AR42*0.5+AS42*0.5</f>
        <v>7734.8145953177136</v>
      </c>
      <c r="F46" s="23"/>
      <c r="G46" s="286" t="s">
        <v>186</v>
      </c>
      <c r="H46" s="287">
        <f>AJ42*AI40+AL42*0.5+AM42+AO42*AI40+AP42*AI40+AR42*0.5+AS42*0.5</f>
        <v>10545.305404682289</v>
      </c>
      <c r="I46" s="12"/>
      <c r="J46" s="615" t="s">
        <v>201</v>
      </c>
      <c r="K46" s="616"/>
      <c r="L46" s="12"/>
      <c r="M46" s="12"/>
      <c r="N46" s="12"/>
      <c r="O46" s="12"/>
      <c r="P46" s="12"/>
      <c r="Q46" s="12"/>
      <c r="R46" s="299" t="s">
        <v>145</v>
      </c>
      <c r="S46" s="300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187</v>
      </c>
      <c r="B47" s="287">
        <f>K44</f>
        <v>122268.13999999998</v>
      </c>
      <c r="C47" s="12"/>
      <c r="D47" s="286" t="s">
        <v>189</v>
      </c>
      <c r="E47" s="287">
        <f>K44*0.5</f>
        <v>61134.069999999992</v>
      </c>
      <c r="F47" s="24"/>
      <c r="G47" s="286" t="s">
        <v>187</v>
      </c>
      <c r="H47" s="287">
        <f>K44*0.5</f>
        <v>61134.069999999992</v>
      </c>
      <c r="I47" s="12"/>
      <c r="J47" s="282" t="s">
        <v>200</v>
      </c>
      <c r="K47" s="283">
        <f>'[2]2017'!$D$147</f>
        <v>46485.97</v>
      </c>
      <c r="L47" s="12"/>
      <c r="M47" s="12"/>
      <c r="N47" s="12"/>
      <c r="O47" s="12"/>
      <c r="P47" s="12"/>
      <c r="Q47" s="12"/>
      <c r="R47" s="299" t="s">
        <v>148</v>
      </c>
      <c r="S47" s="300"/>
      <c r="T47" s="254">
        <f>$G$39</f>
        <v>45502.192017682333</v>
      </c>
      <c r="U47" s="256">
        <f>T47/40000</f>
        <v>1.1375548004420584</v>
      </c>
    </row>
    <row r="48" spans="1:45" ht="24" thickBot="1" x14ac:dyDescent="0.3">
      <c r="A48" s="286" t="s">
        <v>188</v>
      </c>
      <c r="B48" s="287">
        <f>K47</f>
        <v>46485.97</v>
      </c>
      <c r="C48" s="12"/>
      <c r="D48" s="286" t="s">
        <v>188</v>
      </c>
      <c r="E48" s="287">
        <f>K47*0.5</f>
        <v>23242.985000000001</v>
      </c>
      <c r="F48" s="23"/>
      <c r="G48" s="286" t="s">
        <v>188</v>
      </c>
      <c r="H48" s="287">
        <f>K47*0.5</f>
        <v>23242.985000000001</v>
      </c>
      <c r="I48" s="12"/>
      <c r="J48" s="12"/>
      <c r="K48" s="86"/>
      <c r="L48" s="12"/>
      <c r="M48" s="12"/>
      <c r="N48" s="12"/>
      <c r="O48" s="12"/>
      <c r="P48" s="12"/>
      <c r="Q48" s="12"/>
      <c r="R48" s="299" t="s">
        <v>150</v>
      </c>
      <c r="S48" s="300"/>
      <c r="T48" s="254">
        <f>$L$39</f>
        <v>2.3569146156310641</v>
      </c>
      <c r="U48" s="256">
        <f>T48*9.34*0.107</f>
        <v>2.3554533285693728</v>
      </c>
    </row>
    <row r="49" spans="1:25" ht="48" thickTop="1" thickBot="1" x14ac:dyDescent="0.3">
      <c r="A49" s="291" t="s">
        <v>196</v>
      </c>
      <c r="B49" s="292">
        <f>AF40</f>
        <v>376.94667254189659</v>
      </c>
      <c r="C49" s="12"/>
      <c r="D49" s="291" t="s">
        <v>197</v>
      </c>
      <c r="E49" s="292">
        <f>AH40</f>
        <v>135.38221328429069</v>
      </c>
      <c r="F49" s="23"/>
      <c r="G49" s="291" t="s">
        <v>198</v>
      </c>
      <c r="H49" s="292">
        <f>AG40</f>
        <v>236.7007836164407</v>
      </c>
      <c r="I49" s="12"/>
      <c r="J49" s="12"/>
      <c r="K49" s="86"/>
      <c r="L49" s="12"/>
      <c r="M49" s="12"/>
      <c r="N49" s="12"/>
      <c r="O49" s="12"/>
      <c r="P49" s="12"/>
      <c r="Q49" s="12"/>
      <c r="R49" s="299" t="s">
        <v>152</v>
      </c>
      <c r="S49" s="300"/>
      <c r="T49" s="254">
        <f>$E$39+$K$39</f>
        <v>1067.3044661934173</v>
      </c>
      <c r="U49" s="256">
        <f>(T49*8.34*1.04)/45000</f>
        <v>0.20571937817722719</v>
      </c>
    </row>
    <row r="50" spans="1:25" ht="48" customHeight="1" thickTop="1" thickBot="1" x14ac:dyDescent="0.3">
      <c r="A50" s="291" t="s">
        <v>238</v>
      </c>
      <c r="B50" s="292">
        <f>SUM(E50,H50)</f>
        <v>391.2885579553182</v>
      </c>
      <c r="C50" s="12"/>
      <c r="D50" s="291" t="s">
        <v>239</v>
      </c>
      <c r="E50" s="292">
        <f>AE40</f>
        <v>138.00390753504826</v>
      </c>
      <c r="F50" s="23"/>
      <c r="G50" s="291" t="s">
        <v>240</v>
      </c>
      <c r="H50" s="292">
        <f>AD40</f>
        <v>253.28465042026997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192</v>
      </c>
      <c r="B51" s="293">
        <f>(SUM(B44:B48)/B50)</f>
        <v>802.1627244293569</v>
      </c>
      <c r="C51" s="12"/>
      <c r="D51" s="291" t="s">
        <v>190</v>
      </c>
      <c r="E51" s="293">
        <f>SUM(E44:E48)/E50</f>
        <v>1268.8481482976667</v>
      </c>
      <c r="F51" s="23"/>
      <c r="G51" s="291" t="s">
        <v>191</v>
      </c>
      <c r="H51" s="293">
        <f>SUM(H44:H48)/H50</f>
        <v>546.44656735676244</v>
      </c>
      <c r="I51" s="12"/>
      <c r="J51" s="12"/>
      <c r="K51" s="86"/>
      <c r="L51" s="12"/>
      <c r="M51" s="12"/>
      <c r="N51" s="12"/>
      <c r="O51" s="12"/>
      <c r="P51" s="12"/>
      <c r="Q51" s="12"/>
      <c r="R51" s="299" t="s">
        <v>153</v>
      </c>
      <c r="S51" s="300"/>
      <c r="T51" s="254">
        <f>$U$39+$V$39+$AB$39</f>
        <v>11047.860616458809</v>
      </c>
      <c r="U51" s="256">
        <f>T51/2000/8</f>
        <v>0.69049128852867558</v>
      </c>
    </row>
    <row r="52" spans="1:25" ht="47.25" customHeight="1" thickTop="1" thickBot="1" x14ac:dyDescent="0.3">
      <c r="A52" s="281" t="s">
        <v>193</v>
      </c>
      <c r="B52" s="294">
        <f>B51/1000</f>
        <v>0.80216272442935688</v>
      </c>
      <c r="C52" s="12"/>
      <c r="D52" s="281" t="s">
        <v>194</v>
      </c>
      <c r="E52" s="294">
        <f>E51/1000</f>
        <v>1.2688481482976668</v>
      </c>
      <c r="F52" s="374">
        <f>E44/E49</f>
        <v>480.65662526092927</v>
      </c>
      <c r="G52" s="281" t="s">
        <v>195</v>
      </c>
      <c r="H52" s="294">
        <f>H51/1000</f>
        <v>0.54644656735676245</v>
      </c>
      <c r="I52" s="374">
        <f>H44/H49</f>
        <v>130.74376141516015</v>
      </c>
      <c r="J52" s="12"/>
      <c r="K52" s="86"/>
      <c r="L52" s="12"/>
      <c r="M52" s="12"/>
      <c r="N52" s="12"/>
      <c r="O52" s="12"/>
      <c r="P52" s="12"/>
      <c r="Q52" s="12"/>
      <c r="R52" s="299" t="s">
        <v>154</v>
      </c>
      <c r="S52" s="300"/>
      <c r="T52" s="254">
        <f>$C$39+$J$39+$S$39+$T$39</f>
        <v>12663.11901848516</v>
      </c>
      <c r="U52" s="256">
        <f>(T52*8.34*1.4)/45000</f>
        <v>3.2856572813296161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299" t="s">
        <v>155</v>
      </c>
      <c r="S53" s="300"/>
      <c r="T53" s="254">
        <f>$H$39</f>
        <v>694.91906274755843</v>
      </c>
      <c r="U53" s="256">
        <f>(T53*8.34*1.135)/45000</f>
        <v>0.14617854124582474</v>
      </c>
    </row>
    <row r="54" spans="1:25" ht="48" customHeight="1" thickTop="1" thickBot="1" x14ac:dyDescent="0.3">
      <c r="A54" s="605" t="s">
        <v>51</v>
      </c>
      <c r="B54" s="606"/>
      <c r="C54" s="606"/>
      <c r="D54" s="606"/>
      <c r="E54" s="60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299" t="s">
        <v>156</v>
      </c>
      <c r="S54" s="300"/>
      <c r="T54" s="254">
        <f>$B$39+$I$39+$AC$39</f>
        <v>4757.175520312785</v>
      </c>
      <c r="U54" s="256">
        <f>(T54*8.34*1.029*0.03)/3300</f>
        <v>0.37114013009774066</v>
      </c>
    </row>
    <row r="55" spans="1:25" ht="57" customHeight="1" thickBot="1" x14ac:dyDescent="0.3">
      <c r="A55" s="610" t="s">
        <v>202</v>
      </c>
      <c r="B55" s="611"/>
      <c r="C55" s="611"/>
      <c r="D55" s="611"/>
      <c r="E55" s="61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18" t="s">
        <v>158</v>
      </c>
      <c r="S55" s="619"/>
      <c r="T55" s="258">
        <f>$D$39+$Y$39+$Z$39</f>
        <v>26414.137658578155</v>
      </c>
      <c r="U55" s="259">
        <f>(T55*1.54*8.34)/45000</f>
        <v>7.5389470762603192</v>
      </c>
    </row>
    <row r="56" spans="1:25" ht="15.75" thickTop="1" x14ac:dyDescent="0.25">
      <c r="A56" s="304"/>
      <c r="B56" s="304"/>
      <c r="C56" s="304"/>
      <c r="D56" s="304"/>
      <c r="E56" s="304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601"/>
      <c r="S56" s="601"/>
      <c r="T56" s="311"/>
      <c r="U56" s="312"/>
    </row>
    <row r="57" spans="1:25" x14ac:dyDescent="0.25">
      <c r="A57" s="315"/>
      <c r="B57" s="31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322"/>
      <c r="B58" s="31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316"/>
      <c r="B59" s="31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322"/>
      <c r="B60" s="31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316"/>
      <c r="B61" s="316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2NHVucWxshjbCjbtT58KhLECYT/vPN4sU1Ybr1tXBCO6avVr0wT9j9mMphVw2Xc6uUdo2gSroiplvMojaXSzIQ==" saltValue="PljKeHmnIGIq//UJf2PyQg==" spinCount="100000" sheet="1" objects="1" scenarios="1" selectLockedCells="1" selectUnlockedCells="1"/>
  <mergeCells count="33">
    <mergeCell ref="AP4:AP5"/>
    <mergeCell ref="AQ4:AQ5"/>
    <mergeCell ref="AR4:AR5"/>
    <mergeCell ref="AS4:AS5"/>
    <mergeCell ref="AJ4:AJ5"/>
    <mergeCell ref="AK4:AK5"/>
    <mergeCell ref="AL4:AL5"/>
    <mergeCell ref="AM4:AM5"/>
    <mergeCell ref="AO4:AO5"/>
    <mergeCell ref="AN4:AN5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AE4:AE5"/>
    <mergeCell ref="R56:S56"/>
    <mergeCell ref="R43:U43"/>
    <mergeCell ref="A54:E54"/>
    <mergeCell ref="AD4:AD5"/>
    <mergeCell ref="A55:E55"/>
    <mergeCell ref="J43:K43"/>
    <mergeCell ref="J46:K46"/>
    <mergeCell ref="A43:B43"/>
    <mergeCell ref="D43:E43"/>
    <mergeCell ref="G43:H43"/>
    <mergeCell ref="R55:S55"/>
    <mergeCell ref="A42:K42"/>
  </mergeCells>
  <pageMargins left="0.33" right="0.19" top="0.75" bottom="0.75" header="0.3" footer="0.3"/>
  <pageSetup scale="5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64"/>
  <sheetViews>
    <sheetView topLeftCell="A28" zoomScale="80" zoomScaleNormal="80" workbookViewId="0">
      <selection activeCell="X31" sqref="X31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425781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6" width="20.28515625" customWidth="1"/>
    <col min="47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23" t="s">
        <v>3</v>
      </c>
      <c r="C4" s="624"/>
      <c r="D4" s="624"/>
      <c r="E4" s="624"/>
      <c r="F4" s="624"/>
      <c r="G4" s="624"/>
      <c r="H4" s="625"/>
      <c r="I4" s="623" t="s">
        <v>4</v>
      </c>
      <c r="J4" s="624"/>
      <c r="K4" s="624"/>
      <c r="L4" s="624"/>
      <c r="M4" s="624"/>
      <c r="N4" s="625"/>
      <c r="O4" s="629" t="s">
        <v>5</v>
      </c>
      <c r="P4" s="630"/>
      <c r="Q4" s="631"/>
      <c r="R4" s="631"/>
      <c r="S4" s="631"/>
      <c r="T4" s="632"/>
      <c r="U4" s="623" t="s">
        <v>6</v>
      </c>
      <c r="V4" s="636"/>
      <c r="W4" s="636"/>
      <c r="X4" s="636"/>
      <c r="Y4" s="636"/>
      <c r="Z4" s="636"/>
      <c r="AA4" s="637"/>
      <c r="AB4" s="641" t="s">
        <v>7</v>
      </c>
      <c r="AC4" s="643" t="s">
        <v>8</v>
      </c>
      <c r="AD4" s="608" t="s">
        <v>237</v>
      </c>
      <c r="AE4" s="608" t="s">
        <v>236</v>
      </c>
      <c r="AF4" s="608" t="s">
        <v>27</v>
      </c>
      <c r="AG4" s="608" t="s">
        <v>31</v>
      </c>
      <c r="AH4" s="608" t="s">
        <v>32</v>
      </c>
      <c r="AI4" s="608" t="s">
        <v>33</v>
      </c>
      <c r="AJ4" s="641" t="s">
        <v>175</v>
      </c>
      <c r="AK4" s="641" t="s">
        <v>176</v>
      </c>
      <c r="AL4" s="641" t="s">
        <v>177</v>
      </c>
      <c r="AM4" s="641" t="s">
        <v>178</v>
      </c>
      <c r="AN4" s="641" t="s">
        <v>179</v>
      </c>
      <c r="AO4" s="641" t="s">
        <v>180</v>
      </c>
      <c r="AP4" s="641" t="s">
        <v>181</v>
      </c>
      <c r="AQ4" s="641" t="s">
        <v>184</v>
      </c>
      <c r="AR4" s="641" t="s">
        <v>182</v>
      </c>
      <c r="AS4" s="641" t="s">
        <v>183</v>
      </c>
    </row>
    <row r="5" spans="1:49" ht="30" customHeight="1" thickBot="1" x14ac:dyDescent="0.3">
      <c r="A5" s="13"/>
      <c r="B5" s="626"/>
      <c r="C5" s="627"/>
      <c r="D5" s="627"/>
      <c r="E5" s="627"/>
      <c r="F5" s="627"/>
      <c r="G5" s="627"/>
      <c r="H5" s="628"/>
      <c r="I5" s="626"/>
      <c r="J5" s="627"/>
      <c r="K5" s="627"/>
      <c r="L5" s="627"/>
      <c r="M5" s="627"/>
      <c r="N5" s="628"/>
      <c r="O5" s="633"/>
      <c r="P5" s="634"/>
      <c r="Q5" s="634"/>
      <c r="R5" s="634"/>
      <c r="S5" s="634"/>
      <c r="T5" s="635"/>
      <c r="U5" s="638"/>
      <c r="V5" s="639"/>
      <c r="W5" s="639"/>
      <c r="X5" s="639"/>
      <c r="Y5" s="639"/>
      <c r="Z5" s="639"/>
      <c r="AA5" s="640"/>
      <c r="AB5" s="642"/>
      <c r="AC5" s="644"/>
      <c r="AD5" s="609"/>
      <c r="AE5" s="609"/>
      <c r="AF5" s="622"/>
      <c r="AG5" s="622"/>
      <c r="AH5" s="622"/>
      <c r="AI5" s="622"/>
      <c r="AJ5" s="609"/>
      <c r="AK5" s="609"/>
      <c r="AL5" s="609"/>
      <c r="AM5" s="609"/>
      <c r="AN5" s="609"/>
      <c r="AO5" s="609"/>
      <c r="AP5" s="609"/>
      <c r="AQ5" s="609"/>
      <c r="AR5" s="609"/>
      <c r="AS5" s="609"/>
      <c r="AV5" t="s">
        <v>171</v>
      </c>
      <c r="AW5" s="338" t="s">
        <v>209</v>
      </c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6" t="s">
        <v>23</v>
      </c>
      <c r="AD7" s="399" t="s">
        <v>28</v>
      </c>
      <c r="AE7" s="399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  <c r="AR7" s="22" t="s">
        <v>172</v>
      </c>
      <c r="AS7" s="22" t="s">
        <v>172</v>
      </c>
    </row>
    <row r="8" spans="1:49" x14ac:dyDescent="0.25">
      <c r="A8" s="11">
        <v>42767</v>
      </c>
      <c r="B8" s="49"/>
      <c r="C8" s="50">
        <v>54.642065711816159</v>
      </c>
      <c r="D8" s="50">
        <v>653.74089895884185</v>
      </c>
      <c r="E8" s="50">
        <v>15.337265479564618</v>
      </c>
      <c r="F8" s="50">
        <v>0</v>
      </c>
      <c r="G8" s="50">
        <v>1429.5035866419428</v>
      </c>
      <c r="H8" s="51">
        <v>22.701272513469053</v>
      </c>
      <c r="I8" s="49">
        <v>25.944170713424683</v>
      </c>
      <c r="J8" s="50">
        <v>369.56760152180914</v>
      </c>
      <c r="K8" s="50">
        <v>20.618234215180092</v>
      </c>
      <c r="L8" s="50">
        <v>1.039115190505964E-2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192.00680362981873</v>
      </c>
      <c r="V8" s="54">
        <v>111.4858085307615</v>
      </c>
      <c r="W8" s="54">
        <v>28.816517013909511</v>
      </c>
      <c r="X8" s="54">
        <v>16.7318690671502</v>
      </c>
      <c r="Y8" s="54">
        <v>131.45653184060345</v>
      </c>
      <c r="Z8" s="54">
        <v>76.328220989266327</v>
      </c>
      <c r="AA8" s="55">
        <v>0</v>
      </c>
      <c r="AB8" s="56">
        <v>51.546773012480401</v>
      </c>
      <c r="AC8" s="57">
        <v>0</v>
      </c>
      <c r="AD8" s="400">
        <v>8.0446731846424893</v>
      </c>
      <c r="AE8" s="400">
        <v>4.4892413693311388</v>
      </c>
      <c r="AF8" s="57">
        <v>12.45945840279262</v>
      </c>
      <c r="AG8" s="58">
        <v>7.7499326463734812</v>
      </c>
      <c r="AH8" s="58">
        <v>4.4998796438779474</v>
      </c>
      <c r="AI8" s="58">
        <v>0.63265725733128053</v>
      </c>
      <c r="AJ8" s="57">
        <v>355.22748168309533</v>
      </c>
      <c r="AK8" s="57">
        <v>1188.1678032557172</v>
      </c>
      <c r="AL8" s="57">
        <v>3246.2690355936679</v>
      </c>
      <c r="AM8" s="57">
        <v>508.19382187525429</v>
      </c>
      <c r="AN8" s="57">
        <v>3954.100657399495</v>
      </c>
      <c r="AO8" s="57">
        <v>2643.3548796335858</v>
      </c>
      <c r="AP8" s="57">
        <v>726.96052551269531</v>
      </c>
      <c r="AQ8" s="57">
        <v>1650.8252563476562</v>
      </c>
      <c r="AR8" s="57">
        <v>406.96457036336255</v>
      </c>
      <c r="AS8" s="57">
        <v>683.28881769180305</v>
      </c>
    </row>
    <row r="9" spans="1:49" x14ac:dyDescent="0.25">
      <c r="A9" s="11">
        <v>42768</v>
      </c>
      <c r="B9" s="59"/>
      <c r="C9" s="60">
        <v>54.561868119239449</v>
      </c>
      <c r="D9" s="60">
        <v>657.30478226343814</v>
      </c>
      <c r="E9" s="60">
        <v>15.639014180501297</v>
      </c>
      <c r="F9" s="60">
        <v>0</v>
      </c>
      <c r="G9" s="60">
        <v>1460.5386855443282</v>
      </c>
      <c r="H9" s="61">
        <v>22.683633714914318</v>
      </c>
      <c r="I9" s="59">
        <v>51.571311056613922</v>
      </c>
      <c r="J9" s="60">
        <v>413.59211242993655</v>
      </c>
      <c r="K9" s="60">
        <v>22.880029894908301</v>
      </c>
      <c r="L9" s="50">
        <v>1.5588629245757792E-2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191.70766804252628</v>
      </c>
      <c r="V9" s="62">
        <v>111.28808776768544</v>
      </c>
      <c r="W9" s="62">
        <v>29.038929622229745</v>
      </c>
      <c r="X9" s="62">
        <v>16.857369251194811</v>
      </c>
      <c r="Y9" s="66">
        <v>131.30142502683742</v>
      </c>
      <c r="Z9" s="66">
        <v>76.221700788553875</v>
      </c>
      <c r="AA9" s="67">
        <v>0</v>
      </c>
      <c r="AB9" s="68">
        <v>55.777057547039547</v>
      </c>
      <c r="AC9" s="69">
        <v>0</v>
      </c>
      <c r="AD9" s="401">
        <v>9.0023940387502499</v>
      </c>
      <c r="AE9" s="401">
        <v>4.4860599765450031</v>
      </c>
      <c r="AF9" s="69">
        <v>12.45848809083305</v>
      </c>
      <c r="AG9" s="68">
        <v>7.751445297606451</v>
      </c>
      <c r="AH9" s="68">
        <v>4.4997862287651422</v>
      </c>
      <c r="AI9" s="68">
        <v>0.63270743687448461</v>
      </c>
      <c r="AJ9" s="69">
        <v>357.53867537180582</v>
      </c>
      <c r="AK9" s="69">
        <v>1230.9091740290323</v>
      </c>
      <c r="AL9" s="69">
        <v>3231.717311350505</v>
      </c>
      <c r="AM9" s="69">
        <v>530.58586449623101</v>
      </c>
      <c r="AN9" s="69">
        <v>4135.4637646993006</v>
      </c>
      <c r="AO9" s="69">
        <v>2703.7440493265785</v>
      </c>
      <c r="AP9" s="69">
        <v>726.96052551269531</v>
      </c>
      <c r="AQ9" s="69">
        <v>1650.8252563476562</v>
      </c>
      <c r="AR9" s="69">
        <v>409.22717755635574</v>
      </c>
      <c r="AS9" s="69">
        <v>674.55445124308289</v>
      </c>
    </row>
    <row r="10" spans="1:49" x14ac:dyDescent="0.25">
      <c r="A10" s="11">
        <v>42769</v>
      </c>
      <c r="B10" s="59"/>
      <c r="C10" s="60">
        <v>56.084379152456151</v>
      </c>
      <c r="D10" s="60">
        <v>644.2215721766139</v>
      </c>
      <c r="E10" s="60">
        <v>15.575029198328592</v>
      </c>
      <c r="F10" s="60">
        <v>0</v>
      </c>
      <c r="G10" s="60">
        <v>1472.0156495412168</v>
      </c>
      <c r="H10" s="61">
        <v>22.97667130132513</v>
      </c>
      <c r="I10" s="59">
        <v>79.72751647233963</v>
      </c>
      <c r="J10" s="60">
        <v>377.96835212707475</v>
      </c>
      <c r="K10" s="60">
        <v>20.609689115484571</v>
      </c>
      <c r="L10" s="50">
        <v>1.5530931949615252E-2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192.96393846760583</v>
      </c>
      <c r="V10" s="62">
        <v>112.0368599485377</v>
      </c>
      <c r="W10" s="62">
        <v>29.043293225333844</v>
      </c>
      <c r="X10" s="62">
        <v>16.862836659385966</v>
      </c>
      <c r="Y10" s="66">
        <v>130.78850454545292</v>
      </c>
      <c r="Z10" s="66">
        <v>75.937159466184482</v>
      </c>
      <c r="AA10" s="67">
        <v>0</v>
      </c>
      <c r="AB10" s="68">
        <v>52.599052829212553</v>
      </c>
      <c r="AC10" s="69">
        <v>0</v>
      </c>
      <c r="AD10" s="401">
        <v>8.2281140611630725</v>
      </c>
      <c r="AE10" s="401">
        <v>4.5304263480143643</v>
      </c>
      <c r="AF10" s="69">
        <v>12.451219255394406</v>
      </c>
      <c r="AG10" s="68">
        <v>7.7504378302543504</v>
      </c>
      <c r="AH10" s="68">
        <v>4.4999844251926291</v>
      </c>
      <c r="AI10" s="68">
        <v>0.63266699454447184</v>
      </c>
      <c r="AJ10" s="69">
        <v>349.81238998572036</v>
      </c>
      <c r="AK10" s="69">
        <v>1224.3769419987996</v>
      </c>
      <c r="AL10" s="69">
        <v>3250.5084490458171</v>
      </c>
      <c r="AM10" s="69">
        <v>533.42355515162149</v>
      </c>
      <c r="AN10" s="69">
        <v>4474.7475044250486</v>
      </c>
      <c r="AO10" s="69">
        <v>2715.3402211507155</v>
      </c>
      <c r="AP10" s="69">
        <v>726.96052551269531</v>
      </c>
      <c r="AQ10" s="69">
        <v>1650.8252563476562</v>
      </c>
      <c r="AR10" s="69">
        <v>441.56165390014644</v>
      </c>
      <c r="AS10" s="69">
        <v>559.86752535502114</v>
      </c>
    </row>
    <row r="11" spans="1:49" x14ac:dyDescent="0.25">
      <c r="A11" s="11">
        <v>42770</v>
      </c>
      <c r="B11" s="59"/>
      <c r="C11" s="60">
        <v>56.53787579139059</v>
      </c>
      <c r="D11" s="60">
        <v>630.39363079071086</v>
      </c>
      <c r="E11" s="60">
        <v>15.651494099696448</v>
      </c>
      <c r="F11" s="60">
        <v>0</v>
      </c>
      <c r="G11" s="60">
        <v>1501.2519665400193</v>
      </c>
      <c r="H11" s="61">
        <v>23.143558567762355</v>
      </c>
      <c r="I11" s="59">
        <v>79.912866055965424</v>
      </c>
      <c r="J11" s="60">
        <v>378.1863618532808</v>
      </c>
      <c r="K11" s="60">
        <v>21.03868191738928</v>
      </c>
      <c r="L11" s="50">
        <v>8.2867741584776635E-3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198.20622162880414</v>
      </c>
      <c r="V11" s="62">
        <v>115.08417590927826</v>
      </c>
      <c r="W11" s="62">
        <v>28.944274573897957</v>
      </c>
      <c r="X11" s="62">
        <v>16.805869963391928</v>
      </c>
      <c r="Y11" s="66">
        <v>130.87332187897911</v>
      </c>
      <c r="Z11" s="66">
        <v>75.988777108918143</v>
      </c>
      <c r="AA11" s="67">
        <v>0</v>
      </c>
      <c r="AB11" s="68">
        <v>52.987312528822976</v>
      </c>
      <c r="AC11" s="69">
        <v>0</v>
      </c>
      <c r="AD11" s="401">
        <v>8.2320301145749646</v>
      </c>
      <c r="AE11" s="401">
        <v>4.5637763442992414</v>
      </c>
      <c r="AF11" s="69">
        <v>12.45373127924071</v>
      </c>
      <c r="AG11" s="68">
        <v>7.7511911557895923</v>
      </c>
      <c r="AH11" s="68">
        <v>4.5005622888565098</v>
      </c>
      <c r="AI11" s="68">
        <v>0.63265974056772978</v>
      </c>
      <c r="AJ11" s="69">
        <v>367.89957811037698</v>
      </c>
      <c r="AK11" s="69">
        <v>1179.1551125844319</v>
      </c>
      <c r="AL11" s="69">
        <v>3229.1468466440842</v>
      </c>
      <c r="AM11" s="69">
        <v>507.4902705828348</v>
      </c>
      <c r="AN11" s="69">
        <v>4462.1138412475593</v>
      </c>
      <c r="AO11" s="69">
        <v>2541.3055735270186</v>
      </c>
      <c r="AP11" s="69">
        <v>726.96052551269531</v>
      </c>
      <c r="AQ11" s="69">
        <v>1650.8252563476562</v>
      </c>
      <c r="AR11" s="69">
        <v>437.17905197143551</v>
      </c>
      <c r="AS11" s="69">
        <v>525.82370891571054</v>
      </c>
    </row>
    <row r="12" spans="1:49" x14ac:dyDescent="0.25">
      <c r="A12" s="11">
        <v>42771</v>
      </c>
      <c r="B12" s="59"/>
      <c r="C12" s="60">
        <v>54.415162436167236</v>
      </c>
      <c r="D12" s="60">
        <v>613.30444027582894</v>
      </c>
      <c r="E12" s="60">
        <v>15.721410775184632</v>
      </c>
      <c r="F12" s="60">
        <v>0</v>
      </c>
      <c r="G12" s="60">
        <v>1606.9830111185693</v>
      </c>
      <c r="H12" s="61">
        <v>22.68584514657654</v>
      </c>
      <c r="I12" s="59">
        <v>79.889705836772919</v>
      </c>
      <c r="J12" s="60">
        <v>378.31293929417848</v>
      </c>
      <c r="K12" s="60">
        <v>21.303429023424801</v>
      </c>
      <c r="L12" s="50">
        <v>1.5861511230468789E-3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196.41430794707617</v>
      </c>
      <c r="V12" s="62">
        <v>104.23978316739088</v>
      </c>
      <c r="W12" s="62">
        <v>28.7787577943412</v>
      </c>
      <c r="X12" s="62">
        <v>15.273283823688178</v>
      </c>
      <c r="Y12" s="66">
        <v>129.5348115129477</v>
      </c>
      <c r="Z12" s="66">
        <v>68.745911669412664</v>
      </c>
      <c r="AA12" s="67">
        <v>0</v>
      </c>
      <c r="AB12" s="68">
        <v>52.779114519226162</v>
      </c>
      <c r="AC12" s="69">
        <v>0</v>
      </c>
      <c r="AD12" s="401">
        <v>8.2349812645359037</v>
      </c>
      <c r="AE12" s="401">
        <v>4.4837361662568265</v>
      </c>
      <c r="AF12" s="69">
        <v>11.935413686434426</v>
      </c>
      <c r="AG12" s="68">
        <v>7.6611948344815435</v>
      </c>
      <c r="AH12" s="68">
        <v>4.0659018006197112</v>
      </c>
      <c r="AI12" s="68">
        <v>0.65328998923316162</v>
      </c>
      <c r="AJ12" s="69">
        <v>372.41744354565935</v>
      </c>
      <c r="AK12" s="69">
        <v>1151.8497566858928</v>
      </c>
      <c r="AL12" s="69">
        <v>3283.4257235209157</v>
      </c>
      <c r="AM12" s="69">
        <v>551.28323958714793</v>
      </c>
      <c r="AN12" s="69">
        <v>4440.1782880147293</v>
      </c>
      <c r="AO12" s="69">
        <v>2608.930506896972</v>
      </c>
      <c r="AP12" s="69">
        <v>726.96052551269531</v>
      </c>
      <c r="AQ12" s="69">
        <v>1650.8252563476562</v>
      </c>
      <c r="AR12" s="69">
        <v>435.85404307047531</v>
      </c>
      <c r="AS12" s="69">
        <v>511.60115512212121</v>
      </c>
    </row>
    <row r="13" spans="1:49" x14ac:dyDescent="0.25">
      <c r="A13" s="11">
        <v>42772</v>
      </c>
      <c r="B13" s="59"/>
      <c r="C13" s="60">
        <v>54.802588472763695</v>
      </c>
      <c r="D13" s="60">
        <v>610.39690564473574</v>
      </c>
      <c r="E13" s="60">
        <v>15.359800729155561</v>
      </c>
      <c r="F13" s="60">
        <v>0</v>
      </c>
      <c r="G13" s="60">
        <v>1615.9766234079948</v>
      </c>
      <c r="H13" s="61">
        <v>22.592208207646998</v>
      </c>
      <c r="I13" s="59">
        <v>79.816939115524292</v>
      </c>
      <c r="J13" s="60">
        <v>377.69170554478882</v>
      </c>
      <c r="K13" s="60">
        <v>21.342899116873774</v>
      </c>
      <c r="L13" s="50">
        <v>4.4374465942382786E-4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193.02496260752406</v>
      </c>
      <c r="V13" s="62">
        <v>102.05803078330172</v>
      </c>
      <c r="W13" s="62">
        <v>28.237964590214364</v>
      </c>
      <c r="X13" s="62">
        <v>14.930250577308209</v>
      </c>
      <c r="Y13" s="66">
        <v>127.53988805360889</v>
      </c>
      <c r="Z13" s="66">
        <v>67.434126888242659</v>
      </c>
      <c r="AA13" s="67">
        <v>0</v>
      </c>
      <c r="AB13" s="68">
        <v>52.577667231029714</v>
      </c>
      <c r="AC13" s="69">
        <v>0</v>
      </c>
      <c r="AD13" s="401">
        <v>8.2204983027484744</v>
      </c>
      <c r="AE13" s="401">
        <v>4.4810066131915907</v>
      </c>
      <c r="AF13" s="69">
        <v>11.726197332143792</v>
      </c>
      <c r="AG13" s="68">
        <v>7.5400132553748982</v>
      </c>
      <c r="AH13" s="68">
        <v>3.9866289547648326</v>
      </c>
      <c r="AI13" s="68">
        <v>0.65413787622748598</v>
      </c>
      <c r="AJ13" s="69">
        <v>428.26292440096546</v>
      </c>
      <c r="AK13" s="69">
        <v>1196.0254342397054</v>
      </c>
      <c r="AL13" s="69">
        <v>3274.797488657633</v>
      </c>
      <c r="AM13" s="69">
        <v>563.00509780248024</v>
      </c>
      <c r="AN13" s="69">
        <v>4510.6409729003917</v>
      </c>
      <c r="AO13" s="69">
        <v>2624.0918844858807</v>
      </c>
      <c r="AP13" s="69">
        <v>726.96052551269531</v>
      </c>
      <c r="AQ13" s="69">
        <v>1650.8252563476562</v>
      </c>
      <c r="AR13" s="69">
        <v>430.79657735824588</v>
      </c>
      <c r="AS13" s="69">
        <v>559.41184498469033</v>
      </c>
    </row>
    <row r="14" spans="1:49" x14ac:dyDescent="0.25">
      <c r="A14" s="11">
        <v>42773</v>
      </c>
      <c r="B14" s="59"/>
      <c r="C14" s="60">
        <v>54.406270094712674</v>
      </c>
      <c r="D14" s="60">
        <v>615.7388409614573</v>
      </c>
      <c r="E14" s="60">
        <v>15.165535988410328</v>
      </c>
      <c r="F14" s="60">
        <v>0</v>
      </c>
      <c r="G14" s="60">
        <v>1656.7178103764807</v>
      </c>
      <c r="H14" s="61">
        <v>22.622065072258298</v>
      </c>
      <c r="I14" s="59">
        <v>49.905760288238525</v>
      </c>
      <c r="J14" s="60">
        <v>375.03503772417668</v>
      </c>
      <c r="K14" s="60">
        <v>21.121606538693175</v>
      </c>
      <c r="L14" s="50">
        <v>3.7765502929687501E-5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197.95497560418178</v>
      </c>
      <c r="V14" s="62">
        <v>114.92810763335963</v>
      </c>
      <c r="W14" s="62">
        <v>29.043598896227884</v>
      </c>
      <c r="X14" s="62">
        <v>16.862045774894327</v>
      </c>
      <c r="Y14" s="66">
        <v>130.9222504285583</v>
      </c>
      <c r="Z14" s="66">
        <v>76.01044855240886</v>
      </c>
      <c r="AA14" s="67">
        <v>0</v>
      </c>
      <c r="AB14" s="68">
        <v>52.397656663258552</v>
      </c>
      <c r="AC14" s="69">
        <v>0</v>
      </c>
      <c r="AD14" s="401">
        <v>8.1630947129522973</v>
      </c>
      <c r="AE14" s="401">
        <v>4.4826311154671235</v>
      </c>
      <c r="AF14" s="69">
        <v>12.456367605262322</v>
      </c>
      <c r="AG14" s="68">
        <v>7.7505238746377305</v>
      </c>
      <c r="AH14" s="68">
        <v>4.4997759685534842</v>
      </c>
      <c r="AI14" s="68">
        <v>0.63268034038738363</v>
      </c>
      <c r="AJ14" s="69">
        <v>405.12471540768945</v>
      </c>
      <c r="AK14" s="69">
        <v>1171.3902490615847</v>
      </c>
      <c r="AL14" s="69">
        <v>3235.7211104075113</v>
      </c>
      <c r="AM14" s="69">
        <v>561.99229602813716</v>
      </c>
      <c r="AN14" s="69">
        <v>4563.6712183634454</v>
      </c>
      <c r="AO14" s="69">
        <v>2576.9558480580649</v>
      </c>
      <c r="AP14" s="69">
        <v>726.96052551269531</v>
      </c>
      <c r="AQ14" s="69">
        <v>1650.8252563476562</v>
      </c>
      <c r="AR14" s="69">
        <v>440.22037172317499</v>
      </c>
      <c r="AS14" s="69">
        <v>581.9163674672443</v>
      </c>
    </row>
    <row r="15" spans="1:49" x14ac:dyDescent="0.25">
      <c r="A15" s="11">
        <v>42774</v>
      </c>
      <c r="B15" s="59"/>
      <c r="C15" s="60">
        <v>55.053069674968818</v>
      </c>
      <c r="D15" s="60">
        <v>623.97077544530441</v>
      </c>
      <c r="E15" s="60">
        <v>15.143341466784474</v>
      </c>
      <c r="F15" s="60">
        <v>0</v>
      </c>
      <c r="G15" s="60">
        <v>1663.8872503916339</v>
      </c>
      <c r="H15" s="61">
        <v>22.709298854072905</v>
      </c>
      <c r="I15" s="59">
        <v>27.382299244403839</v>
      </c>
      <c r="J15" s="60">
        <v>389.58575239181511</v>
      </c>
      <c r="K15" s="60">
        <v>21.362705450256694</v>
      </c>
      <c r="L15" s="50">
        <v>2.8324127197265628E-5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196.70841112242286</v>
      </c>
      <c r="V15" s="62">
        <v>114.17775212288619</v>
      </c>
      <c r="W15" s="62">
        <v>28.432126957350903</v>
      </c>
      <c r="X15" s="62">
        <v>16.503190308636441</v>
      </c>
      <c r="Y15" s="66">
        <v>129.24608971699485</v>
      </c>
      <c r="Z15" s="66">
        <v>75.019811864451526</v>
      </c>
      <c r="AA15" s="67">
        <v>0</v>
      </c>
      <c r="AB15" s="68">
        <v>53.592614894443031</v>
      </c>
      <c r="AC15" s="69">
        <v>0</v>
      </c>
      <c r="AD15" s="401">
        <v>8.4792127328498168</v>
      </c>
      <c r="AE15" s="401">
        <v>4.483770726464364</v>
      </c>
      <c r="AF15" s="69">
        <v>12.138190894325566</v>
      </c>
      <c r="AG15" s="68">
        <v>7.5725485333796874</v>
      </c>
      <c r="AH15" s="68">
        <v>4.395422465410749</v>
      </c>
      <c r="AI15" s="68">
        <v>0.63273453237353428</v>
      </c>
      <c r="AJ15" s="69">
        <v>474.23621627489717</v>
      </c>
      <c r="AK15" s="69">
        <v>1236.6048633575442</v>
      </c>
      <c r="AL15" s="69">
        <v>3211.4734335581461</v>
      </c>
      <c r="AM15" s="69">
        <v>488.83729871114099</v>
      </c>
      <c r="AN15" s="69">
        <v>4665.2219401041657</v>
      </c>
      <c r="AO15" s="69">
        <v>2783.6624577840162</v>
      </c>
      <c r="AP15" s="69">
        <v>726.96052551269531</v>
      </c>
      <c r="AQ15" s="69">
        <v>1650.8252563476562</v>
      </c>
      <c r="AR15" s="69">
        <v>435.86036103566494</v>
      </c>
      <c r="AS15" s="69">
        <v>560.64954048792515</v>
      </c>
    </row>
    <row r="16" spans="1:49" x14ac:dyDescent="0.25">
      <c r="A16" s="11">
        <v>42775</v>
      </c>
      <c r="B16" s="59"/>
      <c r="C16" s="60">
        <v>56.052859250704124</v>
      </c>
      <c r="D16" s="60">
        <v>632.16209952036604</v>
      </c>
      <c r="E16" s="60">
        <v>15.136062818765636</v>
      </c>
      <c r="F16" s="60">
        <v>0</v>
      </c>
      <c r="G16" s="60">
        <v>1902.2475644429476</v>
      </c>
      <c r="H16" s="61">
        <v>22.851519480347658</v>
      </c>
      <c r="I16" s="59">
        <v>26.086240530014038</v>
      </c>
      <c r="J16" s="60">
        <v>370.3568446318302</v>
      </c>
      <c r="K16" s="60">
        <v>20.627025269468657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222.14013930796204</v>
      </c>
      <c r="V16" s="62">
        <v>128.94730247552042</v>
      </c>
      <c r="W16" s="62">
        <v>30.715805447705172</v>
      </c>
      <c r="X16" s="62">
        <v>17.829827010027962</v>
      </c>
      <c r="Y16" s="66">
        <v>132.84300656396036</v>
      </c>
      <c r="Z16" s="66">
        <v>77.112346298715806</v>
      </c>
      <c r="AA16" s="67">
        <v>0</v>
      </c>
      <c r="AB16" s="68">
        <v>55.633933064672718</v>
      </c>
      <c r="AC16" s="69">
        <v>0</v>
      </c>
      <c r="AD16" s="401">
        <v>8.0610719267929802</v>
      </c>
      <c r="AE16" s="401">
        <v>4.516322596828477</v>
      </c>
      <c r="AF16" s="69">
        <v>12.472097198168433</v>
      </c>
      <c r="AG16" s="68">
        <v>7.750574260273873</v>
      </c>
      <c r="AH16" s="68">
        <v>4.4990322172841841</v>
      </c>
      <c r="AI16" s="68">
        <v>0.6327202652977747</v>
      </c>
      <c r="AJ16" s="69">
        <v>343.11231516202292</v>
      </c>
      <c r="AK16" s="69">
        <v>1105.4197135289512</v>
      </c>
      <c r="AL16" s="69">
        <v>3236.7009936014815</v>
      </c>
      <c r="AM16" s="69">
        <v>473.62826544443772</v>
      </c>
      <c r="AN16" s="69">
        <v>4698.3781486511225</v>
      </c>
      <c r="AO16" s="69">
        <v>2918.1248708089192</v>
      </c>
      <c r="AP16" s="69">
        <v>726.96052551269531</v>
      </c>
      <c r="AQ16" s="69">
        <v>1650.8252563476562</v>
      </c>
      <c r="AR16" s="69">
        <v>448.58287919362374</v>
      </c>
      <c r="AS16" s="69">
        <v>591.50025968551631</v>
      </c>
    </row>
    <row r="17" spans="1:45" x14ac:dyDescent="0.25">
      <c r="A17" s="11">
        <v>42776</v>
      </c>
      <c r="B17" s="49"/>
      <c r="C17" s="50">
        <v>55.201183128358053</v>
      </c>
      <c r="D17" s="50">
        <v>622.70944560368753</v>
      </c>
      <c r="E17" s="50">
        <v>14.632863421241455</v>
      </c>
      <c r="F17" s="50">
        <v>0</v>
      </c>
      <c r="G17" s="50">
        <v>1871.1839511871301</v>
      </c>
      <c r="H17" s="51">
        <v>22.635031963388119</v>
      </c>
      <c r="I17" s="49">
        <v>26.358485698699951</v>
      </c>
      <c r="J17" s="50">
        <v>374.47604034741704</v>
      </c>
      <c r="K17" s="50">
        <v>20.576475747426311</v>
      </c>
      <c r="L17" s="50">
        <v>1.8882751464843751E-5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207.3078001257887</v>
      </c>
      <c r="V17" s="62">
        <v>120.28727712394625</v>
      </c>
      <c r="W17" s="62">
        <v>30.920167281977314</v>
      </c>
      <c r="X17" s="62">
        <v>17.940968590227719</v>
      </c>
      <c r="Y17" s="66">
        <v>135.51555535133394</v>
      </c>
      <c r="Z17" s="66">
        <v>78.630891607843537</v>
      </c>
      <c r="AA17" s="67">
        <v>0</v>
      </c>
      <c r="AB17" s="68">
        <v>57.776151508754829</v>
      </c>
      <c r="AC17" s="69">
        <v>0</v>
      </c>
      <c r="AD17" s="401">
        <v>8.1518599104943945</v>
      </c>
      <c r="AE17" s="401">
        <v>4.4852324432052599</v>
      </c>
      <c r="AF17" s="69">
        <v>12.264853386415375</v>
      </c>
      <c r="AG17" s="68">
        <v>7.6536400403231113</v>
      </c>
      <c r="AH17" s="68">
        <v>4.4409111474756884</v>
      </c>
      <c r="AI17" s="68">
        <v>0.63281720185237134</v>
      </c>
      <c r="AJ17" s="69">
        <v>315.66912002563481</v>
      </c>
      <c r="AK17" s="69">
        <v>1059.6771697362265</v>
      </c>
      <c r="AL17" s="69">
        <v>3218.8754749298096</v>
      </c>
      <c r="AM17" s="69">
        <v>432.79493098258979</v>
      </c>
      <c r="AN17" s="69">
        <v>4854.4481404622384</v>
      </c>
      <c r="AO17" s="69">
        <v>3149.8044344584146</v>
      </c>
      <c r="AP17" s="69">
        <v>726.96052551269531</v>
      </c>
      <c r="AQ17" s="69">
        <v>1650.8252563476562</v>
      </c>
      <c r="AR17" s="69">
        <v>439.81072839101148</v>
      </c>
      <c r="AS17" s="69">
        <v>580.37321230570467</v>
      </c>
    </row>
    <row r="18" spans="1:45" x14ac:dyDescent="0.25">
      <c r="A18" s="11">
        <v>42777</v>
      </c>
      <c r="B18" s="59"/>
      <c r="C18" s="60">
        <v>55.891118307908549</v>
      </c>
      <c r="D18" s="60">
        <v>621.74446868896507</v>
      </c>
      <c r="E18" s="60">
        <v>14.652659041682874</v>
      </c>
      <c r="F18" s="60">
        <v>0</v>
      </c>
      <c r="G18" s="60">
        <v>1821.4882631937644</v>
      </c>
      <c r="H18" s="61">
        <v>22.592868904272727</v>
      </c>
      <c r="I18" s="59">
        <v>25.660844802856445</v>
      </c>
      <c r="J18" s="60">
        <v>365.43419524828562</v>
      </c>
      <c r="K18" s="60">
        <v>19.806219689051261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202.74819923887512</v>
      </c>
      <c r="V18" s="62">
        <v>117.71381394217624</v>
      </c>
      <c r="W18" s="62">
        <v>30.637932608821735</v>
      </c>
      <c r="X18" s="62">
        <v>17.788113099039847</v>
      </c>
      <c r="Y18" s="66">
        <v>139.91168356547871</v>
      </c>
      <c r="Z18" s="66">
        <v>81.231487872102946</v>
      </c>
      <c r="AA18" s="67">
        <v>0</v>
      </c>
      <c r="AB18" s="68">
        <v>56.879322393734988</v>
      </c>
      <c r="AC18" s="69">
        <v>0</v>
      </c>
      <c r="AD18" s="401">
        <v>7.9546536239050498</v>
      </c>
      <c r="AE18" s="401">
        <v>4.4837246603160628</v>
      </c>
      <c r="AF18" s="69">
        <v>12.3922662821081</v>
      </c>
      <c r="AG18" s="68">
        <v>7.7505038067101104</v>
      </c>
      <c r="AH18" s="68">
        <v>4.4998740629320926</v>
      </c>
      <c r="AI18" s="68">
        <v>0.63267467250269227</v>
      </c>
      <c r="AJ18" s="69">
        <v>421.39803013801566</v>
      </c>
      <c r="AK18" s="69">
        <v>1164.2020633061725</v>
      </c>
      <c r="AL18" s="69">
        <v>3221.9259203592942</v>
      </c>
      <c r="AM18" s="69">
        <v>388.86088609695429</v>
      </c>
      <c r="AN18" s="69">
        <v>4970.5406695048014</v>
      </c>
      <c r="AO18" s="69">
        <v>2989.1631120045981</v>
      </c>
      <c r="AP18" s="69">
        <v>726.96052551269531</v>
      </c>
      <c r="AQ18" s="69">
        <v>1650.2093517303467</v>
      </c>
      <c r="AR18" s="69">
        <v>443.22065124511715</v>
      </c>
      <c r="AS18" s="69">
        <v>487.30672531127937</v>
      </c>
    </row>
    <row r="19" spans="1:45" x14ac:dyDescent="0.25">
      <c r="A19" s="11">
        <v>42778</v>
      </c>
      <c r="B19" s="59"/>
      <c r="C19" s="60">
        <v>55.856452286242963</v>
      </c>
      <c r="D19" s="60">
        <v>621.68363704681246</v>
      </c>
      <c r="E19" s="60">
        <v>14.616677687565504</v>
      </c>
      <c r="F19" s="60">
        <v>0</v>
      </c>
      <c r="G19" s="60">
        <v>1804.4444704691521</v>
      </c>
      <c r="H19" s="61">
        <v>22.68423984448118</v>
      </c>
      <c r="I19" s="59">
        <v>25.631393909454346</v>
      </c>
      <c r="J19" s="60">
        <v>365.7091338793432</v>
      </c>
      <c r="K19" s="60">
        <v>19.787704569101322</v>
      </c>
      <c r="L19" s="50">
        <v>9.4413757324218753E-6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194.44299042234599</v>
      </c>
      <c r="V19" s="62">
        <v>112.89789416780269</v>
      </c>
      <c r="W19" s="62">
        <v>29.293193070704472</v>
      </c>
      <c r="X19" s="62">
        <v>17.008274785066963</v>
      </c>
      <c r="Y19" s="66">
        <v>135.44091222711094</v>
      </c>
      <c r="Z19" s="66">
        <v>78.639984611395562</v>
      </c>
      <c r="AA19" s="67">
        <v>0</v>
      </c>
      <c r="AB19" s="68">
        <v>57.087215195762667</v>
      </c>
      <c r="AC19" s="69">
        <v>0</v>
      </c>
      <c r="AD19" s="401">
        <v>7.9597209604845887</v>
      </c>
      <c r="AE19" s="401">
        <v>4.4830613940080415</v>
      </c>
      <c r="AF19" s="69">
        <v>12.389945498439994</v>
      </c>
      <c r="AG19" s="68">
        <v>7.7500619589816946</v>
      </c>
      <c r="AH19" s="68">
        <v>4.4998571197579933</v>
      </c>
      <c r="AI19" s="68">
        <v>0.6326622983520187</v>
      </c>
      <c r="AJ19" s="69">
        <v>318.00263315836594</v>
      </c>
      <c r="AK19" s="69">
        <v>1116.9744988759358</v>
      </c>
      <c r="AL19" s="69">
        <v>3247.3447391510003</v>
      </c>
      <c r="AM19" s="69">
        <v>390.02188344001763</v>
      </c>
      <c r="AN19" s="69">
        <v>5159.2423970540367</v>
      </c>
      <c r="AO19" s="69">
        <v>2733.0702270507818</v>
      </c>
      <c r="AP19" s="69">
        <v>726.96052551269531</v>
      </c>
      <c r="AQ19" s="69">
        <v>1649.81396484375</v>
      </c>
      <c r="AR19" s="69">
        <v>441.64325984319049</v>
      </c>
      <c r="AS19" s="69">
        <v>515.61600424448648</v>
      </c>
    </row>
    <row r="20" spans="1:45" x14ac:dyDescent="0.25">
      <c r="A20" s="11">
        <v>42779</v>
      </c>
      <c r="B20" s="59"/>
      <c r="C20" s="60">
        <v>55.25864285627997</v>
      </c>
      <c r="D20" s="60">
        <v>623.70348952611357</v>
      </c>
      <c r="E20" s="60">
        <v>15.143674991528217</v>
      </c>
      <c r="F20" s="60">
        <v>0</v>
      </c>
      <c r="G20" s="60">
        <v>1854.6224638620945</v>
      </c>
      <c r="H20" s="61">
        <v>22.682403374711683</v>
      </c>
      <c r="I20" s="59">
        <v>25.650014877319336</v>
      </c>
      <c r="J20" s="60">
        <v>366.10054395993524</v>
      </c>
      <c r="K20" s="60">
        <v>19.717609126369105</v>
      </c>
      <c r="L20" s="50">
        <v>9.4413757324218753E-6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195.22306302235017</v>
      </c>
      <c r="V20" s="62">
        <v>113.36138456285927</v>
      </c>
      <c r="W20" s="62">
        <v>29.576054031770074</v>
      </c>
      <c r="X20" s="62">
        <v>17.174110389629259</v>
      </c>
      <c r="Y20" s="66">
        <v>134.45062346278834</v>
      </c>
      <c r="Z20" s="66">
        <v>78.07227586290054</v>
      </c>
      <c r="AA20" s="67">
        <v>0</v>
      </c>
      <c r="AB20" s="68">
        <v>57.069196417596892</v>
      </c>
      <c r="AC20" s="69">
        <v>0</v>
      </c>
      <c r="AD20" s="401">
        <v>7.969485874125974</v>
      </c>
      <c r="AE20" s="401">
        <v>4.4975441392332955</v>
      </c>
      <c r="AF20" s="69">
        <v>12.383433614836811</v>
      </c>
      <c r="AG20" s="68">
        <v>7.7491712684678431</v>
      </c>
      <c r="AH20" s="68">
        <v>4.4997592528689756</v>
      </c>
      <c r="AI20" s="68">
        <v>0.63264064197027692</v>
      </c>
      <c r="AJ20" s="69">
        <v>309.32273852825165</v>
      </c>
      <c r="AK20" s="69">
        <v>1117.4928580602009</v>
      </c>
      <c r="AL20" s="69">
        <v>3256.1130354563397</v>
      </c>
      <c r="AM20" s="69">
        <v>384.23909006118777</v>
      </c>
      <c r="AN20" s="69">
        <v>5355.1541997273762</v>
      </c>
      <c r="AO20" s="69">
        <v>2610.9888181050619</v>
      </c>
      <c r="AP20" s="69">
        <v>726.96052551269531</v>
      </c>
      <c r="AQ20" s="69">
        <v>1649.81396484375</v>
      </c>
      <c r="AR20" s="69">
        <v>452.17951911290487</v>
      </c>
      <c r="AS20" s="69">
        <v>581.66232124964392</v>
      </c>
    </row>
    <row r="21" spans="1:45" x14ac:dyDescent="0.25">
      <c r="A21" s="11">
        <v>42780</v>
      </c>
      <c r="B21" s="59"/>
      <c r="C21" s="60">
        <v>55.375037864844366</v>
      </c>
      <c r="D21" s="60">
        <v>621.44348001480091</v>
      </c>
      <c r="E21" s="60">
        <v>15.149444840351741</v>
      </c>
      <c r="F21" s="60">
        <v>0</v>
      </c>
      <c r="G21" s="60">
        <v>1879.6313856760551</v>
      </c>
      <c r="H21" s="61">
        <v>22.58248873054978</v>
      </c>
      <c r="I21" s="59">
        <v>51.7119712193807</v>
      </c>
      <c r="J21" s="60">
        <v>410.47498922348046</v>
      </c>
      <c r="K21" s="60">
        <v>22.519714497526525</v>
      </c>
      <c r="L21" s="60">
        <v>3.6821365356445304E-4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195.43900839865105</v>
      </c>
      <c r="V21" s="62">
        <v>113.47794271727437</v>
      </c>
      <c r="W21" s="62">
        <v>29.828978460581812</v>
      </c>
      <c r="X21" s="62">
        <v>17.319628956365893</v>
      </c>
      <c r="Y21" s="66">
        <v>130.76374299118109</v>
      </c>
      <c r="Z21" s="66">
        <v>75.925480067837128</v>
      </c>
      <c r="AA21" s="67">
        <v>0</v>
      </c>
      <c r="AB21" s="68">
        <v>61.223719591564993</v>
      </c>
      <c r="AC21" s="69">
        <v>0</v>
      </c>
      <c r="AD21" s="401">
        <v>8.9341803750523265</v>
      </c>
      <c r="AE21" s="401">
        <v>4.4814042014431541</v>
      </c>
      <c r="AF21" s="69">
        <v>12.387316556771591</v>
      </c>
      <c r="AG21" s="68">
        <v>7.7491514604810359</v>
      </c>
      <c r="AH21" s="68">
        <v>4.4993973963798481</v>
      </c>
      <c r="AI21" s="68">
        <v>0.63265873786676674</v>
      </c>
      <c r="AJ21" s="69">
        <v>369.53204940954845</v>
      </c>
      <c r="AK21" s="69">
        <v>1184.0698005040483</v>
      </c>
      <c r="AL21" s="69">
        <v>3239.6034662882489</v>
      </c>
      <c r="AM21" s="69">
        <v>459.64897166887926</v>
      </c>
      <c r="AN21" s="69">
        <v>5521.5902674357103</v>
      </c>
      <c r="AO21" s="69">
        <v>2624.9593677520752</v>
      </c>
      <c r="AP21" s="69">
        <v>726.96052551269531</v>
      </c>
      <c r="AQ21" s="69">
        <v>1649.81396484375</v>
      </c>
      <c r="AR21" s="69">
        <v>423.40263371467591</v>
      </c>
      <c r="AS21" s="69">
        <v>605.34353367487597</v>
      </c>
    </row>
    <row r="22" spans="1:45" x14ac:dyDescent="0.25">
      <c r="A22" s="11">
        <v>42781</v>
      </c>
      <c r="B22" s="59"/>
      <c r="C22" s="60">
        <v>55.744054607549636</v>
      </c>
      <c r="D22" s="60">
        <v>617.01214834849111</v>
      </c>
      <c r="E22" s="60">
        <v>15.125404296318695</v>
      </c>
      <c r="F22" s="60">
        <v>0</v>
      </c>
      <c r="G22" s="60">
        <v>1898.2913941701204</v>
      </c>
      <c r="H22" s="61">
        <v>22.669811074932394</v>
      </c>
      <c r="I22" s="59">
        <v>79.400572299957275</v>
      </c>
      <c r="J22" s="60">
        <v>375.77038853963148</v>
      </c>
      <c r="K22" s="60">
        <v>20.936277230580675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190.66724498134209</v>
      </c>
      <c r="V22" s="62">
        <v>110.70267678769191</v>
      </c>
      <c r="W22" s="62">
        <v>27.876365682393942</v>
      </c>
      <c r="X22" s="62">
        <v>16.185204230834433</v>
      </c>
      <c r="Y22" s="66">
        <v>127.87743255866951</v>
      </c>
      <c r="Z22" s="66">
        <v>74.246492030487701</v>
      </c>
      <c r="AA22" s="67">
        <v>0</v>
      </c>
      <c r="AB22" s="68">
        <v>57.988974616262489</v>
      </c>
      <c r="AC22" s="69">
        <v>0</v>
      </c>
      <c r="AD22" s="401">
        <v>8.1794607831914341</v>
      </c>
      <c r="AE22" s="401">
        <v>4.4799729077116544</v>
      </c>
      <c r="AF22" s="69">
        <v>12.1192911254035</v>
      </c>
      <c r="AG22" s="68">
        <v>7.582052233514875</v>
      </c>
      <c r="AH22" s="68">
        <v>4.4021902024982333</v>
      </c>
      <c r="AI22" s="68">
        <v>0.63266846227430418</v>
      </c>
      <c r="AJ22" s="69">
        <v>352.91667376359305</v>
      </c>
      <c r="AK22" s="69">
        <v>1148.5308638890588</v>
      </c>
      <c r="AL22" s="69">
        <v>3232.101432800293</v>
      </c>
      <c r="AM22" s="69">
        <v>517.66506137847898</v>
      </c>
      <c r="AN22" s="69">
        <v>5650.9667386372885</v>
      </c>
      <c r="AO22" s="69">
        <v>2742.707824198405</v>
      </c>
      <c r="AP22" s="69">
        <v>726.96052551269531</v>
      </c>
      <c r="AQ22" s="69">
        <v>1649.81396484375</v>
      </c>
      <c r="AR22" s="69">
        <v>386.64235908190409</v>
      </c>
      <c r="AS22" s="69">
        <v>615.04636526107788</v>
      </c>
    </row>
    <row r="23" spans="1:45" x14ac:dyDescent="0.25">
      <c r="A23" s="11">
        <v>42782</v>
      </c>
      <c r="B23" s="59"/>
      <c r="C23" s="60">
        <v>55.767303645610994</v>
      </c>
      <c r="D23" s="60">
        <v>629.61638180414843</v>
      </c>
      <c r="E23" s="60">
        <v>15.255683980385454</v>
      </c>
      <c r="F23" s="60">
        <v>0</v>
      </c>
      <c r="G23" s="60">
        <v>1949.8969289143818</v>
      </c>
      <c r="H23" s="61">
        <v>22.771990694602334</v>
      </c>
      <c r="I23" s="59">
        <v>79.312222361564636</v>
      </c>
      <c r="J23" s="60">
        <v>375.10532382329239</v>
      </c>
      <c r="K23" s="60">
        <v>20.980491530895247</v>
      </c>
      <c r="L23" s="60">
        <v>7.5531005859375003E-5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196.50435039806146</v>
      </c>
      <c r="V23" s="62">
        <v>103.5782984832103</v>
      </c>
      <c r="W23" s="62">
        <v>28.823595883725826</v>
      </c>
      <c r="X23" s="62">
        <v>15.193042860151547</v>
      </c>
      <c r="Y23" s="66">
        <v>128.81501130186436</v>
      </c>
      <c r="Z23" s="66">
        <v>67.898953192204942</v>
      </c>
      <c r="AA23" s="67">
        <v>0</v>
      </c>
      <c r="AB23" s="68">
        <v>60.797058018049164</v>
      </c>
      <c r="AC23" s="69">
        <v>0</v>
      </c>
      <c r="AD23" s="401">
        <v>8.1649373956402691</v>
      </c>
      <c r="AE23" s="401">
        <v>4.5095975441599334</v>
      </c>
      <c r="AF23" s="69">
        <v>11.610792115992981</v>
      </c>
      <c r="AG23" s="68">
        <v>7.5054616755023247</v>
      </c>
      <c r="AH23" s="68">
        <v>3.9561615206211997</v>
      </c>
      <c r="AI23" s="68">
        <v>0.65483409697509287</v>
      </c>
      <c r="AJ23" s="69">
        <v>362.86807402769728</v>
      </c>
      <c r="AK23" s="69">
        <v>1127.9025275548299</v>
      </c>
      <c r="AL23" s="69">
        <v>3286.3735608418783</v>
      </c>
      <c r="AM23" s="69">
        <v>522.78979058265691</v>
      </c>
      <c r="AN23" s="69">
        <v>5912.2117223103851</v>
      </c>
      <c r="AO23" s="69">
        <v>2747.3485486348472</v>
      </c>
      <c r="AP23" s="69">
        <v>726.96052551269531</v>
      </c>
      <c r="AQ23" s="69">
        <v>1649.81396484375</v>
      </c>
      <c r="AR23" s="69">
        <v>388.5910030523936</v>
      </c>
      <c r="AS23" s="69">
        <v>623.71551310221366</v>
      </c>
    </row>
    <row r="24" spans="1:45" x14ac:dyDescent="0.25">
      <c r="A24" s="11">
        <v>42783</v>
      </c>
      <c r="B24" s="59"/>
      <c r="C24" s="60">
        <v>55.352203178405908</v>
      </c>
      <c r="D24" s="60">
        <v>633.02668641408206</v>
      </c>
      <c r="E24" s="60">
        <v>15.148715335130689</v>
      </c>
      <c r="F24" s="60">
        <v>0</v>
      </c>
      <c r="G24" s="60">
        <v>2010.1758052825833</v>
      </c>
      <c r="H24" s="61">
        <v>22.501051227251711</v>
      </c>
      <c r="I24" s="59">
        <v>79.485195875167847</v>
      </c>
      <c r="J24" s="60">
        <v>374.87451739311149</v>
      </c>
      <c r="K24" s="60">
        <v>21.012977228562029</v>
      </c>
      <c r="L24" s="60">
        <v>9.4413757324218764E-5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199.81078198538685</v>
      </c>
      <c r="V24" s="62">
        <v>116.02689346949599</v>
      </c>
      <c r="W24" s="62">
        <v>29.752809686102349</v>
      </c>
      <c r="X24" s="62">
        <v>17.276975974800283</v>
      </c>
      <c r="Y24" s="66">
        <v>133.54031106790833</v>
      </c>
      <c r="Z24" s="66">
        <v>77.544701503108712</v>
      </c>
      <c r="AA24" s="67">
        <v>0</v>
      </c>
      <c r="AB24" s="68">
        <v>61.598055280580375</v>
      </c>
      <c r="AC24" s="69">
        <v>0</v>
      </c>
      <c r="AD24" s="401">
        <v>8.1589263013811184</v>
      </c>
      <c r="AE24" s="401">
        <v>4.4806108789637316</v>
      </c>
      <c r="AF24" s="69">
        <v>12.264585262205854</v>
      </c>
      <c r="AG24" s="68">
        <v>7.6726349623741852</v>
      </c>
      <c r="AH24" s="68">
        <v>4.4553751832812862</v>
      </c>
      <c r="AI24" s="68">
        <v>0.63263757782414931</v>
      </c>
      <c r="AJ24" s="69">
        <v>408.0875336329143</v>
      </c>
      <c r="AK24" s="69">
        <v>1166.2482036590577</v>
      </c>
      <c r="AL24" s="69">
        <v>3308.3905323028566</v>
      </c>
      <c r="AM24" s="69">
        <v>517.95131082534783</v>
      </c>
      <c r="AN24" s="69">
        <v>4839.3195721944167</v>
      </c>
      <c r="AO24" s="69">
        <v>2618.4953432718912</v>
      </c>
      <c r="AP24" s="69">
        <v>726.96052551269531</v>
      </c>
      <c r="AQ24" s="69">
        <v>1649.81396484375</v>
      </c>
      <c r="AR24" s="69">
        <v>388.56405623753858</v>
      </c>
      <c r="AS24" s="69">
        <v>593.96273161570218</v>
      </c>
    </row>
    <row r="25" spans="1:45" x14ac:dyDescent="0.25">
      <c r="A25" s="11">
        <v>42784</v>
      </c>
      <c r="B25" s="59"/>
      <c r="C25" s="60">
        <v>55.301941581567263</v>
      </c>
      <c r="D25" s="60">
        <v>632.11759484608933</v>
      </c>
      <c r="E25" s="60">
        <v>15.149252209067338</v>
      </c>
      <c r="F25" s="60">
        <v>0</v>
      </c>
      <c r="G25" s="60">
        <v>2038.1484850565582</v>
      </c>
      <c r="H25" s="61">
        <v>22.67032812039055</v>
      </c>
      <c r="I25" s="59">
        <v>79.979401381810476</v>
      </c>
      <c r="J25" s="60">
        <v>383.67108810742712</v>
      </c>
      <c r="K25" s="60">
        <v>21.176422186692545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201.68572834456108</v>
      </c>
      <c r="V25" s="62">
        <v>117.0990300325151</v>
      </c>
      <c r="W25" s="62">
        <v>30.603927970877233</v>
      </c>
      <c r="X25" s="62">
        <v>17.768685518750662</v>
      </c>
      <c r="Y25" s="66">
        <v>134.69336622059529</v>
      </c>
      <c r="Z25" s="66">
        <v>78.203166211643278</v>
      </c>
      <c r="AA25" s="67">
        <v>0</v>
      </c>
      <c r="AB25" s="68">
        <v>62.244995978143407</v>
      </c>
      <c r="AC25" s="69">
        <v>0</v>
      </c>
      <c r="AD25" s="401">
        <v>8.34991008103189</v>
      </c>
      <c r="AE25" s="401">
        <v>4.4795656476749484</v>
      </c>
      <c r="AF25" s="69">
        <v>12.3938423719671</v>
      </c>
      <c r="AG25" s="68">
        <v>7.7509392140323268</v>
      </c>
      <c r="AH25" s="68">
        <v>4.5002066891593557</v>
      </c>
      <c r="AI25" s="68">
        <v>0.63267054978204473</v>
      </c>
      <c r="AJ25" s="69">
        <v>385.12688433329259</v>
      </c>
      <c r="AK25" s="69">
        <v>1151.2427228291831</v>
      </c>
      <c r="AL25" s="69">
        <v>3329.9004124959311</v>
      </c>
      <c r="AM25" s="69">
        <v>513.2500721931458</v>
      </c>
      <c r="AN25" s="69">
        <v>4767.3551823933931</v>
      </c>
      <c r="AO25" s="69">
        <v>2636.8115610758464</v>
      </c>
      <c r="AP25" s="69">
        <v>726.96052551269531</v>
      </c>
      <c r="AQ25" s="69">
        <v>1649.81396484375</v>
      </c>
      <c r="AR25" s="69">
        <v>388.81410498619084</v>
      </c>
      <c r="AS25" s="69">
        <v>585.23626311620069</v>
      </c>
    </row>
    <row r="26" spans="1:45" x14ac:dyDescent="0.25">
      <c r="A26" s="11">
        <v>42785</v>
      </c>
      <c r="B26" s="59"/>
      <c r="C26" s="60">
        <v>55.30811403195095</v>
      </c>
      <c r="D26" s="60">
        <v>630.40398111343518</v>
      </c>
      <c r="E26" s="60">
        <v>15.15544466574986</v>
      </c>
      <c r="F26" s="60">
        <v>0</v>
      </c>
      <c r="G26" s="60">
        <v>2137.6826671600361</v>
      </c>
      <c r="H26" s="61">
        <v>22.620888153711956</v>
      </c>
      <c r="I26" s="59">
        <v>75.105452656745911</v>
      </c>
      <c r="J26" s="60">
        <v>375.37088588078768</v>
      </c>
      <c r="K26" s="60">
        <v>20.488585793972067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197.80806778570599</v>
      </c>
      <c r="V26" s="62">
        <v>114.83618430262887</v>
      </c>
      <c r="W26" s="62">
        <v>30.131906045995482</v>
      </c>
      <c r="X26" s="62">
        <v>17.492881634312578</v>
      </c>
      <c r="Y26" s="62">
        <v>135.68079364880271</v>
      </c>
      <c r="Z26" s="62">
        <v>78.768600291169633</v>
      </c>
      <c r="AA26" s="72">
        <v>0</v>
      </c>
      <c r="AB26" s="69">
        <v>61.49209323459273</v>
      </c>
      <c r="AC26" s="69">
        <v>0</v>
      </c>
      <c r="AD26" s="401">
        <v>8.1704655089377241</v>
      </c>
      <c r="AE26" s="401">
        <v>4.4794950649686136</v>
      </c>
      <c r="AF26" s="69">
        <v>12.240107163786906</v>
      </c>
      <c r="AG26" s="69">
        <v>7.6550768637371505</v>
      </c>
      <c r="AH26" s="69">
        <v>4.444104972135186</v>
      </c>
      <c r="AI26" s="69">
        <v>0.63269376124598342</v>
      </c>
      <c r="AJ26" s="69">
        <v>393.09913994471231</v>
      </c>
      <c r="AK26" s="69">
        <v>1163.0997114181519</v>
      </c>
      <c r="AL26" s="69">
        <v>3329.0964462280281</v>
      </c>
      <c r="AM26" s="69">
        <v>510.77035843531291</v>
      </c>
      <c r="AN26" s="69">
        <v>4865.3796699523919</v>
      </c>
      <c r="AO26" s="69">
        <v>2597.0291117350262</v>
      </c>
      <c r="AP26" s="69">
        <v>726.96052551269531</v>
      </c>
      <c r="AQ26" s="69">
        <v>1649.81396484375</v>
      </c>
      <c r="AR26" s="69">
        <v>388.52961665789292</v>
      </c>
      <c r="AS26" s="69">
        <v>572.08388786315913</v>
      </c>
    </row>
    <row r="27" spans="1:45" x14ac:dyDescent="0.25">
      <c r="A27" s="11">
        <v>42786</v>
      </c>
      <c r="B27" s="59"/>
      <c r="C27" s="60">
        <v>56.851787261168241</v>
      </c>
      <c r="D27" s="60">
        <v>642.42631006240697</v>
      </c>
      <c r="E27" s="60">
        <v>15.396570443113617</v>
      </c>
      <c r="F27" s="60">
        <v>0</v>
      </c>
      <c r="G27" s="60">
        <v>2195.7196327209467</v>
      </c>
      <c r="H27" s="61">
        <v>23.035279112060856</v>
      </c>
      <c r="I27" s="59">
        <v>85.993781550725288</v>
      </c>
      <c r="J27" s="60">
        <v>407.25829958915693</v>
      </c>
      <c r="K27" s="60">
        <v>22.294230497876836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201.55023327134739</v>
      </c>
      <c r="V27" s="62">
        <v>109.79759846532403</v>
      </c>
      <c r="W27" s="62">
        <v>30.202114572131361</v>
      </c>
      <c r="X27" s="62">
        <v>16.453067777550491</v>
      </c>
      <c r="Y27" s="66">
        <v>142.56859918165449</v>
      </c>
      <c r="Z27" s="66">
        <v>77.666443509576283</v>
      </c>
      <c r="AA27" s="67">
        <v>0</v>
      </c>
      <c r="AB27" s="68">
        <v>65.073868144883008</v>
      </c>
      <c r="AC27" s="69">
        <v>0</v>
      </c>
      <c r="AD27" s="401">
        <v>8.8653659641237592</v>
      </c>
      <c r="AE27" s="401">
        <v>4.5682753231015187</v>
      </c>
      <c r="AF27" s="69">
        <v>12.514418818553288</v>
      </c>
      <c r="AG27" s="68">
        <v>8.002793743471095</v>
      </c>
      <c r="AH27" s="68">
        <v>4.3596453339920878</v>
      </c>
      <c r="AI27" s="68">
        <v>0.64734747676615423</v>
      </c>
      <c r="AJ27" s="69">
        <v>366.42866388956702</v>
      </c>
      <c r="AK27" s="69">
        <v>1135.3119987487796</v>
      </c>
      <c r="AL27" s="69">
        <v>3329.3973716735836</v>
      </c>
      <c r="AM27" s="69">
        <v>519.57287670771268</v>
      </c>
      <c r="AN27" s="69">
        <v>4871.5270744323725</v>
      </c>
      <c r="AO27" s="69">
        <v>2583.0799982706708</v>
      </c>
      <c r="AP27" s="69">
        <v>726.96052551269531</v>
      </c>
      <c r="AQ27" s="69">
        <v>1649.81396484375</v>
      </c>
      <c r="AR27" s="69">
        <v>391.74164544741313</v>
      </c>
      <c r="AS27" s="69">
        <v>539.42524538040163</v>
      </c>
    </row>
    <row r="28" spans="1:45" s="372" customFormat="1" ht="15" customHeight="1" x14ac:dyDescent="0.25">
      <c r="A28" s="404">
        <v>42787</v>
      </c>
      <c r="B28" s="366"/>
      <c r="C28" s="367">
        <v>57.982021085421202</v>
      </c>
      <c r="D28" s="367">
        <v>628.87747602462673</v>
      </c>
      <c r="E28" s="367">
        <v>15.773219521840394</v>
      </c>
      <c r="F28" s="367">
        <v>0</v>
      </c>
      <c r="G28" s="367">
        <v>2099.1814772287989</v>
      </c>
      <c r="H28" s="368">
        <v>23.506208702921828</v>
      </c>
      <c r="I28" s="366">
        <v>79.358965396881104</v>
      </c>
      <c r="J28" s="367">
        <v>375.15227956771787</v>
      </c>
      <c r="K28" s="367">
        <v>20.19940566321214</v>
      </c>
      <c r="L28" s="369">
        <v>0</v>
      </c>
      <c r="M28" s="367">
        <v>0</v>
      </c>
      <c r="N28" s="368">
        <v>0</v>
      </c>
      <c r="O28" s="366">
        <v>0</v>
      </c>
      <c r="P28" s="367">
        <v>0</v>
      </c>
      <c r="Q28" s="367">
        <v>0</v>
      </c>
      <c r="R28" s="367">
        <v>0</v>
      </c>
      <c r="S28" s="367">
        <v>0</v>
      </c>
      <c r="T28" s="368">
        <v>0</v>
      </c>
      <c r="U28" s="366">
        <v>199.28886428454908</v>
      </c>
      <c r="V28" s="367">
        <v>115.70148018685214</v>
      </c>
      <c r="W28" s="367">
        <v>29.168365872348978</v>
      </c>
      <c r="X28" s="367">
        <v>16.934328559591727</v>
      </c>
      <c r="Y28" s="367">
        <v>135.95027391686597</v>
      </c>
      <c r="Z28" s="367">
        <v>78.92888536677215</v>
      </c>
      <c r="AA28" s="368">
        <v>0</v>
      </c>
      <c r="AB28" s="370">
        <v>62.891410915058323</v>
      </c>
      <c r="AC28" s="371">
        <v>0</v>
      </c>
      <c r="AD28" s="401">
        <v>8.1660039811497676</v>
      </c>
      <c r="AE28" s="401">
        <v>4.6687872128767269</v>
      </c>
      <c r="AF28" s="371">
        <v>12.18409385548698</v>
      </c>
      <c r="AG28" s="371">
        <v>7.6184755254690755</v>
      </c>
      <c r="AH28" s="371">
        <v>4.4230714958839705</v>
      </c>
      <c r="AI28" s="371">
        <v>0.63268245450184912</v>
      </c>
      <c r="AJ28" s="371">
        <v>365.9104606946309</v>
      </c>
      <c r="AK28" s="371">
        <v>1123.5322605133058</v>
      </c>
      <c r="AL28" s="371">
        <v>3325.9285470326745</v>
      </c>
      <c r="AM28" s="371">
        <v>517.80141696929934</v>
      </c>
      <c r="AN28" s="371">
        <v>4979.3369921366375</v>
      </c>
      <c r="AO28" s="371">
        <v>2698.8669334411616</v>
      </c>
      <c r="AP28" s="371">
        <v>726.96052551269531</v>
      </c>
      <c r="AQ28" s="371">
        <v>1649.81396484375</v>
      </c>
      <c r="AR28" s="371">
        <v>383.31871242523187</v>
      </c>
      <c r="AS28" s="371">
        <v>626.1116993268331</v>
      </c>
    </row>
    <row r="29" spans="1:45" x14ac:dyDescent="0.25">
      <c r="A29" s="11">
        <v>42788</v>
      </c>
      <c r="B29" s="59"/>
      <c r="C29" s="60">
        <v>57.577655335266705</v>
      </c>
      <c r="D29" s="60">
        <v>617.42789669036836</v>
      </c>
      <c r="E29" s="60">
        <v>15.648224510749175</v>
      </c>
      <c r="F29" s="60">
        <v>0</v>
      </c>
      <c r="G29" s="60">
        <v>1857.4390797932963</v>
      </c>
      <c r="H29" s="61">
        <v>23.353322664896655</v>
      </c>
      <c r="I29" s="59">
        <v>79.089895844459534</v>
      </c>
      <c r="J29" s="60">
        <v>374.75004100799453</v>
      </c>
      <c r="K29" s="60">
        <v>20.107420725623673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201.47102842771426</v>
      </c>
      <c r="V29" s="62">
        <v>116.98675716806889</v>
      </c>
      <c r="W29" s="62">
        <v>30.075460787933995</v>
      </c>
      <c r="X29" s="62">
        <v>17.463705106256452</v>
      </c>
      <c r="Y29" s="66">
        <v>129.31938346696023</v>
      </c>
      <c r="Z29" s="66">
        <v>75.090971783080306</v>
      </c>
      <c r="AA29" s="67">
        <v>0</v>
      </c>
      <c r="AB29" s="68">
        <v>62.679460506970173</v>
      </c>
      <c r="AC29" s="69">
        <v>0</v>
      </c>
      <c r="AD29" s="401">
        <v>8.1569067011532468</v>
      </c>
      <c r="AE29" s="401">
        <v>4.6265239477048254</v>
      </c>
      <c r="AF29" s="69">
        <v>12.034866962830225</v>
      </c>
      <c r="AG29" s="68">
        <v>7.520365093291451</v>
      </c>
      <c r="AH29" s="68">
        <v>4.3667972107451973</v>
      </c>
      <c r="AI29" s="68">
        <v>0.6326459503911781</v>
      </c>
      <c r="AJ29" s="69">
        <v>453.44217055638626</v>
      </c>
      <c r="AK29" s="69">
        <v>1219.9478618621827</v>
      </c>
      <c r="AL29" s="69">
        <v>3301.799166742961</v>
      </c>
      <c r="AM29" s="69">
        <v>511.79310139020276</v>
      </c>
      <c r="AN29" s="69">
        <v>4954.7615740458177</v>
      </c>
      <c r="AO29" s="69">
        <v>2593.4228378295898</v>
      </c>
      <c r="AP29" s="69">
        <v>726.96052551269531</v>
      </c>
      <c r="AQ29" s="69">
        <v>1649.81396484375</v>
      </c>
      <c r="AR29" s="69">
        <v>392.73122148513801</v>
      </c>
      <c r="AS29" s="69">
        <v>593.37560119628915</v>
      </c>
    </row>
    <row r="30" spans="1:45" x14ac:dyDescent="0.25">
      <c r="A30" s="11">
        <v>42789</v>
      </c>
      <c r="B30" s="59"/>
      <c r="C30" s="60">
        <v>54.957540301481444</v>
      </c>
      <c r="D30" s="60">
        <v>597.45303290685217</v>
      </c>
      <c r="E30" s="60">
        <v>15.148392532269144</v>
      </c>
      <c r="F30" s="60">
        <v>0</v>
      </c>
      <c r="G30" s="60">
        <v>1869.6986719767235</v>
      </c>
      <c r="H30" s="61">
        <v>22.6491924872001</v>
      </c>
      <c r="I30" s="59">
        <v>79.079750239849091</v>
      </c>
      <c r="J30" s="60">
        <v>374.53340187072678</v>
      </c>
      <c r="K30" s="60">
        <v>19.774420688549647</v>
      </c>
      <c r="L30" s="60">
        <v>6.6089630126953122E-5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207.52539046916007</v>
      </c>
      <c r="V30" s="62">
        <v>120.49832611832699</v>
      </c>
      <c r="W30" s="62">
        <v>30.660986150189466</v>
      </c>
      <c r="X30" s="62">
        <v>17.803110741690588</v>
      </c>
      <c r="Y30" s="66">
        <v>123.98185649530122</v>
      </c>
      <c r="Z30" s="66">
        <v>71.989293179749822</v>
      </c>
      <c r="AA30" s="67">
        <v>0</v>
      </c>
      <c r="AB30" s="68">
        <v>61.434581960573212</v>
      </c>
      <c r="AC30" s="69">
        <v>0</v>
      </c>
      <c r="AD30" s="401">
        <v>8.1521030390990603</v>
      </c>
      <c r="AE30" s="401">
        <v>4.4774079478459221</v>
      </c>
      <c r="AF30" s="69">
        <v>12.388858245478739</v>
      </c>
      <c r="AG30" s="68">
        <v>7.7501640441968638</v>
      </c>
      <c r="AH30" s="68">
        <v>4.5000845070422733</v>
      </c>
      <c r="AI30" s="68">
        <v>0.63265361611074566</v>
      </c>
      <c r="AJ30" s="69">
        <v>335.87059125900265</v>
      </c>
      <c r="AK30" s="69">
        <v>1174.3228322982789</v>
      </c>
      <c r="AL30" s="69">
        <v>3112.7829119364419</v>
      </c>
      <c r="AM30" s="69">
        <v>529.70764579772958</v>
      </c>
      <c r="AN30" s="69">
        <v>5099.3845283508299</v>
      </c>
      <c r="AO30" s="69">
        <v>2570.2545126597088</v>
      </c>
      <c r="AP30" s="69">
        <v>726.96052551269531</v>
      </c>
      <c r="AQ30" s="69">
        <v>1649.81396484375</v>
      </c>
      <c r="AR30" s="69">
        <v>449.82784681320197</v>
      </c>
      <c r="AS30" s="69">
        <v>604.63853359222423</v>
      </c>
    </row>
    <row r="31" spans="1:45" x14ac:dyDescent="0.25">
      <c r="A31" s="11">
        <v>42790</v>
      </c>
      <c r="B31" s="59"/>
      <c r="C31" s="60">
        <v>54.293233811855075</v>
      </c>
      <c r="D31" s="60">
        <v>597.14081528981581</v>
      </c>
      <c r="E31" s="60">
        <v>15.150304467479385</v>
      </c>
      <c r="F31" s="60">
        <v>0</v>
      </c>
      <c r="G31" s="60">
        <v>1910.4560384114507</v>
      </c>
      <c r="H31" s="61">
        <v>22.573766534527184</v>
      </c>
      <c r="I31" s="59">
        <v>90.206722795963131</v>
      </c>
      <c r="J31" s="60">
        <v>374.36834392547536</v>
      </c>
      <c r="K31" s="60">
        <v>19.738490957021661</v>
      </c>
      <c r="L31" s="60">
        <v>1.331233978271486E-3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207.42264237468908</v>
      </c>
      <c r="V31" s="62">
        <v>120.45618340639426</v>
      </c>
      <c r="W31" s="62">
        <v>30.761482666266641</v>
      </c>
      <c r="X31" s="62">
        <v>17.864061297642539</v>
      </c>
      <c r="Y31" s="66">
        <v>123.94885721899212</v>
      </c>
      <c r="Z31" s="66">
        <v>71.980600127605868</v>
      </c>
      <c r="AA31" s="67">
        <v>0</v>
      </c>
      <c r="AB31" s="68">
        <v>61.093224143983463</v>
      </c>
      <c r="AC31" s="69">
        <v>0</v>
      </c>
      <c r="AD31" s="401">
        <v>8.1490276283223722</v>
      </c>
      <c r="AE31" s="401">
        <v>4.4752877530061586</v>
      </c>
      <c r="AF31" s="69">
        <v>12.385652178525895</v>
      </c>
      <c r="AG31" s="68">
        <v>7.7498416675849304</v>
      </c>
      <c r="AH31" s="68">
        <v>4.5005518134072329</v>
      </c>
      <c r="AI31" s="68">
        <v>0.63261981581323612</v>
      </c>
      <c r="AJ31" s="69">
        <v>363.93776315053304</v>
      </c>
      <c r="AK31" s="69">
        <v>1265.0127592086792</v>
      </c>
      <c r="AL31" s="69">
        <v>3168.1814762115478</v>
      </c>
      <c r="AM31" s="69">
        <v>535.70449388821919</v>
      </c>
      <c r="AN31" s="69">
        <v>5465.2788772583017</v>
      </c>
      <c r="AO31" s="69">
        <v>2671.0675104777019</v>
      </c>
      <c r="AP31" s="69">
        <v>726.96052551269531</v>
      </c>
      <c r="AQ31" s="69">
        <v>1649.81396484375</v>
      </c>
      <c r="AR31" s="69">
        <v>453.69552704493202</v>
      </c>
      <c r="AS31" s="69">
        <v>596.02379992802923</v>
      </c>
    </row>
    <row r="32" spans="1:45" x14ac:dyDescent="0.25">
      <c r="A32" s="11">
        <v>42791</v>
      </c>
      <c r="B32" s="59"/>
      <c r="C32" s="60">
        <v>55.49535315831492</v>
      </c>
      <c r="D32" s="60">
        <v>586.44645999272711</v>
      </c>
      <c r="E32" s="60">
        <v>15.072703829407683</v>
      </c>
      <c r="F32" s="60">
        <v>0</v>
      </c>
      <c r="G32" s="60">
        <v>1874.1886648813852</v>
      </c>
      <c r="H32" s="61">
        <v>22.59381410976248</v>
      </c>
      <c r="I32" s="59">
        <v>105.46800714333845</v>
      </c>
      <c r="J32" s="60">
        <v>374.46675464312131</v>
      </c>
      <c r="K32" s="60">
        <v>19.741868977745305</v>
      </c>
      <c r="L32" s="60">
        <v>1.8977165222168035E-3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208.65526203991308</v>
      </c>
      <c r="V32" s="62">
        <v>121.14159628138417</v>
      </c>
      <c r="W32" s="62">
        <v>30.647263041437146</v>
      </c>
      <c r="X32" s="62">
        <v>17.793264977832099</v>
      </c>
      <c r="Y32" s="66">
        <v>123.1651400282165</v>
      </c>
      <c r="Z32" s="66">
        <v>71.507526449940499</v>
      </c>
      <c r="AA32" s="67">
        <v>0</v>
      </c>
      <c r="AB32" s="68">
        <v>61.092410580318607</v>
      </c>
      <c r="AC32" s="69">
        <v>0</v>
      </c>
      <c r="AD32" s="401">
        <v>8.1505219432971519</v>
      </c>
      <c r="AE32" s="401">
        <v>4.4748712384141669</v>
      </c>
      <c r="AF32" s="69">
        <v>12.382366002268258</v>
      </c>
      <c r="AG32" s="68">
        <v>7.7503044658807845</v>
      </c>
      <c r="AH32" s="68">
        <v>4.4996912394375279</v>
      </c>
      <c r="AI32" s="68">
        <v>0.63267813739036693</v>
      </c>
      <c r="AJ32" s="69">
        <v>350.63568876584378</v>
      </c>
      <c r="AK32" s="69">
        <v>1236.4942856470743</v>
      </c>
      <c r="AL32" s="69">
        <v>3240.146217473347</v>
      </c>
      <c r="AM32" s="69">
        <v>532.39088122049975</v>
      </c>
      <c r="AN32" s="69">
        <v>5535.2190872192377</v>
      </c>
      <c r="AO32" s="69">
        <v>2619.3032086690268</v>
      </c>
      <c r="AP32" s="69">
        <v>726.96052551269531</v>
      </c>
      <c r="AQ32" s="69">
        <v>1649.81396484375</v>
      </c>
      <c r="AR32" s="69">
        <v>461.53661985397332</v>
      </c>
      <c r="AS32" s="69">
        <v>540.35020856857307</v>
      </c>
    </row>
    <row r="33" spans="1:45" x14ac:dyDescent="0.25">
      <c r="A33" s="11">
        <v>42792</v>
      </c>
      <c r="B33" s="59"/>
      <c r="C33" s="60">
        <v>55.616165947913579</v>
      </c>
      <c r="D33" s="60">
        <v>586.33380072911598</v>
      </c>
      <c r="E33" s="60">
        <v>15.058430128296196</v>
      </c>
      <c r="F33" s="60">
        <v>0</v>
      </c>
      <c r="G33" s="60">
        <v>1844.7164717356288</v>
      </c>
      <c r="H33" s="61">
        <v>22.637242774168644</v>
      </c>
      <c r="I33" s="59">
        <v>105.50101023515049</v>
      </c>
      <c r="J33" s="60">
        <v>374.34569975535015</v>
      </c>
      <c r="K33" s="60">
        <v>19.731449494759204</v>
      </c>
      <c r="L33" s="60">
        <v>2.0487785339355544E-3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204.7816017452198</v>
      </c>
      <c r="V33" s="62">
        <v>118.88595603472965</v>
      </c>
      <c r="W33" s="62">
        <v>30.773616386177171</v>
      </c>
      <c r="X33" s="62">
        <v>17.865622563439569</v>
      </c>
      <c r="Y33" s="66">
        <v>123.11161378224365</v>
      </c>
      <c r="Z33" s="66">
        <v>71.472445662819851</v>
      </c>
      <c r="AA33" s="67">
        <v>0</v>
      </c>
      <c r="AB33" s="68">
        <v>61.090140504308366</v>
      </c>
      <c r="AC33" s="69">
        <v>0</v>
      </c>
      <c r="AD33" s="401">
        <v>8.1490939234953945</v>
      </c>
      <c r="AE33" s="401">
        <v>4.4820451499281804</v>
      </c>
      <c r="AF33" s="69">
        <v>12.384636146492433</v>
      </c>
      <c r="AG33" s="68">
        <v>7.7508569576654622</v>
      </c>
      <c r="AH33" s="68">
        <v>4.4997598985818277</v>
      </c>
      <c r="AI33" s="68">
        <v>0.63269115740182968</v>
      </c>
      <c r="AJ33" s="69">
        <v>361.99046565691629</v>
      </c>
      <c r="AK33" s="69">
        <v>1207.850771776835</v>
      </c>
      <c r="AL33" s="69">
        <v>3218.7604024251305</v>
      </c>
      <c r="AM33" s="69">
        <v>517.08445072174072</v>
      </c>
      <c r="AN33" s="69">
        <v>5143.7321553548181</v>
      </c>
      <c r="AO33" s="69">
        <v>2650.1399754842123</v>
      </c>
      <c r="AP33" s="69">
        <v>726.96052551269531</v>
      </c>
      <c r="AQ33" s="69">
        <v>1649.81396484375</v>
      </c>
      <c r="AR33" s="69">
        <v>462.92827539443965</v>
      </c>
      <c r="AS33" s="69">
        <v>528.19242286682129</v>
      </c>
    </row>
    <row r="34" spans="1:45" x14ac:dyDescent="0.25">
      <c r="A34" s="11">
        <v>42793</v>
      </c>
      <c r="B34" s="59"/>
      <c r="C34" s="60">
        <v>56.23281582593907</v>
      </c>
      <c r="D34" s="60">
        <v>589.17481708526611</v>
      </c>
      <c r="E34" s="60">
        <v>15.191156764825186</v>
      </c>
      <c r="F34" s="60">
        <v>0</v>
      </c>
      <c r="G34" s="60">
        <v>1818.9620772043806</v>
      </c>
      <c r="H34" s="61">
        <v>22.834343885382026</v>
      </c>
      <c r="I34" s="59">
        <v>105.46954925854992</v>
      </c>
      <c r="J34" s="60">
        <v>374.8095394611351</v>
      </c>
      <c r="K34" s="60">
        <v>19.760833585262297</v>
      </c>
      <c r="L34" s="60">
        <v>2.3886680603027455E-3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199.28514080713973</v>
      </c>
      <c r="V34" s="62">
        <v>112.8085955023359</v>
      </c>
      <c r="W34" s="62">
        <v>29.068534104262422</v>
      </c>
      <c r="X34" s="62">
        <v>16.454716555044396</v>
      </c>
      <c r="Y34" s="66">
        <v>121.85578243664585</v>
      </c>
      <c r="Z34" s="66">
        <v>68.978447739961865</v>
      </c>
      <c r="AA34" s="67">
        <v>0</v>
      </c>
      <c r="AB34" s="68">
        <v>65.890233895514001</v>
      </c>
      <c r="AC34" s="69">
        <v>0</v>
      </c>
      <c r="AD34" s="401">
        <v>8.1448853595122461</v>
      </c>
      <c r="AE34" s="401">
        <v>4.5034513733947508</v>
      </c>
      <c r="AF34" s="69">
        <v>12.122034586800453</v>
      </c>
      <c r="AG34" s="68">
        <v>7.6497927935796266</v>
      </c>
      <c r="AH34" s="68">
        <v>4.3302896414276519</v>
      </c>
      <c r="AI34" s="68">
        <v>0.63854258391628327</v>
      </c>
      <c r="AJ34" s="69">
        <v>362.92782333691906</v>
      </c>
      <c r="AK34" s="69">
        <v>1184.7346368789676</v>
      </c>
      <c r="AL34" s="69">
        <v>3230.3361005147303</v>
      </c>
      <c r="AM34" s="69">
        <v>516.54270133972182</v>
      </c>
      <c r="AN34" s="69">
        <v>4776.8556457519544</v>
      </c>
      <c r="AO34" s="69">
        <v>2575.9662839253742</v>
      </c>
      <c r="AP34" s="69">
        <v>726.96052551269531</v>
      </c>
      <c r="AQ34" s="69">
        <v>1649.81396484375</v>
      </c>
      <c r="AR34" s="69">
        <v>460.61810814539598</v>
      </c>
      <c r="AS34" s="69">
        <v>582.744031492869</v>
      </c>
    </row>
    <row r="35" spans="1:45" x14ac:dyDescent="0.25">
      <c r="A35" s="11">
        <v>42794</v>
      </c>
      <c r="B35" s="59"/>
      <c r="C35" s="60">
        <v>54.762702536582701</v>
      </c>
      <c r="D35" s="60">
        <v>586.88049815495845</v>
      </c>
      <c r="E35" s="60">
        <v>15.2026785482963</v>
      </c>
      <c r="F35" s="60">
        <v>0</v>
      </c>
      <c r="G35" s="60">
        <v>1895.6857913970855</v>
      </c>
      <c r="H35" s="61">
        <v>22.682206903894752</v>
      </c>
      <c r="I35" s="59">
        <v>105.37285225391392</v>
      </c>
      <c r="J35" s="60">
        <v>374.15953984260472</v>
      </c>
      <c r="K35" s="60">
        <v>19.774725656708075</v>
      </c>
      <c r="L35" s="60">
        <v>5.8724045753478574E-3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198.85921489932673</v>
      </c>
      <c r="V35" s="62">
        <v>115.46465994511698</v>
      </c>
      <c r="W35" s="62">
        <v>29.812796468766823</v>
      </c>
      <c r="X35" s="62">
        <v>17.310359029737878</v>
      </c>
      <c r="Y35" s="66">
        <v>122.20861125414932</v>
      </c>
      <c r="Z35" s="66">
        <v>70.958621394381865</v>
      </c>
      <c r="AA35" s="67">
        <v>0</v>
      </c>
      <c r="AB35" s="68">
        <v>68.329327731662062</v>
      </c>
      <c r="AC35" s="69">
        <v>0</v>
      </c>
      <c r="AD35" s="401">
        <v>8.1438205982243268</v>
      </c>
      <c r="AE35" s="401">
        <v>4.4862063771988039</v>
      </c>
      <c r="AF35" s="69">
        <v>12.257344943284981</v>
      </c>
      <c r="AG35" s="68">
        <v>7.6684522393277952</v>
      </c>
      <c r="AH35" s="68">
        <v>4.452573296981031</v>
      </c>
      <c r="AI35" s="68">
        <v>0.63265704839551407</v>
      </c>
      <c r="AJ35" s="69">
        <v>345.99466654459638</v>
      </c>
      <c r="AK35" s="69">
        <v>1205.4114107131957</v>
      </c>
      <c r="AL35" s="69">
        <v>3101.1043301900227</v>
      </c>
      <c r="AM35" s="69">
        <v>524.55363645553587</v>
      </c>
      <c r="AN35" s="69">
        <v>4815.5499053955082</v>
      </c>
      <c r="AO35" s="69">
        <v>2569.1182409922285</v>
      </c>
      <c r="AP35" s="69">
        <v>726.96052551269531</v>
      </c>
      <c r="AQ35" s="69">
        <v>1649.81396484375</v>
      </c>
      <c r="AR35" s="69">
        <v>452.09387518564859</v>
      </c>
      <c r="AS35" s="69">
        <v>597.39044879277537</v>
      </c>
    </row>
    <row r="36" spans="1:45" x14ac:dyDescent="0.25">
      <c r="A36" s="11"/>
      <c r="B36" s="59"/>
      <c r="C36" s="60"/>
      <c r="D36" s="60"/>
      <c r="E36" s="60"/>
      <c r="F36" s="60"/>
      <c r="G36" s="60"/>
      <c r="H36" s="61"/>
      <c r="I36" s="59"/>
      <c r="J36" s="60"/>
      <c r="K36" s="60"/>
      <c r="L36" s="60"/>
      <c r="M36" s="60"/>
      <c r="N36" s="61"/>
      <c r="O36" s="59"/>
      <c r="P36" s="60"/>
      <c r="Q36" s="60"/>
      <c r="R36" s="63"/>
      <c r="S36" s="60"/>
      <c r="T36" s="64"/>
      <c r="U36" s="65"/>
      <c r="V36" s="62"/>
      <c r="W36" s="62"/>
      <c r="X36" s="62"/>
      <c r="Y36" s="66"/>
      <c r="Z36" s="66"/>
      <c r="AA36" s="67"/>
      <c r="AB36" s="68"/>
      <c r="AC36" s="69"/>
      <c r="AD36" s="401"/>
      <c r="AE36" s="401"/>
      <c r="AF36" s="69"/>
      <c r="AG36" s="68"/>
      <c r="AH36" s="68"/>
      <c r="AI36" s="68"/>
      <c r="AJ36" s="69"/>
      <c r="AK36" s="69"/>
      <c r="AL36" s="69"/>
      <c r="AM36" s="69"/>
      <c r="AN36" s="69"/>
      <c r="AO36" s="69"/>
      <c r="AP36" s="69"/>
      <c r="AQ36" s="69"/>
      <c r="AR36" s="69"/>
      <c r="AS36" s="69"/>
    </row>
    <row r="37" spans="1:45" x14ac:dyDescent="0.25">
      <c r="A37" s="11"/>
      <c r="B37" s="65"/>
      <c r="C37" s="384"/>
      <c r="D37" s="384"/>
      <c r="E37" s="384"/>
      <c r="F37" s="384"/>
      <c r="G37" s="384"/>
      <c r="H37" s="394"/>
      <c r="I37" s="383"/>
      <c r="J37" s="384"/>
      <c r="K37" s="384"/>
      <c r="L37" s="384"/>
      <c r="M37" s="384"/>
      <c r="N37" s="394"/>
      <c r="O37" s="383"/>
      <c r="P37" s="384"/>
      <c r="Q37" s="384"/>
      <c r="R37" s="395"/>
      <c r="S37" s="384"/>
      <c r="T37" s="396"/>
      <c r="U37" s="397"/>
      <c r="V37" s="81"/>
      <c r="W37" s="81"/>
      <c r="X37" s="81"/>
      <c r="Y37" s="80"/>
      <c r="Z37" s="80"/>
      <c r="AA37" s="82"/>
      <c r="AB37" s="398"/>
      <c r="AC37" s="392"/>
      <c r="AD37" s="401"/>
      <c r="AE37" s="401"/>
      <c r="AF37" s="392"/>
      <c r="AG37" s="398"/>
      <c r="AH37" s="398"/>
      <c r="AI37" s="398"/>
      <c r="AJ37" s="392"/>
      <c r="AK37" s="392"/>
      <c r="AL37" s="392"/>
      <c r="AM37" s="392"/>
      <c r="AN37" s="392"/>
      <c r="AO37" s="392"/>
      <c r="AP37" s="392"/>
      <c r="AQ37" s="392"/>
      <c r="AR37" s="392"/>
      <c r="AS37" s="392"/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1"/>
      <c r="AE38" s="401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173</v>
      </c>
      <c r="B39" s="29">
        <f t="shared" ref="B39:AC39" si="0">SUM(B8:B38)</f>
        <v>0</v>
      </c>
      <c r="C39" s="30">
        <f>SUM(C8:C38)</f>
        <v>1555.3814654568803</v>
      </c>
      <c r="D39" s="30">
        <f t="shared" si="0"/>
        <v>17366.856366380063</v>
      </c>
      <c r="E39" s="30">
        <f t="shared" si="0"/>
        <v>426.40045595169056</v>
      </c>
      <c r="F39" s="30">
        <f t="shared" si="0"/>
        <v>0</v>
      </c>
      <c r="G39" s="30">
        <f t="shared" si="0"/>
        <v>50940.735868326694</v>
      </c>
      <c r="H39" s="31">
        <f t="shared" si="0"/>
        <v>637.24255212148012</v>
      </c>
      <c r="I39" s="29">
        <f t="shared" si="0"/>
        <v>1884.072899115085</v>
      </c>
      <c r="J39" s="30">
        <f t="shared" si="0"/>
        <v>10601.127713584883</v>
      </c>
      <c r="K39" s="30">
        <f t="shared" si="0"/>
        <v>579.02962438861516</v>
      </c>
      <c r="L39" s="30">
        <f t="shared" si="0"/>
        <v>6.607428789138714E-2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5591.6040413800492</v>
      </c>
      <c r="V39" s="262">
        <f t="shared" si="0"/>
        <v>3205.9684570368554</v>
      </c>
      <c r="W39" s="262">
        <f t="shared" si="0"/>
        <v>829.66681889367487</v>
      </c>
      <c r="X39" s="262">
        <f t="shared" si="0"/>
        <v>475.74666508364294</v>
      </c>
      <c r="Y39" s="262">
        <f t="shared" si="0"/>
        <v>3657.3053797447055</v>
      </c>
      <c r="Z39" s="262">
        <f t="shared" si="0"/>
        <v>2096.5337720907364</v>
      </c>
      <c r="AA39" s="270">
        <f t="shared" si="0"/>
        <v>0</v>
      </c>
      <c r="AB39" s="273">
        <f t="shared" si="0"/>
        <v>1643.6226229084991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10396.792910758653</v>
      </c>
      <c r="AK39" s="273">
        <f t="shared" si="1"/>
        <v>32835.958286221823</v>
      </c>
      <c r="AL39" s="273">
        <f t="shared" si="1"/>
        <v>90897.921937433901</v>
      </c>
      <c r="AM39" s="273">
        <f t="shared" si="1"/>
        <v>14061.583269834518</v>
      </c>
      <c r="AN39" s="273">
        <f t="shared" si="1"/>
        <v>137442.3707354228</v>
      </c>
      <c r="AO39" s="273">
        <f t="shared" si="1"/>
        <v>75097.108141708377</v>
      </c>
      <c r="AP39" s="273">
        <f t="shared" si="1"/>
        <v>20354.894714355469</v>
      </c>
      <c r="AQ39" s="273">
        <f t="shared" si="1"/>
        <v>46205.299317550656</v>
      </c>
      <c r="AR39" s="273">
        <f t="shared" si="1"/>
        <v>11936.136450290678</v>
      </c>
      <c r="AS39" s="273">
        <f t="shared" si="1"/>
        <v>16217.212219842273</v>
      </c>
    </row>
    <row r="40" spans="1:45" ht="15.75" thickBot="1" x14ac:dyDescent="0.3">
      <c r="A40" s="47" t="s">
        <v>174</v>
      </c>
      <c r="B40" s="32">
        <f>Projection!$AA$30</f>
        <v>0.82128400199999985</v>
      </c>
      <c r="C40" s="33">
        <f>Projection!$AA$28</f>
        <v>1.0959093599999998</v>
      </c>
      <c r="D40" s="33">
        <f>Projection!$AA$31</f>
        <v>2.504502</v>
      </c>
      <c r="E40" s="33">
        <f>Projection!$AA$26</f>
        <v>3.9898560000000005</v>
      </c>
      <c r="F40" s="33">
        <f>Projection!$AA$23</f>
        <v>0</v>
      </c>
      <c r="G40" s="33">
        <f>Projection!$AA$24</f>
        <v>5.5265000000000002E-2</v>
      </c>
      <c r="H40" s="34">
        <f>Projection!$AA$29</f>
        <v>3.1332129000000002</v>
      </c>
      <c r="I40" s="32">
        <f>Projection!$AA$30</f>
        <v>0.82128400199999985</v>
      </c>
      <c r="J40" s="33">
        <f>Projection!$AA$28</f>
        <v>1.0959093599999998</v>
      </c>
      <c r="K40" s="33">
        <f>Projection!$AA$26</f>
        <v>3.9898560000000005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1.0959093599999998</v>
      </c>
      <c r="T40" s="38">
        <f>Projection!$AA$28</f>
        <v>1.0959093599999998</v>
      </c>
      <c r="U40" s="26">
        <f>Projection!$AA$27</f>
        <v>0.2321</v>
      </c>
      <c r="V40" s="27">
        <f>Projection!$AA$27</f>
        <v>0.2321</v>
      </c>
      <c r="W40" s="27">
        <f>Projection!$AA$22</f>
        <v>0.74349432000000004</v>
      </c>
      <c r="X40" s="27">
        <f>Projection!$AA$22</f>
        <v>0.74349432000000004</v>
      </c>
      <c r="Y40" s="27">
        <f>Projection!$AA$31</f>
        <v>2.504502</v>
      </c>
      <c r="Z40" s="27">
        <f>Projection!$AA$31</f>
        <v>2.504502</v>
      </c>
      <c r="AA40" s="28">
        <v>0</v>
      </c>
      <c r="AB40" s="41">
        <f>Projection!$AA$27</f>
        <v>0.2321</v>
      </c>
      <c r="AC40" s="41">
        <f>Projection!$AA$30</f>
        <v>0.82128400199999985</v>
      </c>
      <c r="AD40" s="403">
        <f>SUM(AD8:AD38)</f>
        <v>230.73740029163233</v>
      </c>
      <c r="AE40" s="403">
        <f>SUM(AE8:AE38)</f>
        <v>126.14003646155386</v>
      </c>
      <c r="AF40" s="277">
        <f>SUM(AF8:AF38)</f>
        <v>343.65186886224478</v>
      </c>
      <c r="AG40" s="277">
        <f>SUM(AG8:AG38)</f>
        <v>215.55760170276329</v>
      </c>
      <c r="AH40" s="277">
        <f>SUM(AH8:AH38)</f>
        <v>123.57727597793385</v>
      </c>
      <c r="AI40" s="277">
        <f>IF(SUM(AG40:AH40)&gt;0, AG40/(AG40+AH40), 0)</f>
        <v>0.63561024208697114</v>
      </c>
      <c r="AJ40" s="313">
        <v>0.06</v>
      </c>
      <c r="AK40" s="313">
        <f t="shared" ref="AK40:AS40" si="2">$AJ$40</f>
        <v>0.06</v>
      </c>
      <c r="AL40" s="313">
        <f t="shared" si="2"/>
        <v>0.06</v>
      </c>
      <c r="AM40" s="313">
        <f t="shared" si="2"/>
        <v>0.06</v>
      </c>
      <c r="AN40" s="313">
        <f t="shared" si="2"/>
        <v>0.06</v>
      </c>
      <c r="AO40" s="313">
        <f t="shared" si="2"/>
        <v>0.06</v>
      </c>
      <c r="AP40" s="313">
        <f t="shared" si="2"/>
        <v>0.06</v>
      </c>
      <c r="AQ40" s="313">
        <f t="shared" si="2"/>
        <v>0.06</v>
      </c>
      <c r="AR40" s="313">
        <f t="shared" si="2"/>
        <v>0.06</v>
      </c>
      <c r="AS40" s="313">
        <f t="shared" si="2"/>
        <v>0.06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1704.5571063647114</v>
      </c>
      <c r="D41" s="36">
        <f t="shared" si="3"/>
        <v>43495.326503311604</v>
      </c>
      <c r="E41" s="36">
        <f t="shared" si="3"/>
        <v>1701.2764175815885</v>
      </c>
      <c r="F41" s="36">
        <f t="shared" si="3"/>
        <v>0</v>
      </c>
      <c r="G41" s="36">
        <f t="shared" si="3"/>
        <v>2815.2397677630747</v>
      </c>
      <c r="H41" s="37">
        <f t="shared" si="3"/>
        <v>1996.6165847359439</v>
      </c>
      <c r="I41" s="35">
        <f t="shared" si="3"/>
        <v>1547.358930644979</v>
      </c>
      <c r="J41" s="36">
        <f t="shared" si="3"/>
        <v>11617.875087873072</v>
      </c>
      <c r="K41" s="36">
        <f t="shared" si="3"/>
        <v>2310.2448210446628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1297.8112980043095</v>
      </c>
      <c r="V41" s="268">
        <f t="shared" si="3"/>
        <v>744.10527887825413</v>
      </c>
      <c r="W41" s="268">
        <f t="shared" si="3"/>
        <v>616.85256733991594</v>
      </c>
      <c r="X41" s="268">
        <f t="shared" si="3"/>
        <v>353.71494324863085</v>
      </c>
      <c r="Y41" s="268">
        <f t="shared" si="3"/>
        <v>9159.7286381813738</v>
      </c>
      <c r="Z41" s="268">
        <f t="shared" si="3"/>
        <v>5250.7730252687934</v>
      </c>
      <c r="AA41" s="272">
        <f t="shared" si="3"/>
        <v>0</v>
      </c>
      <c r="AB41" s="275">
        <f t="shared" si="3"/>
        <v>381.48481077706265</v>
      </c>
      <c r="AC41" s="275">
        <f t="shared" si="3"/>
        <v>0</v>
      </c>
      <c r="AJ41" s="278">
        <f t="shared" ref="AJ41:AS41" si="4">AJ40*AJ39</f>
        <v>623.80757464551914</v>
      </c>
      <c r="AK41" s="278">
        <f t="shared" si="4"/>
        <v>1970.1574971733094</v>
      </c>
      <c r="AL41" s="278">
        <f t="shared" si="4"/>
        <v>5453.8753162460334</v>
      </c>
      <c r="AM41" s="278">
        <f t="shared" si="4"/>
        <v>843.69499619007104</v>
      </c>
      <c r="AN41" s="278">
        <f t="shared" si="4"/>
        <v>8246.5422441253668</v>
      </c>
      <c r="AO41" s="278">
        <f t="shared" si="4"/>
        <v>4505.8264885025028</v>
      </c>
      <c r="AP41" s="278">
        <f t="shared" si="4"/>
        <v>1221.2936828613281</v>
      </c>
      <c r="AQ41" s="278">
        <f t="shared" si="4"/>
        <v>2772.3179590530394</v>
      </c>
      <c r="AR41" s="278">
        <f t="shared" si="4"/>
        <v>716.16818701744069</v>
      </c>
      <c r="AS41" s="278">
        <f t="shared" si="4"/>
        <v>973.03273319053631</v>
      </c>
    </row>
    <row r="42" spans="1:45" ht="49.5" customHeight="1" thickTop="1" thickBot="1" x14ac:dyDescent="0.3">
      <c r="A42" s="620" t="s">
        <v>225</v>
      </c>
      <c r="B42" s="621"/>
      <c r="C42" s="621"/>
      <c r="D42" s="621"/>
      <c r="E42" s="621"/>
      <c r="F42" s="621"/>
      <c r="G42" s="621"/>
      <c r="H42" s="621"/>
      <c r="I42" s="621"/>
      <c r="J42" s="621"/>
      <c r="K42" s="614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186</v>
      </c>
      <c r="AJ42" s="295">
        <v>1406.67</v>
      </c>
      <c r="AK42" s="278" t="s">
        <v>199</v>
      </c>
      <c r="AL42" s="278">
        <v>2236.69</v>
      </c>
      <c r="AM42" s="278">
        <v>435.15</v>
      </c>
      <c r="AN42" s="278">
        <v>1194.8</v>
      </c>
      <c r="AO42" s="278">
        <v>7455.29</v>
      </c>
      <c r="AP42" s="278">
        <v>1216.73</v>
      </c>
      <c r="AQ42" s="278" t="s">
        <v>199</v>
      </c>
      <c r="AR42" s="278">
        <v>381.17</v>
      </c>
      <c r="AS42" s="278">
        <v>553.79</v>
      </c>
    </row>
    <row r="43" spans="1:45" ht="38.25" customHeight="1" thickTop="1" thickBot="1" x14ac:dyDescent="0.3">
      <c r="A43" s="617" t="s">
        <v>49</v>
      </c>
      <c r="B43" s="613"/>
      <c r="C43" s="289"/>
      <c r="D43" s="613" t="s">
        <v>47</v>
      </c>
      <c r="E43" s="613"/>
      <c r="F43" s="289"/>
      <c r="G43" s="613" t="s">
        <v>48</v>
      </c>
      <c r="H43" s="613"/>
      <c r="I43" s="290"/>
      <c r="J43" s="613" t="s">
        <v>50</v>
      </c>
      <c r="K43" s="614"/>
      <c r="L43" s="44"/>
      <c r="M43" s="44"/>
      <c r="N43" s="44"/>
      <c r="O43" s="45"/>
      <c r="P43" s="45"/>
      <c r="Q43" s="45"/>
      <c r="R43" s="602" t="s">
        <v>168</v>
      </c>
      <c r="S43" s="603"/>
      <c r="T43" s="603"/>
      <c r="U43" s="604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84992.965781017978</v>
      </c>
      <c r="C44" s="12"/>
      <c r="D44" s="282" t="s">
        <v>135</v>
      </c>
      <c r="E44" s="283">
        <f>SUM(B41:H41)+P41+R41+T41+V41+X41+Z41</f>
        <v>58061.609627152604</v>
      </c>
      <c r="F44" s="12"/>
      <c r="G44" s="282" t="s">
        <v>135</v>
      </c>
      <c r="H44" s="283">
        <f>SUM(I41:N41)+O41+Q41+S41+U41+W41+Y41</f>
        <v>26549.871343088314</v>
      </c>
      <c r="I44" s="12"/>
      <c r="J44" s="282" t="s">
        <v>200</v>
      </c>
      <c r="K44" s="283">
        <v>128163.78</v>
      </c>
      <c r="L44" s="12"/>
      <c r="M44" s="12"/>
      <c r="N44" s="12"/>
      <c r="O44" s="12"/>
      <c r="P44" s="12"/>
      <c r="Q44" s="12"/>
      <c r="R44" s="307" t="s">
        <v>135</v>
      </c>
      <c r="S44" s="308"/>
      <c r="T44" s="305" t="s">
        <v>169</v>
      </c>
      <c r="U44" s="255" t="s">
        <v>170</v>
      </c>
    </row>
    <row r="45" spans="1:45" ht="24" thickBot="1" x14ac:dyDescent="0.4">
      <c r="A45" s="284" t="s">
        <v>185</v>
      </c>
      <c r="B45" s="285">
        <f>SUM(AJ41:AS41)</f>
        <v>27326.716679005141</v>
      </c>
      <c r="C45" s="12"/>
      <c r="D45" s="284" t="s">
        <v>185</v>
      </c>
      <c r="E45" s="285">
        <f>AJ41*(1-$AI$40)+AK41+AL41*0.5+AN41+AO41*(1-$AI$40)+AP41*(1-$AI$40)+AQ41*(1-$AI$40)+AR41*0.5+AS41*0.5</f>
        <v>17112.655153374446</v>
      </c>
      <c r="F45" s="24"/>
      <c r="G45" s="284" t="s">
        <v>185</v>
      </c>
      <c r="H45" s="285">
        <f>AJ41*AI40+AL41*0.5+AM41+AO41*AI40+AP41*AI40+AQ41*AI40+AR41*0.5+AS41*0.5</f>
        <v>10214.061525630699</v>
      </c>
      <c r="I45" s="12"/>
      <c r="J45" s="12"/>
      <c r="K45" s="288"/>
      <c r="L45" s="12"/>
      <c r="M45" s="12"/>
      <c r="N45" s="12"/>
      <c r="O45" s="12"/>
      <c r="P45" s="12"/>
      <c r="Q45" s="12"/>
      <c r="R45" s="309" t="s">
        <v>141</v>
      </c>
      <c r="S45" s="310"/>
      <c r="T45" s="254">
        <f>$W$39+$X$39</f>
        <v>1305.4134839773178</v>
      </c>
      <c r="U45" s="256">
        <f>(T45*8.34*0.895)/27000</f>
        <v>0.36088880994266276</v>
      </c>
    </row>
    <row r="46" spans="1:45" ht="32.25" thickBot="1" x14ac:dyDescent="0.3">
      <c r="A46" s="286" t="s">
        <v>186</v>
      </c>
      <c r="B46" s="287">
        <f>SUM(AJ42:AS42)</f>
        <v>14880.29</v>
      </c>
      <c r="C46" s="12"/>
      <c r="D46" s="286" t="s">
        <v>186</v>
      </c>
      <c r="E46" s="287">
        <f>AJ42*(1-$AI$40)+AL42*0.5+AN42+AO42*(1-$AI$40)+AP42*(1-$AI$40)+AR42*0.5+AS42*0.5</f>
        <v>6453.1964091804657</v>
      </c>
      <c r="F46" s="23"/>
      <c r="G46" s="286" t="s">
        <v>186</v>
      </c>
      <c r="H46" s="287">
        <f>AJ42*AI40+AL42*0.5+AM42+AO42*AI40+AP42*AI40+AR42*0.5+AS42*0.5</f>
        <v>8427.0935908195352</v>
      </c>
      <c r="I46" s="12"/>
      <c r="J46" s="615" t="s">
        <v>201</v>
      </c>
      <c r="K46" s="616"/>
      <c r="L46" s="12"/>
      <c r="M46" s="12"/>
      <c r="N46" s="12"/>
      <c r="O46" s="12"/>
      <c r="P46" s="12"/>
      <c r="Q46" s="12"/>
      <c r="R46" s="309" t="s">
        <v>145</v>
      </c>
      <c r="S46" s="310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187</v>
      </c>
      <c r="B47" s="287">
        <f>K44</f>
        <v>128163.78</v>
      </c>
      <c r="C47" s="12"/>
      <c r="D47" s="286" t="s">
        <v>189</v>
      </c>
      <c r="E47" s="287">
        <f>K44*0.5</f>
        <v>64081.89</v>
      </c>
      <c r="F47" s="24"/>
      <c r="G47" s="286" t="s">
        <v>187</v>
      </c>
      <c r="H47" s="287">
        <f>K44*0.5</f>
        <v>64081.89</v>
      </c>
      <c r="I47" s="12"/>
      <c r="J47" s="282" t="s">
        <v>200</v>
      </c>
      <c r="K47" s="283">
        <v>35288.03</v>
      </c>
      <c r="L47" s="12"/>
      <c r="M47" s="12"/>
      <c r="N47" s="12"/>
      <c r="O47" s="12"/>
      <c r="P47" s="12"/>
      <c r="Q47" s="12"/>
      <c r="R47" s="309" t="s">
        <v>148</v>
      </c>
      <c r="S47" s="310"/>
      <c r="T47" s="254">
        <f>$G$39</f>
        <v>50940.735868326694</v>
      </c>
      <c r="U47" s="256">
        <f>T47/40000</f>
        <v>1.2735183967081674</v>
      </c>
    </row>
    <row r="48" spans="1:45" ht="24" thickBot="1" x14ac:dyDescent="0.3">
      <c r="A48" s="286" t="s">
        <v>188</v>
      </c>
      <c r="B48" s="287">
        <f>K47</f>
        <v>35288.03</v>
      </c>
      <c r="C48" s="12"/>
      <c r="D48" s="286" t="s">
        <v>188</v>
      </c>
      <c r="E48" s="287">
        <f>K47*0.5</f>
        <v>17644.014999999999</v>
      </c>
      <c r="F48" s="23"/>
      <c r="G48" s="286" t="s">
        <v>188</v>
      </c>
      <c r="H48" s="287">
        <f>K47*0.5</f>
        <v>17644.014999999999</v>
      </c>
      <c r="I48" s="12"/>
      <c r="J48" s="12"/>
      <c r="K48" s="86"/>
      <c r="L48" s="12"/>
      <c r="M48" s="12"/>
      <c r="N48" s="12"/>
      <c r="O48" s="12"/>
      <c r="P48" s="12"/>
      <c r="Q48" s="12"/>
      <c r="R48" s="309" t="s">
        <v>150</v>
      </c>
      <c r="S48" s="310"/>
      <c r="T48" s="254">
        <f>$L$39</f>
        <v>6.607428789138714E-2</v>
      </c>
      <c r="U48" s="256">
        <f>T48*9.34*0.107</f>
        <v>6.6033321832894482E-2</v>
      </c>
    </row>
    <row r="49" spans="1:25" ht="48" thickTop="1" thickBot="1" x14ac:dyDescent="0.3">
      <c r="A49" s="291" t="s">
        <v>196</v>
      </c>
      <c r="B49" s="292">
        <f>AF40</f>
        <v>343.65186886224478</v>
      </c>
      <c r="C49" s="12"/>
      <c r="D49" s="291" t="s">
        <v>197</v>
      </c>
      <c r="E49" s="292">
        <f>AH40</f>
        <v>123.57727597793385</v>
      </c>
      <c r="F49" s="23"/>
      <c r="G49" s="291" t="s">
        <v>198</v>
      </c>
      <c r="H49" s="292">
        <f>AG40</f>
        <v>215.55760170276329</v>
      </c>
      <c r="I49" s="12"/>
      <c r="J49" s="12"/>
      <c r="K49" s="86"/>
      <c r="L49" s="12"/>
      <c r="M49" s="12"/>
      <c r="N49" s="12"/>
      <c r="O49" s="12"/>
      <c r="P49" s="12"/>
      <c r="Q49" s="12"/>
      <c r="R49" s="309" t="s">
        <v>152</v>
      </c>
      <c r="S49" s="310"/>
      <c r="T49" s="254">
        <f>$E$39+$K$39</f>
        <v>1005.4300803403057</v>
      </c>
      <c r="U49" s="256">
        <f>(T49*8.34*1.04)/45000</f>
        <v>0.19379329655199279</v>
      </c>
    </row>
    <row r="50" spans="1:25" ht="48" customHeight="1" thickTop="1" thickBot="1" x14ac:dyDescent="0.3">
      <c r="A50" s="291" t="s">
        <v>238</v>
      </c>
      <c r="B50" s="292">
        <f>SUM(E50+H50)</f>
        <v>356.8774367531862</v>
      </c>
      <c r="C50" s="12"/>
      <c r="D50" s="291" t="s">
        <v>239</v>
      </c>
      <c r="E50" s="292">
        <f>AE40</f>
        <v>126.14003646155386</v>
      </c>
      <c r="F50" s="23"/>
      <c r="G50" s="291" t="s">
        <v>240</v>
      </c>
      <c r="H50" s="292">
        <f>AD40</f>
        <v>230.73740029163233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192</v>
      </c>
      <c r="B51" s="293">
        <f>(SUM(B44:B48)/B50)</f>
        <v>814.43025679719767</v>
      </c>
      <c r="C51" s="12"/>
      <c r="D51" s="291" t="s">
        <v>190</v>
      </c>
      <c r="E51" s="402">
        <f>SUM(E44:E48)/E50</f>
        <v>1295.0160057984119</v>
      </c>
      <c r="F51" s="23"/>
      <c r="G51" s="291" t="s">
        <v>191</v>
      </c>
      <c r="H51" s="402">
        <f>SUM(H44:H48)/H50</f>
        <v>550.04923908792603</v>
      </c>
      <c r="I51" s="12"/>
      <c r="J51" s="12"/>
      <c r="K51" s="86"/>
      <c r="L51" s="12"/>
      <c r="M51" s="12"/>
      <c r="N51" s="12"/>
      <c r="O51" s="12"/>
      <c r="P51" s="12"/>
      <c r="Q51" s="12"/>
      <c r="R51" s="309" t="s">
        <v>153</v>
      </c>
      <c r="S51" s="310"/>
      <c r="T51" s="254">
        <f>$U$39+$V$39+$AB$39</f>
        <v>10441.195121325403</v>
      </c>
      <c r="U51" s="256">
        <f>T51/2000/8</f>
        <v>0.65257469508283772</v>
      </c>
    </row>
    <row r="52" spans="1:25" ht="47.25" customHeight="1" thickTop="1" thickBot="1" x14ac:dyDescent="0.3">
      <c r="A52" s="281" t="s">
        <v>193</v>
      </c>
      <c r="B52" s="294">
        <f>B51/1000</f>
        <v>0.81443025679719772</v>
      </c>
      <c r="C52" s="12"/>
      <c r="D52" s="281" t="s">
        <v>194</v>
      </c>
      <c r="E52" s="294">
        <f>E51/1000</f>
        <v>1.2950160057984119</v>
      </c>
      <c r="F52" s="374">
        <f>E44/E49</f>
        <v>469.8405039897479</v>
      </c>
      <c r="G52" s="281" t="s">
        <v>195</v>
      </c>
      <c r="H52" s="294">
        <f>H51/1000</f>
        <v>0.55004923908792602</v>
      </c>
      <c r="I52" s="374">
        <f>H44/H49</f>
        <v>123.16833706332689</v>
      </c>
      <c r="J52" s="12"/>
      <c r="K52" s="86"/>
      <c r="L52" s="12"/>
      <c r="M52" s="12"/>
      <c r="N52" s="12"/>
      <c r="O52" s="12"/>
      <c r="P52" s="12"/>
      <c r="Q52" s="12"/>
      <c r="R52" s="309" t="s">
        <v>154</v>
      </c>
      <c r="S52" s="310"/>
      <c r="T52" s="254">
        <f>$C$39+$J$39+$S$39+$T$39</f>
        <v>12156.509179041763</v>
      </c>
      <c r="U52" s="256">
        <f>(T52*8.34*1.4)/45000</f>
        <v>3.1542089149887018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9" t="s">
        <v>155</v>
      </c>
      <c r="S53" s="310"/>
      <c r="T53" s="254">
        <f>$H$39</f>
        <v>637.24255212148012</v>
      </c>
      <c r="U53" s="256">
        <f>(T53*8.34*1.135)/45000</f>
        <v>0.13404609498059375</v>
      </c>
    </row>
    <row r="54" spans="1:25" ht="48" customHeight="1" thickTop="1" thickBot="1" x14ac:dyDescent="0.3">
      <c r="A54" s="605" t="s">
        <v>51</v>
      </c>
      <c r="B54" s="606"/>
      <c r="C54" s="606"/>
      <c r="D54" s="606"/>
      <c r="E54" s="60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09" t="s">
        <v>156</v>
      </c>
      <c r="S54" s="310"/>
      <c r="T54" s="254">
        <f>$B$39+$I$39+$AC$39</f>
        <v>1884.072899115085</v>
      </c>
      <c r="U54" s="256">
        <f>(T54*8.34*1.029*0.03)/3300</f>
        <v>0.14698954409090711</v>
      </c>
    </row>
    <row r="55" spans="1:25" ht="42" customHeight="1" thickBot="1" x14ac:dyDescent="0.3">
      <c r="A55" s="610" t="s">
        <v>202</v>
      </c>
      <c r="B55" s="611"/>
      <c r="C55" s="611"/>
      <c r="D55" s="611"/>
      <c r="E55" s="61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18" t="s">
        <v>158</v>
      </c>
      <c r="S55" s="619"/>
      <c r="T55" s="258">
        <f>$D$39+$Y$39+$Z$39</f>
        <v>23120.695518215507</v>
      </c>
      <c r="U55" s="259">
        <f>(T55*1.54*8.34)/45000</f>
        <v>6.5989547768389487</v>
      </c>
    </row>
    <row r="56" spans="1:25" ht="24" thickTop="1" x14ac:dyDescent="0.25">
      <c r="A56" s="647"/>
      <c r="B56" s="64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49"/>
      <c r="B57" s="65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45"/>
      <c r="B58" s="64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46"/>
      <c r="B59" s="64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45"/>
      <c r="B60" s="64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46"/>
      <c r="B61" s="646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mnEggDpW9Wc3ubDKc3H7da5buDlNbAMR/aihOGdmrOVHfVzr7VhD7zAFqh1/2TTaLJYfIzhyRD6O1ibJnlv3lw==" saltValue="6B/LNPYAlJDNCZ/HmjRGzQ==" spinCount="100000" sheet="1" objects="1" scenarios="1" selectLockedCells="1" selectUnlockedCells="1"/>
  <mergeCells count="36">
    <mergeCell ref="AR4:AR5"/>
    <mergeCell ref="AS4:AS5"/>
    <mergeCell ref="AJ4:AJ5"/>
    <mergeCell ref="AK4:AK5"/>
    <mergeCell ref="AL4:AL5"/>
    <mergeCell ref="AM4:AM5"/>
    <mergeCell ref="AN4:AN5"/>
    <mergeCell ref="AO4:AO5"/>
    <mergeCell ref="I4:N5"/>
    <mergeCell ref="AQ4:AQ5"/>
    <mergeCell ref="AP4:AP5"/>
    <mergeCell ref="R43:U43"/>
    <mergeCell ref="AF4:AF5"/>
    <mergeCell ref="AG4:AG5"/>
    <mergeCell ref="AH4:AH5"/>
    <mergeCell ref="AI4:AI5"/>
    <mergeCell ref="O4:T5"/>
    <mergeCell ref="AD4:AD5"/>
    <mergeCell ref="AE4:AE5"/>
    <mergeCell ref="AC4:AC5"/>
    <mergeCell ref="A58:B59"/>
    <mergeCell ref="A60:B61"/>
    <mergeCell ref="A56:B56"/>
    <mergeCell ref="A57:B57"/>
    <mergeCell ref="AB4:AB5"/>
    <mergeCell ref="A54:E54"/>
    <mergeCell ref="A55:E55"/>
    <mergeCell ref="R55:S55"/>
    <mergeCell ref="U4:AA5"/>
    <mergeCell ref="J43:K43"/>
    <mergeCell ref="J46:K46"/>
    <mergeCell ref="A42:K42"/>
    <mergeCell ref="A43:B43"/>
    <mergeCell ref="D43:E43"/>
    <mergeCell ref="G43:H43"/>
    <mergeCell ref="B4:H5"/>
  </mergeCells>
  <pageMargins left="0.33" right="0.19" top="0.75" bottom="0.75" header="0.3" footer="0.3"/>
  <pageSetup scale="52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64"/>
  <sheetViews>
    <sheetView topLeftCell="A25" zoomScale="75" zoomScaleNormal="75" workbookViewId="0">
      <selection activeCell="I53" sqref="I53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285156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23" t="s">
        <v>3</v>
      </c>
      <c r="C4" s="624"/>
      <c r="D4" s="624"/>
      <c r="E4" s="624"/>
      <c r="F4" s="624"/>
      <c r="G4" s="624"/>
      <c r="H4" s="625"/>
      <c r="I4" s="623" t="s">
        <v>4</v>
      </c>
      <c r="J4" s="624"/>
      <c r="K4" s="624"/>
      <c r="L4" s="624"/>
      <c r="M4" s="624"/>
      <c r="N4" s="625"/>
      <c r="O4" s="629" t="s">
        <v>5</v>
      </c>
      <c r="P4" s="630"/>
      <c r="Q4" s="631"/>
      <c r="R4" s="631"/>
      <c r="S4" s="631"/>
      <c r="T4" s="632"/>
      <c r="U4" s="623" t="s">
        <v>6</v>
      </c>
      <c r="V4" s="636"/>
      <c r="W4" s="636"/>
      <c r="X4" s="636"/>
      <c r="Y4" s="636"/>
      <c r="Z4" s="636"/>
      <c r="AA4" s="637"/>
      <c r="AB4" s="641" t="s">
        <v>7</v>
      </c>
      <c r="AC4" s="643" t="s">
        <v>8</v>
      </c>
      <c r="AD4" s="608" t="s">
        <v>237</v>
      </c>
      <c r="AE4" s="608" t="s">
        <v>236</v>
      </c>
      <c r="AF4" s="608" t="s">
        <v>27</v>
      </c>
      <c r="AG4" s="608" t="s">
        <v>31</v>
      </c>
      <c r="AH4" s="608" t="s">
        <v>32</v>
      </c>
      <c r="AI4" s="608" t="s">
        <v>33</v>
      </c>
      <c r="AJ4" s="641" t="s">
        <v>175</v>
      </c>
      <c r="AK4" s="641" t="s">
        <v>176</v>
      </c>
      <c r="AL4" s="641" t="s">
        <v>177</v>
      </c>
      <c r="AM4" s="641" t="s">
        <v>178</v>
      </c>
      <c r="AN4" s="641" t="s">
        <v>179</v>
      </c>
      <c r="AO4" s="641" t="s">
        <v>180</v>
      </c>
      <c r="AP4" s="641" t="s">
        <v>181</v>
      </c>
      <c r="AQ4" s="641" t="s">
        <v>184</v>
      </c>
      <c r="AR4" s="641" t="s">
        <v>182</v>
      </c>
      <c r="AS4" s="641" t="s">
        <v>183</v>
      </c>
      <c r="AV4" t="s">
        <v>171</v>
      </c>
      <c r="AW4" s="338" t="s">
        <v>209</v>
      </c>
    </row>
    <row r="5" spans="1:49" ht="30" customHeight="1" thickBot="1" x14ac:dyDescent="0.3">
      <c r="A5" s="13"/>
      <c r="B5" s="626"/>
      <c r="C5" s="627"/>
      <c r="D5" s="627"/>
      <c r="E5" s="627"/>
      <c r="F5" s="627"/>
      <c r="G5" s="627"/>
      <c r="H5" s="628"/>
      <c r="I5" s="626"/>
      <c r="J5" s="627"/>
      <c r="K5" s="627"/>
      <c r="L5" s="627"/>
      <c r="M5" s="627"/>
      <c r="N5" s="628"/>
      <c r="O5" s="633"/>
      <c r="P5" s="634"/>
      <c r="Q5" s="634"/>
      <c r="R5" s="634"/>
      <c r="S5" s="634"/>
      <c r="T5" s="635"/>
      <c r="U5" s="638"/>
      <c r="V5" s="639"/>
      <c r="W5" s="639"/>
      <c r="X5" s="639"/>
      <c r="Y5" s="639"/>
      <c r="Z5" s="639"/>
      <c r="AA5" s="640"/>
      <c r="AB5" s="642"/>
      <c r="AC5" s="644"/>
      <c r="AD5" s="609"/>
      <c r="AE5" s="609"/>
      <c r="AF5" s="622"/>
      <c r="AG5" s="622"/>
      <c r="AH5" s="622"/>
      <c r="AI5" s="622"/>
      <c r="AJ5" s="609"/>
      <c r="AK5" s="609"/>
      <c r="AL5" s="609"/>
      <c r="AM5" s="609"/>
      <c r="AN5" s="609"/>
      <c r="AO5" s="609"/>
      <c r="AP5" s="609"/>
      <c r="AQ5" s="609"/>
      <c r="AR5" s="609"/>
      <c r="AS5" s="609"/>
    </row>
    <row r="6" spans="1:49" ht="15.75" customHeight="1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customHeight="1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399" t="s">
        <v>28</v>
      </c>
      <c r="AE7" s="399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  <c r="AR7" s="22" t="s">
        <v>172</v>
      </c>
      <c r="AS7" s="22" t="s">
        <v>172</v>
      </c>
    </row>
    <row r="8" spans="1:49" x14ac:dyDescent="0.25">
      <c r="A8" s="11">
        <v>42795</v>
      </c>
      <c r="B8" s="49"/>
      <c r="C8" s="50">
        <v>55.192214643955573</v>
      </c>
      <c r="D8" s="50">
        <v>586.02083193461294</v>
      </c>
      <c r="E8" s="50">
        <v>15.118922801812477</v>
      </c>
      <c r="F8" s="50">
        <v>0</v>
      </c>
      <c r="G8" s="50">
        <v>1973.9438253402661</v>
      </c>
      <c r="H8" s="51">
        <v>22.604693596561731</v>
      </c>
      <c r="I8" s="49">
        <v>108.19722910722078</v>
      </c>
      <c r="J8" s="50">
        <v>384.69871524175016</v>
      </c>
      <c r="K8" s="50">
        <v>20.812964413563463</v>
      </c>
      <c r="L8" s="50">
        <v>5.4569840431213153E-3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194.79807969273901</v>
      </c>
      <c r="V8" s="54">
        <v>113.05930644066814</v>
      </c>
      <c r="W8" s="54">
        <v>29.143060953393771</v>
      </c>
      <c r="X8" s="54">
        <v>16.914408315245993</v>
      </c>
      <c r="Y8" s="54">
        <v>121.79715400766491</v>
      </c>
      <c r="Z8" s="54">
        <v>70.690130930829298</v>
      </c>
      <c r="AA8" s="55">
        <v>0</v>
      </c>
      <c r="AB8" s="56">
        <v>69.363220050599693</v>
      </c>
      <c r="AC8" s="57">
        <v>0</v>
      </c>
      <c r="AD8" s="400">
        <v>8.3642589731286101</v>
      </c>
      <c r="AE8" s="400">
        <v>4.4794029154530071</v>
      </c>
      <c r="AF8" s="57">
        <v>12.185073136289931</v>
      </c>
      <c r="AG8" s="58">
        <v>7.6290101801403436</v>
      </c>
      <c r="AH8" s="58">
        <v>4.4278188016840829</v>
      </c>
      <c r="AI8" s="58">
        <v>0.63275428320672178</v>
      </c>
      <c r="AJ8" s="57">
        <v>338.17551994323736</v>
      </c>
      <c r="AK8" s="57">
        <v>1185.0094083786012</v>
      </c>
      <c r="AL8" s="57">
        <v>3212.0157641092942</v>
      </c>
      <c r="AM8" s="57">
        <v>519.53734024365747</v>
      </c>
      <c r="AN8" s="57">
        <v>4921.6049334208174</v>
      </c>
      <c r="AO8" s="57">
        <v>2700.5279424031578</v>
      </c>
      <c r="AP8" s="57">
        <v>726.96052551269531</v>
      </c>
      <c r="AQ8" s="57">
        <v>1649.81396484375</v>
      </c>
      <c r="AR8" s="57">
        <v>449.24478909174599</v>
      </c>
      <c r="AS8" s="57">
        <v>623.22536465326937</v>
      </c>
    </row>
    <row r="9" spans="1:49" x14ac:dyDescent="0.25">
      <c r="A9" s="11">
        <v>42796</v>
      </c>
      <c r="B9" s="59"/>
      <c r="C9" s="60">
        <v>54.659979641437651</v>
      </c>
      <c r="D9" s="60">
        <v>586.03326171239348</v>
      </c>
      <c r="E9" s="60">
        <v>15.122721827030164</v>
      </c>
      <c r="F9" s="60">
        <v>0</v>
      </c>
      <c r="G9" s="60">
        <v>2037.2702299753753</v>
      </c>
      <c r="H9" s="61">
        <v>22.580133850375809</v>
      </c>
      <c r="I9" s="59">
        <v>105.22748339176169</v>
      </c>
      <c r="J9" s="60">
        <v>373.38985881805337</v>
      </c>
      <c r="K9" s="60">
        <v>20.705778160691278</v>
      </c>
      <c r="L9" s="60">
        <v>7.9665541648863761E-3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199.87720941498858</v>
      </c>
      <c r="V9" s="62">
        <v>116.07582272892191</v>
      </c>
      <c r="W9" s="62">
        <v>29.654336235501088</v>
      </c>
      <c r="X9" s="62">
        <v>17.221330466292503</v>
      </c>
      <c r="Y9" s="66">
        <v>125.43677251720315</v>
      </c>
      <c r="Z9" s="66">
        <v>72.845606625240023</v>
      </c>
      <c r="AA9" s="67">
        <v>0</v>
      </c>
      <c r="AB9" s="68">
        <v>68.164088042576537</v>
      </c>
      <c r="AC9" s="69">
        <v>0</v>
      </c>
      <c r="AD9" s="401">
        <v>8.1281298533946416</v>
      </c>
      <c r="AE9" s="401">
        <v>4.4794883737277953</v>
      </c>
      <c r="AF9" s="69">
        <v>12.253438375724668</v>
      </c>
      <c r="AG9" s="68">
        <v>7.6692148358698757</v>
      </c>
      <c r="AH9" s="68">
        <v>4.4537865240562731</v>
      </c>
      <c r="AI9" s="68">
        <v>0.63261684199931456</v>
      </c>
      <c r="AJ9" s="69">
        <v>386.6606812795003</v>
      </c>
      <c r="AK9" s="69">
        <v>1197.6140376408896</v>
      </c>
      <c r="AL9" s="69">
        <v>3205.8279412587481</v>
      </c>
      <c r="AM9" s="69">
        <v>512.16790822347002</v>
      </c>
      <c r="AN9" s="69">
        <v>4965.451906585693</v>
      </c>
      <c r="AO9" s="69">
        <v>2511.0583995819093</v>
      </c>
      <c r="AP9" s="69">
        <v>706.1082530975342</v>
      </c>
      <c r="AQ9" s="69">
        <v>1649.81396484375</v>
      </c>
      <c r="AR9" s="69">
        <v>466.77105245590212</v>
      </c>
      <c r="AS9" s="69">
        <v>574.59634186426808</v>
      </c>
    </row>
    <row r="10" spans="1:49" x14ac:dyDescent="0.25">
      <c r="A10" s="11">
        <v>42797</v>
      </c>
      <c r="B10" s="59"/>
      <c r="C10" s="60">
        <v>55.435562698046844</v>
      </c>
      <c r="D10" s="60">
        <v>572.06764682134121</v>
      </c>
      <c r="E10" s="60">
        <v>15.120690380533523</v>
      </c>
      <c r="F10" s="60">
        <v>0</v>
      </c>
      <c r="G10" s="60">
        <v>1971.9005223592089</v>
      </c>
      <c r="H10" s="61">
        <v>22.603891640901566</v>
      </c>
      <c r="I10" s="59">
        <v>108.18913770119335</v>
      </c>
      <c r="J10" s="60">
        <v>388.56839758555049</v>
      </c>
      <c r="K10" s="60">
        <v>21.248440315326068</v>
      </c>
      <c r="L10" s="60">
        <v>8.21399688720702E-4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201.79355810483466</v>
      </c>
      <c r="V10" s="62">
        <v>117.09488387108033</v>
      </c>
      <c r="W10" s="62">
        <v>29.956097884345187</v>
      </c>
      <c r="X10" s="62">
        <v>17.382645095022365</v>
      </c>
      <c r="Y10" s="66">
        <v>126.03391931016904</v>
      </c>
      <c r="Z10" s="66">
        <v>73.133787242972318</v>
      </c>
      <c r="AA10" s="67">
        <v>0</v>
      </c>
      <c r="AB10" s="68">
        <v>69.742954129642769</v>
      </c>
      <c r="AC10" s="69">
        <v>0</v>
      </c>
      <c r="AD10" s="401">
        <v>8.4289489336104317</v>
      </c>
      <c r="AE10" s="401">
        <v>4.4803441058445124</v>
      </c>
      <c r="AF10" s="69">
        <v>12.252790094580917</v>
      </c>
      <c r="AG10" s="68">
        <v>7.6422165036643808</v>
      </c>
      <c r="AH10" s="68">
        <v>4.4345541176757441</v>
      </c>
      <c r="AI10" s="68">
        <v>0.63280298544051883</v>
      </c>
      <c r="AJ10" s="69">
        <v>353.74898498853059</v>
      </c>
      <c r="AK10" s="69">
        <v>1145.0265261967977</v>
      </c>
      <c r="AL10" s="69">
        <v>3263.4956971486417</v>
      </c>
      <c r="AM10" s="69">
        <v>511.21547263463333</v>
      </c>
      <c r="AN10" s="69">
        <v>4996.1352330525706</v>
      </c>
      <c r="AO10" s="69">
        <v>2555.9977200826011</v>
      </c>
      <c r="AP10" s="69">
        <v>568.55694580078125</v>
      </c>
      <c r="AQ10" s="69">
        <v>1649.81396484375</v>
      </c>
      <c r="AR10" s="69">
        <v>455.2946811676025</v>
      </c>
      <c r="AS10" s="69">
        <v>580.99436375300093</v>
      </c>
    </row>
    <row r="11" spans="1:49" x14ac:dyDescent="0.25">
      <c r="A11" s="11">
        <v>42798</v>
      </c>
      <c r="B11" s="59"/>
      <c r="C11" s="60">
        <v>55.825382574399548</v>
      </c>
      <c r="D11" s="60">
        <v>575.86884183883637</v>
      </c>
      <c r="E11" s="60">
        <v>15.247740036249139</v>
      </c>
      <c r="F11" s="60">
        <v>0</v>
      </c>
      <c r="G11" s="60">
        <v>2027.0371336619003</v>
      </c>
      <c r="H11" s="61">
        <v>22.725048034389836</v>
      </c>
      <c r="I11" s="59">
        <v>106.45514051119471</v>
      </c>
      <c r="J11" s="60">
        <v>378.0483131090794</v>
      </c>
      <c r="K11" s="60">
        <v>20.605324826637908</v>
      </c>
      <c r="L11" s="60">
        <v>1.1140823364257809E-3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204.92911081497832</v>
      </c>
      <c r="V11" s="62">
        <v>118.99170643304538</v>
      </c>
      <c r="W11" s="62">
        <v>30.32447435939757</v>
      </c>
      <c r="X11" s="62">
        <v>17.607849545434668</v>
      </c>
      <c r="Y11" s="66">
        <v>127.91961105735999</v>
      </c>
      <c r="Z11" s="66">
        <v>74.276283859492509</v>
      </c>
      <c r="AA11" s="67">
        <v>0</v>
      </c>
      <c r="AB11" s="68">
        <v>68.977694982952556</v>
      </c>
      <c r="AC11" s="69">
        <v>0</v>
      </c>
      <c r="AD11" s="401">
        <v>8.2285807143646466</v>
      </c>
      <c r="AE11" s="401">
        <v>4.5133035879104844</v>
      </c>
      <c r="AF11" s="69">
        <v>12.460565232568344</v>
      </c>
      <c r="AG11" s="68">
        <v>7.7509697620451039</v>
      </c>
      <c r="AH11" s="68">
        <v>4.500586153078995</v>
      </c>
      <c r="AI11" s="68">
        <v>0.63265187015771718</v>
      </c>
      <c r="AJ11" s="69">
        <v>356.41073055267321</v>
      </c>
      <c r="AK11" s="69">
        <v>1115.5126530965169</v>
      </c>
      <c r="AL11" s="69">
        <v>3264.7776185353605</v>
      </c>
      <c r="AM11" s="69">
        <v>508.81465401649479</v>
      </c>
      <c r="AN11" s="69">
        <v>5100.6159657796206</v>
      </c>
      <c r="AO11" s="69">
        <v>2501.6757406870524</v>
      </c>
      <c r="AP11" s="69">
        <v>533.82829284667969</v>
      </c>
      <c r="AQ11" s="69">
        <v>1649.81396484375</v>
      </c>
      <c r="AR11" s="69">
        <v>458.29567006429039</v>
      </c>
      <c r="AS11" s="69">
        <v>577.98048661549888</v>
      </c>
    </row>
    <row r="12" spans="1:49" x14ac:dyDescent="0.25">
      <c r="A12" s="11">
        <v>42799</v>
      </c>
      <c r="B12" s="59"/>
      <c r="C12" s="60">
        <v>55.371294287840627</v>
      </c>
      <c r="D12" s="60">
        <v>579.67871869404985</v>
      </c>
      <c r="E12" s="60">
        <v>15.204929407437639</v>
      </c>
      <c r="F12" s="60">
        <v>0</v>
      </c>
      <c r="G12" s="60">
        <v>2073.9081681569405</v>
      </c>
      <c r="H12" s="61">
        <v>22.732378541429792</v>
      </c>
      <c r="I12" s="59">
        <v>106.34624342123669</v>
      </c>
      <c r="J12" s="60">
        <v>377.48478447596182</v>
      </c>
      <c r="K12" s="60">
        <v>20.891058870156616</v>
      </c>
      <c r="L12" s="60">
        <v>5.6648254394531185E-4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204.94178197876505</v>
      </c>
      <c r="V12" s="62">
        <v>118.98846297566331</v>
      </c>
      <c r="W12" s="62">
        <v>30.082586930750463</v>
      </c>
      <c r="X12" s="62">
        <v>17.465841990154356</v>
      </c>
      <c r="Y12" s="66">
        <v>129.47151799485587</v>
      </c>
      <c r="Z12" s="66">
        <v>75.170698608105596</v>
      </c>
      <c r="AA12" s="67">
        <v>0</v>
      </c>
      <c r="AB12" s="68">
        <v>68.808456124199722</v>
      </c>
      <c r="AC12" s="69">
        <v>0</v>
      </c>
      <c r="AD12" s="401">
        <v>8.2168583965507587</v>
      </c>
      <c r="AE12" s="401">
        <v>4.5138349337582042</v>
      </c>
      <c r="AF12" s="69">
        <v>12.461709701352651</v>
      </c>
      <c r="AG12" s="68">
        <v>7.7496800605590241</v>
      </c>
      <c r="AH12" s="68">
        <v>4.4994364255826031</v>
      </c>
      <c r="AI12" s="68">
        <v>0.63267257433030677</v>
      </c>
      <c r="AJ12" s="69">
        <v>389.94985818862909</v>
      </c>
      <c r="AK12" s="69">
        <v>1147.4958651860554</v>
      </c>
      <c r="AL12" s="69">
        <v>3237.443871815999</v>
      </c>
      <c r="AM12" s="69">
        <v>505.30118726094554</v>
      </c>
      <c r="AN12" s="69">
        <v>5182.2468859354649</v>
      </c>
      <c r="AO12" s="69">
        <v>2515.9919494628907</v>
      </c>
      <c r="AP12" s="69">
        <v>761.45887012481694</v>
      </c>
      <c r="AQ12" s="69">
        <v>1649.81396484375</v>
      </c>
      <c r="AR12" s="69">
        <v>458.74279356002808</v>
      </c>
      <c r="AS12" s="69">
        <v>563.99377355575564</v>
      </c>
    </row>
    <row r="13" spans="1:49" x14ac:dyDescent="0.25">
      <c r="A13" s="11">
        <v>42800</v>
      </c>
      <c r="B13" s="59"/>
      <c r="C13" s="60">
        <v>54.836011314391875</v>
      </c>
      <c r="D13" s="60">
        <v>586.09978329340663</v>
      </c>
      <c r="E13" s="60">
        <v>15.132927295565578</v>
      </c>
      <c r="F13" s="60">
        <v>0</v>
      </c>
      <c r="G13" s="60">
        <v>2128.6867888132738</v>
      </c>
      <c r="H13" s="61">
        <v>22.608117361863492</v>
      </c>
      <c r="I13" s="59">
        <v>106.31666596730535</v>
      </c>
      <c r="J13" s="60">
        <v>377.49026323954178</v>
      </c>
      <c r="K13" s="60">
        <v>20.835157051682479</v>
      </c>
      <c r="L13" s="60">
        <v>3.7765502929687501E-5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204.48702821393431</v>
      </c>
      <c r="V13" s="62">
        <v>118.7287301521219</v>
      </c>
      <c r="W13" s="62">
        <v>29.909339345092558</v>
      </c>
      <c r="X13" s="62">
        <v>17.365883357728581</v>
      </c>
      <c r="Y13" s="66">
        <v>130.76941440060625</v>
      </c>
      <c r="Z13" s="66">
        <v>75.926999625018723</v>
      </c>
      <c r="AA13" s="67">
        <v>0</v>
      </c>
      <c r="AB13" s="68">
        <v>68.821454344855852</v>
      </c>
      <c r="AC13" s="69">
        <v>0</v>
      </c>
      <c r="AD13" s="401">
        <v>8.2164657190282195</v>
      </c>
      <c r="AE13" s="401">
        <v>4.4800085768896238</v>
      </c>
      <c r="AF13" s="69">
        <v>12.458172534571744</v>
      </c>
      <c r="AG13" s="68">
        <v>7.7507220886153538</v>
      </c>
      <c r="AH13" s="68">
        <v>4.50020423975527</v>
      </c>
      <c r="AI13" s="68">
        <v>0.63266416602851294</v>
      </c>
      <c r="AJ13" s="69">
        <v>391.64262197812394</v>
      </c>
      <c r="AK13" s="69">
        <v>1199.6694246927896</v>
      </c>
      <c r="AL13" s="69">
        <v>3235.8180926005043</v>
      </c>
      <c r="AM13" s="69">
        <v>569.48486245473225</v>
      </c>
      <c r="AN13" s="69">
        <v>5359.4894660949703</v>
      </c>
      <c r="AO13" s="69">
        <v>2533.178240331014</v>
      </c>
      <c r="AP13" s="69">
        <v>653.04869114557903</v>
      </c>
      <c r="AQ13" s="69">
        <v>1649.81396484375</v>
      </c>
      <c r="AR13" s="69">
        <v>467.86086794535322</v>
      </c>
      <c r="AS13" s="69">
        <v>614.29240620930989</v>
      </c>
    </row>
    <row r="14" spans="1:49" x14ac:dyDescent="0.25">
      <c r="A14" s="11">
        <v>42801</v>
      </c>
      <c r="B14" s="59"/>
      <c r="C14" s="60">
        <v>54.997916384538243</v>
      </c>
      <c r="D14" s="60">
        <v>591.27062085469515</v>
      </c>
      <c r="E14" s="60">
        <v>15.287513263026849</v>
      </c>
      <c r="F14" s="60">
        <v>0</v>
      </c>
      <c r="G14" s="60">
        <v>2059.4085271199519</v>
      </c>
      <c r="H14" s="61">
        <v>22.548407918214828</v>
      </c>
      <c r="I14" s="59">
        <v>106.48844033082334</v>
      </c>
      <c r="J14" s="60">
        <v>377.44934067726092</v>
      </c>
      <c r="K14" s="60">
        <v>20.836173065006733</v>
      </c>
      <c r="L14" s="60">
        <v>3.9653778076171849E-4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205.60539970258239</v>
      </c>
      <c r="V14" s="62">
        <v>119.41259659800629</v>
      </c>
      <c r="W14" s="62">
        <v>30.284728590839872</v>
      </c>
      <c r="X14" s="62">
        <v>17.588925599859369</v>
      </c>
      <c r="Y14" s="66">
        <v>130.77038193882015</v>
      </c>
      <c r="Z14" s="66">
        <v>75.949517318204016</v>
      </c>
      <c r="AA14" s="67">
        <v>0</v>
      </c>
      <c r="AB14" s="68">
        <v>68.898322937223014</v>
      </c>
      <c r="AC14" s="69">
        <v>0</v>
      </c>
      <c r="AD14" s="401">
        <v>8.2169362708452844</v>
      </c>
      <c r="AE14" s="401">
        <v>4.5197588965184137</v>
      </c>
      <c r="AF14" s="69">
        <v>12.456504900587955</v>
      </c>
      <c r="AG14" s="68">
        <v>7.7471717176240356</v>
      </c>
      <c r="AH14" s="68">
        <v>4.499443557563839</v>
      </c>
      <c r="AI14" s="68">
        <v>0.63259697014571126</v>
      </c>
      <c r="AJ14" s="69">
        <v>359.89143759409586</v>
      </c>
      <c r="AK14" s="69">
        <v>1183.4973626454671</v>
      </c>
      <c r="AL14" s="69">
        <v>3259.2749619801839</v>
      </c>
      <c r="AM14" s="69">
        <v>568.88860975901298</v>
      </c>
      <c r="AN14" s="69">
        <v>5378.0146255493155</v>
      </c>
      <c r="AO14" s="69">
        <v>2623.5328165690103</v>
      </c>
      <c r="AP14" s="69">
        <v>616.8614819844563</v>
      </c>
      <c r="AQ14" s="69">
        <v>1649.81396484375</v>
      </c>
      <c r="AR14" s="69">
        <v>455.90675605138142</v>
      </c>
      <c r="AS14" s="69">
        <v>614.400026067098</v>
      </c>
    </row>
    <row r="15" spans="1:49" x14ac:dyDescent="0.25">
      <c r="A15" s="11">
        <v>42802</v>
      </c>
      <c r="B15" s="59"/>
      <c r="C15" s="60">
        <v>55.784079098701447</v>
      </c>
      <c r="D15" s="60">
        <v>599.11032794316782</v>
      </c>
      <c r="E15" s="60">
        <v>15.506464062134413</v>
      </c>
      <c r="F15" s="60">
        <v>0</v>
      </c>
      <c r="G15" s="60">
        <v>2119.6352598826047</v>
      </c>
      <c r="H15" s="61">
        <v>23.032032641768446</v>
      </c>
      <c r="I15" s="59">
        <v>106.40993781089794</v>
      </c>
      <c r="J15" s="60">
        <v>377.6965837955467</v>
      </c>
      <c r="K15" s="60">
        <v>21.551410847902297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203.46008108286395</v>
      </c>
      <c r="V15" s="62">
        <v>118.1302493059497</v>
      </c>
      <c r="W15" s="62">
        <v>29.160218668654306</v>
      </c>
      <c r="X15" s="62">
        <v>16.930613036280096</v>
      </c>
      <c r="Y15" s="66">
        <v>128.47036919670671</v>
      </c>
      <c r="Z15" s="66">
        <v>74.590733773734627</v>
      </c>
      <c r="AA15" s="67">
        <v>0</v>
      </c>
      <c r="AB15" s="68">
        <v>69.331238873798853</v>
      </c>
      <c r="AC15" s="69">
        <v>0</v>
      </c>
      <c r="AD15" s="401">
        <v>8.2220910246930679</v>
      </c>
      <c r="AE15" s="401">
        <v>4.5793388717490506</v>
      </c>
      <c r="AF15" s="69">
        <v>12.332495910922699</v>
      </c>
      <c r="AG15" s="68">
        <v>7.6731437861373468</v>
      </c>
      <c r="AH15" s="68">
        <v>4.45507729866498</v>
      </c>
      <c r="AI15" s="68">
        <v>0.63266852842519794</v>
      </c>
      <c r="AJ15" s="69">
        <v>340.74867157936103</v>
      </c>
      <c r="AK15" s="69">
        <v>1113.7601322174073</v>
      </c>
      <c r="AL15" s="69">
        <v>3310.9406461079921</v>
      </c>
      <c r="AM15" s="69">
        <v>527.31117235819499</v>
      </c>
      <c r="AN15" s="69">
        <v>5216.6275464375813</v>
      </c>
      <c r="AO15" s="69">
        <v>2569.4403335571287</v>
      </c>
      <c r="AP15" s="69">
        <v>548.34228515625</v>
      </c>
      <c r="AQ15" s="69">
        <v>1649.81396484375</v>
      </c>
      <c r="AR15" s="69">
        <v>453.2815606117249</v>
      </c>
      <c r="AS15" s="69">
        <v>609.47867012023926</v>
      </c>
    </row>
    <row r="16" spans="1:49" x14ac:dyDescent="0.25">
      <c r="A16" s="11">
        <v>42803</v>
      </c>
      <c r="B16" s="59"/>
      <c r="C16" s="60">
        <v>56.632330409685778</v>
      </c>
      <c r="D16" s="60">
        <v>593.96556107203264</v>
      </c>
      <c r="E16" s="60">
        <v>15.476104431351018</v>
      </c>
      <c r="F16" s="60">
        <v>0</v>
      </c>
      <c r="G16" s="60">
        <v>2125.6582836151124</v>
      </c>
      <c r="H16" s="61">
        <v>23.016427084803563</v>
      </c>
      <c r="I16" s="59">
        <v>106.44602370262149</v>
      </c>
      <c r="J16" s="60">
        <v>377.66362473169875</v>
      </c>
      <c r="K16" s="60">
        <v>21.646208424369476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207.43782216211224</v>
      </c>
      <c r="V16" s="62">
        <v>109.9874093370285</v>
      </c>
      <c r="W16" s="62">
        <v>29.235692648914981</v>
      </c>
      <c r="X16" s="62">
        <v>15.501310518555361</v>
      </c>
      <c r="Y16" s="66">
        <v>130.13993804473242</v>
      </c>
      <c r="Z16" s="66">
        <v>69.002626848036144</v>
      </c>
      <c r="AA16" s="67">
        <v>0</v>
      </c>
      <c r="AB16" s="68">
        <v>69.196461327871617</v>
      </c>
      <c r="AC16" s="69">
        <v>0</v>
      </c>
      <c r="AD16" s="401">
        <v>8.2192664594519158</v>
      </c>
      <c r="AE16" s="401">
        <v>4.5737578659594682</v>
      </c>
      <c r="AF16" s="69">
        <v>12.068118852708055</v>
      </c>
      <c r="AG16" s="68">
        <v>7.749719730838736</v>
      </c>
      <c r="AH16" s="68">
        <v>4.1090462067080509</v>
      </c>
      <c r="AI16" s="68">
        <v>0.65350136528977776</v>
      </c>
      <c r="AJ16" s="69">
        <v>414.23316609064744</v>
      </c>
      <c r="AK16" s="69">
        <v>1166.0855852762861</v>
      </c>
      <c r="AL16" s="69">
        <v>3293.5175907135008</v>
      </c>
      <c r="AM16" s="69">
        <v>537.62808389663701</v>
      </c>
      <c r="AN16" s="69">
        <v>5331.3869504292807</v>
      </c>
      <c r="AO16" s="69">
        <v>2581.6323552449544</v>
      </c>
      <c r="AP16" s="69">
        <v>548.34228515625</v>
      </c>
      <c r="AQ16" s="69">
        <v>1649.81396484375</v>
      </c>
      <c r="AR16" s="69">
        <v>454.60390777587895</v>
      </c>
      <c r="AS16" s="69">
        <v>606.56508874893177</v>
      </c>
    </row>
    <row r="17" spans="1:45" x14ac:dyDescent="0.25">
      <c r="A17" s="11">
        <v>42804</v>
      </c>
      <c r="B17" s="49"/>
      <c r="C17" s="50">
        <v>58.048513817787168</v>
      </c>
      <c r="D17" s="50">
        <v>598.02474171320625</v>
      </c>
      <c r="E17" s="50">
        <v>15.486602401733386</v>
      </c>
      <c r="F17" s="50">
        <v>0</v>
      </c>
      <c r="G17" s="50">
        <v>2125.2995361328062</v>
      </c>
      <c r="H17" s="51">
        <v>23.508527345458646</v>
      </c>
      <c r="I17" s="49">
        <v>106.39093140761064</v>
      </c>
      <c r="J17" s="50">
        <v>377.46770504315617</v>
      </c>
      <c r="K17" s="50">
        <v>21.648541288574528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202.19442977108332</v>
      </c>
      <c r="V17" s="66">
        <v>117.39023004905323</v>
      </c>
      <c r="W17" s="62">
        <v>28.644502450756551</v>
      </c>
      <c r="X17" s="62">
        <v>16.630451868243693</v>
      </c>
      <c r="Y17" s="66">
        <v>129.50799321100931</v>
      </c>
      <c r="Z17" s="66">
        <v>75.189871122779309</v>
      </c>
      <c r="AA17" s="67">
        <v>0</v>
      </c>
      <c r="AB17" s="68">
        <v>69.812940210767735</v>
      </c>
      <c r="AC17" s="69">
        <v>0</v>
      </c>
      <c r="AD17" s="401">
        <v>8.2172094550652997</v>
      </c>
      <c r="AE17" s="401">
        <v>4.6645193380157091</v>
      </c>
      <c r="AF17" s="69">
        <v>12.293999141454712</v>
      </c>
      <c r="AG17" s="68">
        <v>7.6419636618224924</v>
      </c>
      <c r="AH17" s="68">
        <v>4.4367783687389428</v>
      </c>
      <c r="AI17" s="68">
        <v>0.6326787708924424</v>
      </c>
      <c r="AJ17" s="69">
        <v>370.68651693662008</v>
      </c>
      <c r="AK17" s="69">
        <v>1116.5938048044841</v>
      </c>
      <c r="AL17" s="69">
        <v>3283.5031932830811</v>
      </c>
      <c r="AM17" s="69">
        <v>526.47229522069301</v>
      </c>
      <c r="AN17" s="69">
        <v>5612.59826558431</v>
      </c>
      <c r="AO17" s="69">
        <v>2595.8855398813885</v>
      </c>
      <c r="AP17" s="69">
        <v>548.34228515625</v>
      </c>
      <c r="AQ17" s="69">
        <v>1649.81396484375</v>
      </c>
      <c r="AR17" s="69">
        <v>450.39292863210045</v>
      </c>
      <c r="AS17" s="69">
        <v>609.14245182673142</v>
      </c>
    </row>
    <row r="18" spans="1:45" x14ac:dyDescent="0.25">
      <c r="A18" s="11">
        <v>42805</v>
      </c>
      <c r="B18" s="59"/>
      <c r="C18" s="60">
        <v>56.484011336168109</v>
      </c>
      <c r="D18" s="60">
        <v>581.95430361429896</v>
      </c>
      <c r="E18" s="60">
        <v>15.283510925372433</v>
      </c>
      <c r="F18" s="60">
        <v>0</v>
      </c>
      <c r="G18" s="60">
        <v>2125.1847254435229</v>
      </c>
      <c r="H18" s="61">
        <v>23.260720313588738</v>
      </c>
      <c r="I18" s="59">
        <v>107.51512811581289</v>
      </c>
      <c r="J18" s="60">
        <v>388.43142280578564</v>
      </c>
      <c r="K18" s="60">
        <v>21.298062392075842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200.34843566697634</v>
      </c>
      <c r="V18" s="62">
        <v>116.24595100599731</v>
      </c>
      <c r="W18" s="62">
        <v>27.961821756272503</v>
      </c>
      <c r="X18" s="62">
        <v>16.223977747053898</v>
      </c>
      <c r="Y18" s="66">
        <v>128.82141426700622</v>
      </c>
      <c r="Z18" s="66">
        <v>74.744620598373004</v>
      </c>
      <c r="AA18" s="67">
        <v>0</v>
      </c>
      <c r="AB18" s="68">
        <v>69.913845078151098</v>
      </c>
      <c r="AC18" s="69">
        <v>0</v>
      </c>
      <c r="AD18" s="401">
        <v>8.4284486460542016</v>
      </c>
      <c r="AE18" s="401">
        <v>4.5389995861689449</v>
      </c>
      <c r="AF18" s="69">
        <v>12.206359885798566</v>
      </c>
      <c r="AG18" s="68">
        <v>7.5800767544430458</v>
      </c>
      <c r="AH18" s="68">
        <v>4.3981038738099159</v>
      </c>
      <c r="AI18" s="68">
        <v>0.63282371419277994</v>
      </c>
      <c r="AJ18" s="69">
        <v>361.77205382982891</v>
      </c>
      <c r="AK18" s="69">
        <v>1124.756541824341</v>
      </c>
      <c r="AL18" s="69">
        <v>3278.2629048665367</v>
      </c>
      <c r="AM18" s="69">
        <v>511.13953094482423</v>
      </c>
      <c r="AN18" s="69">
        <v>4990.4789118448898</v>
      </c>
      <c r="AO18" s="69">
        <v>2518.2713937123613</v>
      </c>
      <c r="AP18" s="69">
        <v>548.34228515625</v>
      </c>
      <c r="AQ18" s="69">
        <v>1649.81396484375</v>
      </c>
      <c r="AR18" s="69">
        <v>468.00768922170005</v>
      </c>
      <c r="AS18" s="69">
        <v>528.46420777638764</v>
      </c>
    </row>
    <row r="19" spans="1:45" x14ac:dyDescent="0.25">
      <c r="A19" s="11">
        <v>42806</v>
      </c>
      <c r="B19" s="59"/>
      <c r="C19" s="60">
        <v>56.594019504388299</v>
      </c>
      <c r="D19" s="60">
        <v>582.85740327835299</v>
      </c>
      <c r="E19" s="60">
        <v>15.261797878146158</v>
      </c>
      <c r="F19" s="60">
        <v>0</v>
      </c>
      <c r="G19" s="60">
        <v>2121.6574016570985</v>
      </c>
      <c r="H19" s="61">
        <v>23.337430498997438</v>
      </c>
      <c r="I19" s="59">
        <v>106.51378533840195</v>
      </c>
      <c r="J19" s="60">
        <v>379.44590401649407</v>
      </c>
      <c r="K19" s="60">
        <v>20.749082680543182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204.75775188540854</v>
      </c>
      <c r="V19" s="62">
        <v>118.86137911807675</v>
      </c>
      <c r="W19" s="62">
        <v>28.413814321147697</v>
      </c>
      <c r="X19" s="62">
        <v>16.494150405141504</v>
      </c>
      <c r="Y19" s="66">
        <v>132.36212155460839</v>
      </c>
      <c r="Z19" s="66">
        <v>76.835891027852298</v>
      </c>
      <c r="AA19" s="67">
        <v>0</v>
      </c>
      <c r="AB19" s="68">
        <v>69.164998526044059</v>
      </c>
      <c r="AC19" s="69">
        <v>0</v>
      </c>
      <c r="AD19" s="401">
        <v>8.2208793963480069</v>
      </c>
      <c r="AE19" s="401">
        <v>4.5448930805543126</v>
      </c>
      <c r="AF19" s="69">
        <v>12.461579708258302</v>
      </c>
      <c r="AG19" s="68">
        <v>7.7513309292771604</v>
      </c>
      <c r="AH19" s="68">
        <v>4.4996288334426806</v>
      </c>
      <c r="AI19" s="68">
        <v>0.63271213679639771</v>
      </c>
      <c r="AJ19" s="69">
        <v>316.71864287058514</v>
      </c>
      <c r="AK19" s="69">
        <v>1102.1963538487751</v>
      </c>
      <c r="AL19" s="69">
        <v>3294.8201810201008</v>
      </c>
      <c r="AM19" s="69">
        <v>508.66357447306314</v>
      </c>
      <c r="AN19" s="69">
        <v>4631.3756131490063</v>
      </c>
      <c r="AO19" s="69">
        <v>2556.3522534688313</v>
      </c>
      <c r="AP19" s="69">
        <v>548.34228515625</v>
      </c>
      <c r="AQ19" s="69">
        <v>1649.81396484375</v>
      </c>
      <c r="AR19" s="69">
        <v>472.23433710734059</v>
      </c>
      <c r="AS19" s="69">
        <v>546.18281841278076</v>
      </c>
    </row>
    <row r="20" spans="1:45" x14ac:dyDescent="0.25">
      <c r="A20" s="11">
        <v>42807</v>
      </c>
      <c r="B20" s="59"/>
      <c r="C20" s="60">
        <v>56.259808623790825</v>
      </c>
      <c r="D20" s="60">
        <v>581.75264507929637</v>
      </c>
      <c r="E20" s="60">
        <v>15.26845948795472</v>
      </c>
      <c r="F20" s="60">
        <v>0</v>
      </c>
      <c r="G20" s="60">
        <v>2126.2907594044996</v>
      </c>
      <c r="H20" s="61">
        <v>22.903742194175724</v>
      </c>
      <c r="I20" s="59">
        <v>108.61890406608576</v>
      </c>
      <c r="J20" s="60">
        <v>422.53255440394014</v>
      </c>
      <c r="K20" s="60">
        <v>23.284942833582523</v>
      </c>
      <c r="L20" s="60">
        <v>7.175445556640615E-4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206.40745064702531</v>
      </c>
      <c r="V20" s="62">
        <v>114.41611331018714</v>
      </c>
      <c r="W20" s="62">
        <v>29.196735321862505</v>
      </c>
      <c r="X20" s="62">
        <v>16.184381747858708</v>
      </c>
      <c r="Y20" s="66">
        <v>132.89996073674445</v>
      </c>
      <c r="Z20" s="66">
        <v>73.669322104937876</v>
      </c>
      <c r="AA20" s="67">
        <v>0</v>
      </c>
      <c r="AB20" s="68">
        <v>73.922930219437632</v>
      </c>
      <c r="AC20" s="69">
        <v>0</v>
      </c>
      <c r="AD20" s="401">
        <v>9.200042307177597</v>
      </c>
      <c r="AE20" s="401">
        <v>4.5377912438399983</v>
      </c>
      <c r="AF20" s="69">
        <v>12.356961694359779</v>
      </c>
      <c r="AG20" s="68">
        <v>7.8135125650773558</v>
      </c>
      <c r="AH20" s="68">
        <v>4.3311989765585794</v>
      </c>
      <c r="AI20" s="68">
        <v>0.64336748866287585</v>
      </c>
      <c r="AJ20" s="69">
        <v>352.93469703992207</v>
      </c>
      <c r="AK20" s="69">
        <v>1153.7929807027181</v>
      </c>
      <c r="AL20" s="69">
        <v>3257.050114695232</v>
      </c>
      <c r="AM20" s="69">
        <v>519.97060249646506</v>
      </c>
      <c r="AN20" s="69">
        <v>4639.4416160583505</v>
      </c>
      <c r="AO20" s="69">
        <v>2606.6348588307696</v>
      </c>
      <c r="AP20" s="69">
        <v>548.34228515625</v>
      </c>
      <c r="AQ20" s="69">
        <v>1649.81396484375</v>
      </c>
      <c r="AR20" s="69">
        <v>476.08201894760134</v>
      </c>
      <c r="AS20" s="69">
        <v>581.50146729151413</v>
      </c>
    </row>
    <row r="21" spans="1:45" x14ac:dyDescent="0.25">
      <c r="A21" s="11">
        <v>42808</v>
      </c>
      <c r="B21" s="59"/>
      <c r="C21" s="60">
        <v>20.085181206464725</v>
      </c>
      <c r="D21" s="60">
        <v>208.73428924282356</v>
      </c>
      <c r="E21" s="60">
        <v>5.9291374966502115</v>
      </c>
      <c r="F21" s="60">
        <v>0</v>
      </c>
      <c r="G21" s="60">
        <v>749.59475936889658</v>
      </c>
      <c r="H21" s="61">
        <v>8.3852335045735131</v>
      </c>
      <c r="I21" s="59">
        <v>123.04766621589651</v>
      </c>
      <c r="J21" s="60">
        <v>582.20415455500256</v>
      </c>
      <c r="K21" s="60">
        <v>31.826137294371929</v>
      </c>
      <c r="L21" s="60">
        <v>3.2478332519531375E-3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278.53068052231595</v>
      </c>
      <c r="V21" s="62">
        <v>39.851386045420469</v>
      </c>
      <c r="W21" s="62">
        <v>40.099521505468019</v>
      </c>
      <c r="X21" s="62">
        <v>5.7373267058205188</v>
      </c>
      <c r="Y21" s="66">
        <v>173.51565994661604</v>
      </c>
      <c r="Z21" s="66">
        <v>24.826132390483565</v>
      </c>
      <c r="AA21" s="67">
        <v>0</v>
      </c>
      <c r="AB21" s="68">
        <v>72.336444277232928</v>
      </c>
      <c r="AC21" s="69">
        <v>0</v>
      </c>
      <c r="AD21" s="401">
        <v>12.673317857830568</v>
      </c>
      <c r="AE21" s="401">
        <v>1.6218221973278624</v>
      </c>
      <c r="AF21" s="69">
        <v>12.138151646984944</v>
      </c>
      <c r="AG21" s="68">
        <v>10.444754881079062</v>
      </c>
      <c r="AH21" s="68">
        <v>1.494406139155368</v>
      </c>
      <c r="AI21" s="68">
        <v>0.87483156173012022</v>
      </c>
      <c r="AJ21" s="69">
        <v>387.72866600354513</v>
      </c>
      <c r="AK21" s="69">
        <v>896.12003533045436</v>
      </c>
      <c r="AL21" s="69">
        <v>2048.7917294184363</v>
      </c>
      <c r="AM21" s="69">
        <v>537.11982630093894</v>
      </c>
      <c r="AN21" s="69">
        <v>2634.0604400634766</v>
      </c>
      <c r="AO21" s="69">
        <v>2250.8148457845055</v>
      </c>
      <c r="AP21" s="69">
        <v>557.44156045913689</v>
      </c>
      <c r="AQ21" s="69">
        <v>1646.8149824778241</v>
      </c>
      <c r="AR21" s="69">
        <v>206.01699635585149</v>
      </c>
      <c r="AS21" s="69">
        <v>621.24022925694794</v>
      </c>
    </row>
    <row r="22" spans="1:45" x14ac:dyDescent="0.25">
      <c r="A22" s="11">
        <v>42809</v>
      </c>
      <c r="B22" s="59"/>
      <c r="C22" s="60">
        <v>0</v>
      </c>
      <c r="D22" s="60">
        <v>0</v>
      </c>
      <c r="E22" s="60">
        <v>0.63310319681962379</v>
      </c>
      <c r="F22" s="60">
        <v>0</v>
      </c>
      <c r="G22" s="60">
        <v>0</v>
      </c>
      <c r="H22" s="61">
        <v>0</v>
      </c>
      <c r="I22" s="59">
        <v>124.84780119260159</v>
      </c>
      <c r="J22" s="60">
        <v>590.97910973230921</v>
      </c>
      <c r="K22" s="60">
        <v>32.53255983988447</v>
      </c>
      <c r="L22" s="60">
        <v>4.7206878662109337E-4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319.99432440863893</v>
      </c>
      <c r="V22" s="62">
        <v>0</v>
      </c>
      <c r="W22" s="62">
        <v>45.565142834186567</v>
      </c>
      <c r="X22" s="62">
        <v>0</v>
      </c>
      <c r="Y22" s="66">
        <v>190.62716712156916</v>
      </c>
      <c r="Z22" s="66">
        <v>0</v>
      </c>
      <c r="AA22" s="67">
        <v>0</v>
      </c>
      <c r="AB22" s="68">
        <v>55.940405326418855</v>
      </c>
      <c r="AC22" s="69">
        <v>0</v>
      </c>
      <c r="AD22" s="401">
        <v>12.865147965535417</v>
      </c>
      <c r="AE22" s="401">
        <v>0</v>
      </c>
      <c r="AF22" s="69">
        <v>12.693968620565201</v>
      </c>
      <c r="AG22" s="68">
        <v>12.499369933777718</v>
      </c>
      <c r="AH22" s="68">
        <v>0</v>
      </c>
      <c r="AI22" s="68">
        <v>1</v>
      </c>
      <c r="AJ22" s="69">
        <v>326.71941375732422</v>
      </c>
      <c r="AK22" s="69">
        <v>673.37640930811574</v>
      </c>
      <c r="AL22" s="69">
        <v>1370.5365793863932</v>
      </c>
      <c r="AM22" s="69">
        <v>560.61996928850817</v>
      </c>
      <c r="AN22" s="69">
        <v>1599.5381469726562</v>
      </c>
      <c r="AO22" s="69">
        <v>1978.8519287109375</v>
      </c>
      <c r="AP22" s="69">
        <v>568.12249387105317</v>
      </c>
      <c r="AQ22" s="69">
        <v>1676.805686632792</v>
      </c>
      <c r="AR22" s="69">
        <v>84.013901595274618</v>
      </c>
      <c r="AS22" s="69">
        <v>570.90376281738281</v>
      </c>
    </row>
    <row r="23" spans="1:45" x14ac:dyDescent="0.25">
      <c r="A23" s="11">
        <v>42810</v>
      </c>
      <c r="B23" s="59"/>
      <c r="C23" s="60">
        <v>35.232481362422298</v>
      </c>
      <c r="D23" s="60">
        <v>357.93918995062438</v>
      </c>
      <c r="E23" s="60">
        <v>9.8036695450544382</v>
      </c>
      <c r="F23" s="60">
        <v>0</v>
      </c>
      <c r="G23" s="60">
        <v>1150.5660858790059</v>
      </c>
      <c r="H23" s="61">
        <v>14.49219353099663</v>
      </c>
      <c r="I23" s="59">
        <v>125.3463123798372</v>
      </c>
      <c r="J23" s="60">
        <v>593.8550265312183</v>
      </c>
      <c r="K23" s="60">
        <v>32.693636435270307</v>
      </c>
      <c r="L23" s="60">
        <v>9.4413757324218753E-6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324.45158099150217</v>
      </c>
      <c r="V23" s="62">
        <v>20.929901016265774</v>
      </c>
      <c r="W23" s="62">
        <v>46.431037938193413</v>
      </c>
      <c r="X23" s="62">
        <v>2.9951989297112456</v>
      </c>
      <c r="Y23" s="66">
        <v>192.66850054396718</v>
      </c>
      <c r="Z23" s="66">
        <v>12.428765589658811</v>
      </c>
      <c r="AA23" s="67">
        <v>0</v>
      </c>
      <c r="AB23" s="68">
        <v>80.830744324789919</v>
      </c>
      <c r="AC23" s="69">
        <v>0</v>
      </c>
      <c r="AD23" s="401">
        <v>12.926929554698342</v>
      </c>
      <c r="AE23" s="401">
        <v>2.8419718769210101</v>
      </c>
      <c r="AF23" s="69">
        <v>13.264275124006812</v>
      </c>
      <c r="AG23" s="68">
        <v>12.446579760032579</v>
      </c>
      <c r="AH23" s="68">
        <v>0.80291081206154469</v>
      </c>
      <c r="AI23" s="68">
        <v>0.93940062769261312</v>
      </c>
      <c r="AJ23" s="69">
        <v>326.71941375732422</v>
      </c>
      <c r="AK23" s="69">
        <v>1034.1540833473205</v>
      </c>
      <c r="AL23" s="69">
        <v>2401.860122235616</v>
      </c>
      <c r="AM23" s="69">
        <v>542.19312791824348</v>
      </c>
      <c r="AN23" s="69">
        <v>1599.5381469726562</v>
      </c>
      <c r="AO23" s="69">
        <v>1978.8519287109375</v>
      </c>
      <c r="AP23" s="69">
        <v>568.40639007886273</v>
      </c>
      <c r="AQ23" s="69">
        <v>1694.957741610209</v>
      </c>
      <c r="AR23" s="69">
        <v>292.63089993000028</v>
      </c>
      <c r="AS23" s="69">
        <v>570.90376281738281</v>
      </c>
    </row>
    <row r="24" spans="1:45" x14ac:dyDescent="0.25">
      <c r="A24" s="11">
        <v>42811</v>
      </c>
      <c r="B24" s="59"/>
      <c r="C24" s="60">
        <v>54.953872108459642</v>
      </c>
      <c r="D24" s="60">
        <v>574.9971861521401</v>
      </c>
      <c r="E24" s="60">
        <v>15.517369257907067</v>
      </c>
      <c r="F24" s="60">
        <v>0</v>
      </c>
      <c r="G24" s="60">
        <v>1848.4908215840601</v>
      </c>
      <c r="H24" s="61">
        <v>22.574712360898637</v>
      </c>
      <c r="I24" s="59">
        <v>115.17474381923677</v>
      </c>
      <c r="J24" s="60">
        <v>545.67651964823335</v>
      </c>
      <c r="K24" s="60">
        <v>30.024599723021154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299.10909784374564</v>
      </c>
      <c r="V24" s="62">
        <v>117.04495226272677</v>
      </c>
      <c r="W24" s="62">
        <v>43.032327123800371</v>
      </c>
      <c r="X24" s="62">
        <v>16.83906210231838</v>
      </c>
      <c r="Y24" s="66">
        <v>186.66090792076301</v>
      </c>
      <c r="Z24" s="66">
        <v>73.042636330360551</v>
      </c>
      <c r="AA24" s="67">
        <v>0</v>
      </c>
      <c r="AB24" s="68">
        <v>86.896472533542934</v>
      </c>
      <c r="AC24" s="69">
        <v>0</v>
      </c>
      <c r="AD24" s="401">
        <v>11.878748574113104</v>
      </c>
      <c r="AE24" s="401">
        <v>4.4854260855358721</v>
      </c>
      <c r="AF24" s="69">
        <v>15.774482979377108</v>
      </c>
      <c r="AG24" s="68">
        <v>11.220001156001201</v>
      </c>
      <c r="AH24" s="68">
        <v>4.3905200783225169</v>
      </c>
      <c r="AI24" s="68">
        <v>0.71874609358534181</v>
      </c>
      <c r="AJ24" s="69">
        <v>326.71941375732422</v>
      </c>
      <c r="AK24" s="69">
        <v>1324.4971759796144</v>
      </c>
      <c r="AL24" s="69">
        <v>3233.4254638671873</v>
      </c>
      <c r="AM24" s="69">
        <v>518.8168980280559</v>
      </c>
      <c r="AN24" s="69">
        <v>1599.5381469726562</v>
      </c>
      <c r="AO24" s="69">
        <v>1978.8519287109375</v>
      </c>
      <c r="AP24" s="69">
        <v>574.83388509750375</v>
      </c>
      <c r="AQ24" s="69">
        <v>1958.4479228337605</v>
      </c>
      <c r="AR24" s="69">
        <v>437.32233250935877</v>
      </c>
      <c r="AS24" s="69">
        <v>570.90376281738281</v>
      </c>
    </row>
    <row r="25" spans="1:45" x14ac:dyDescent="0.25">
      <c r="A25" s="11">
        <v>42812</v>
      </c>
      <c r="B25" s="59"/>
      <c r="C25" s="60">
        <v>56.984227625528966</v>
      </c>
      <c r="D25" s="60">
        <v>587.19690726598049</v>
      </c>
      <c r="E25" s="60">
        <v>15.829728330671744</v>
      </c>
      <c r="F25" s="60">
        <v>0</v>
      </c>
      <c r="G25" s="60">
        <v>1872.0343213399165</v>
      </c>
      <c r="H25" s="61">
        <v>23.324589491883902</v>
      </c>
      <c r="I25" s="59">
        <v>115.1636161168416</v>
      </c>
      <c r="J25" s="60">
        <v>545.52999544143563</v>
      </c>
      <c r="K25" s="60">
        <v>30.187106500069312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299.48203760929169</v>
      </c>
      <c r="V25" s="62">
        <v>117.19400797803773</v>
      </c>
      <c r="W25" s="62">
        <v>41.820628047237982</v>
      </c>
      <c r="X25" s="62">
        <v>16.365345501651198</v>
      </c>
      <c r="Y25" s="66">
        <v>191.95893689938868</v>
      </c>
      <c r="Z25" s="66">
        <v>75.117817956720842</v>
      </c>
      <c r="AA25" s="67">
        <v>0</v>
      </c>
      <c r="AB25" s="68">
        <v>87.549572266472111</v>
      </c>
      <c r="AC25" s="69">
        <v>0</v>
      </c>
      <c r="AD25" s="401">
        <v>11.873742753769161</v>
      </c>
      <c r="AE25" s="401">
        <v>4.5791252159624829</v>
      </c>
      <c r="AF25" s="69">
        <v>16.166442890961942</v>
      </c>
      <c r="AG25" s="68">
        <v>11.500256151480521</v>
      </c>
      <c r="AH25" s="68">
        <v>4.5003070031345027</v>
      </c>
      <c r="AI25" s="68">
        <v>0.71874071183322796</v>
      </c>
      <c r="AJ25" s="69">
        <v>326.71941375732422</v>
      </c>
      <c r="AK25" s="69">
        <v>1308.5325202306115</v>
      </c>
      <c r="AL25" s="69">
        <v>3252.9796305338537</v>
      </c>
      <c r="AM25" s="69">
        <v>544.10884399414056</v>
      </c>
      <c r="AN25" s="69">
        <v>1599.5381469726562</v>
      </c>
      <c r="AO25" s="69">
        <v>1978.8519287109375</v>
      </c>
      <c r="AP25" s="69">
        <v>583.02703312238066</v>
      </c>
      <c r="AQ25" s="69">
        <v>1972.2914141337078</v>
      </c>
      <c r="AR25" s="69">
        <v>428.02482124964394</v>
      </c>
      <c r="AS25" s="69">
        <v>570.90376281738281</v>
      </c>
    </row>
    <row r="26" spans="1:45" x14ac:dyDescent="0.25">
      <c r="A26" s="11">
        <v>42813</v>
      </c>
      <c r="B26" s="59"/>
      <c r="C26" s="60">
        <v>58.444531214237408</v>
      </c>
      <c r="D26" s="60">
        <v>601.15279919306363</v>
      </c>
      <c r="E26" s="60">
        <v>16.239638833204868</v>
      </c>
      <c r="F26" s="60">
        <v>0</v>
      </c>
      <c r="G26" s="60">
        <v>1945.0190835316942</v>
      </c>
      <c r="H26" s="61">
        <v>24.178465600808426</v>
      </c>
      <c r="I26" s="59">
        <v>110.48046307961144</v>
      </c>
      <c r="J26" s="60">
        <v>475.31733735402429</v>
      </c>
      <c r="K26" s="60">
        <v>26.378258113066309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245.70946824488962</v>
      </c>
      <c r="V26" s="62">
        <v>115.22906528375566</v>
      </c>
      <c r="W26" s="62">
        <v>32.700897191402838</v>
      </c>
      <c r="X26" s="62">
        <v>15.335566204351631</v>
      </c>
      <c r="Y26" s="66">
        <v>159.9191810235483</v>
      </c>
      <c r="Z26" s="66">
        <v>74.996449595183421</v>
      </c>
      <c r="AA26" s="67">
        <v>0</v>
      </c>
      <c r="AB26" s="68">
        <v>80.583122772641175</v>
      </c>
      <c r="AC26" s="69">
        <v>0</v>
      </c>
      <c r="AD26" s="401">
        <v>10.344962920404786</v>
      </c>
      <c r="AE26" s="401">
        <v>4.6889393924454756</v>
      </c>
      <c r="AF26" s="69">
        <v>14.247686154312579</v>
      </c>
      <c r="AG26" s="68">
        <v>9.5945108075332612</v>
      </c>
      <c r="AH26" s="68">
        <v>4.499486813039991</v>
      </c>
      <c r="AI26" s="68">
        <v>0.68075155579194846</v>
      </c>
      <c r="AJ26" s="69">
        <v>326.71941375732422</v>
      </c>
      <c r="AK26" s="69">
        <v>1266.0947404861449</v>
      </c>
      <c r="AL26" s="69">
        <v>3258.8755915323895</v>
      </c>
      <c r="AM26" s="69">
        <v>547.74657527605689</v>
      </c>
      <c r="AN26" s="69">
        <v>1599.5381469726562</v>
      </c>
      <c r="AO26" s="69">
        <v>1978.8519287109375</v>
      </c>
      <c r="AP26" s="69">
        <v>596.15260664621985</v>
      </c>
      <c r="AQ26" s="69">
        <v>1788.6576437632241</v>
      </c>
      <c r="AR26" s="69">
        <v>430.43383096059159</v>
      </c>
      <c r="AS26" s="69">
        <v>570.90376281738281</v>
      </c>
    </row>
    <row r="27" spans="1:45" x14ac:dyDescent="0.25">
      <c r="A27" s="11">
        <v>42814</v>
      </c>
      <c r="B27" s="59"/>
      <c r="C27" s="60">
        <v>57.670251893997076</v>
      </c>
      <c r="D27" s="60">
        <v>599.84143870671608</v>
      </c>
      <c r="E27" s="60">
        <v>16.236016441881631</v>
      </c>
      <c r="F27" s="60">
        <v>0</v>
      </c>
      <c r="G27" s="60">
        <v>2081.2687736511207</v>
      </c>
      <c r="H27" s="61">
        <v>24.259742699066788</v>
      </c>
      <c r="I27" s="59">
        <v>104.60757663249971</v>
      </c>
      <c r="J27" s="60">
        <v>495.06341571807866</v>
      </c>
      <c r="K27" s="60">
        <v>27.163003849983248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272.17714260742309</v>
      </c>
      <c r="V27" s="62">
        <v>117.97195581006768</v>
      </c>
      <c r="W27" s="62">
        <v>35.752060149179727</v>
      </c>
      <c r="X27" s="62">
        <v>15.496306631895996</v>
      </c>
      <c r="Y27" s="66">
        <v>179.60806133965463</v>
      </c>
      <c r="Z27" s="66">
        <v>77.848984938663179</v>
      </c>
      <c r="AA27" s="67">
        <v>0</v>
      </c>
      <c r="AB27" s="68">
        <v>82.687410969204066</v>
      </c>
      <c r="AC27" s="69">
        <v>0</v>
      </c>
      <c r="AD27" s="401">
        <v>10.773988303540131</v>
      </c>
      <c r="AE27" s="401">
        <v>4.6787862071955901</v>
      </c>
      <c r="AF27" s="69">
        <v>15.046784716844577</v>
      </c>
      <c r="AG27" s="68">
        <v>10.382400054370914</v>
      </c>
      <c r="AH27" s="68">
        <v>4.500128220477853</v>
      </c>
      <c r="AI27" s="68">
        <v>0.69762340528638556</v>
      </c>
      <c r="AJ27" s="69">
        <v>326.71941375732422</v>
      </c>
      <c r="AK27" s="69">
        <v>1263.5633282979329</v>
      </c>
      <c r="AL27" s="69">
        <v>3276.2045525868743</v>
      </c>
      <c r="AM27" s="69">
        <v>522.95241006215417</v>
      </c>
      <c r="AN27" s="69">
        <v>1599.5381469726562</v>
      </c>
      <c r="AO27" s="69">
        <v>1978.8519287109375</v>
      </c>
      <c r="AP27" s="69">
        <v>596.72027268409727</v>
      </c>
      <c r="AQ27" s="69">
        <v>1822.7607051849366</v>
      </c>
      <c r="AR27" s="69">
        <v>434.12148431142174</v>
      </c>
      <c r="AS27" s="69">
        <v>570.90376281738281</v>
      </c>
    </row>
    <row r="28" spans="1:45" x14ac:dyDescent="0.25">
      <c r="A28" s="11">
        <v>42815</v>
      </c>
      <c r="B28" s="59"/>
      <c r="C28" s="60">
        <v>58.121743798255601</v>
      </c>
      <c r="D28" s="60">
        <v>619.68955691655481</v>
      </c>
      <c r="E28" s="60">
        <v>16.256766341129918</v>
      </c>
      <c r="F28" s="60">
        <v>0</v>
      </c>
      <c r="G28" s="60">
        <v>2212.4940714518229</v>
      </c>
      <c r="H28" s="61">
        <v>24.224232029914855</v>
      </c>
      <c r="I28" s="59">
        <v>86.283702909946442</v>
      </c>
      <c r="J28" s="60">
        <v>408.63958415985087</v>
      </c>
      <c r="K28" s="60">
        <v>22.753667026758244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222.31936524422969</v>
      </c>
      <c r="V28" s="62">
        <v>117.69930918237748</v>
      </c>
      <c r="W28" s="62">
        <v>29.313965641475715</v>
      </c>
      <c r="X28" s="62">
        <v>15.519266626222032</v>
      </c>
      <c r="Y28" s="62">
        <v>156.62031435941236</v>
      </c>
      <c r="Z28" s="62">
        <v>82.917215887958221</v>
      </c>
      <c r="AA28" s="72">
        <v>0</v>
      </c>
      <c r="AB28" s="69">
        <v>73.227048529519735</v>
      </c>
      <c r="AC28" s="69">
        <v>0</v>
      </c>
      <c r="AD28" s="401">
        <v>8.8959127099831505</v>
      </c>
      <c r="AE28" s="401">
        <v>4.675356236153867</v>
      </c>
      <c r="AF28" s="69">
        <v>12.998484715819348</v>
      </c>
      <c r="AG28" s="69">
        <v>8.4048768419153443</v>
      </c>
      <c r="AH28" s="69">
        <v>4.4496717457323465</v>
      </c>
      <c r="AI28" s="69">
        <v>0.65384457374036731</v>
      </c>
      <c r="AJ28" s="69">
        <v>326.71941375732422</v>
      </c>
      <c r="AK28" s="69">
        <v>1337.6127359390259</v>
      </c>
      <c r="AL28" s="69">
        <v>3279.3073582967127</v>
      </c>
      <c r="AM28" s="69">
        <v>515.00308105150862</v>
      </c>
      <c r="AN28" s="69">
        <v>1599.5381469726562</v>
      </c>
      <c r="AO28" s="69">
        <v>1978.8519287109375</v>
      </c>
      <c r="AP28" s="69">
        <v>585.72595863342281</v>
      </c>
      <c r="AQ28" s="69">
        <v>1669.0844095865887</v>
      </c>
      <c r="AR28" s="69">
        <v>447.96909313201905</v>
      </c>
      <c r="AS28" s="69">
        <v>570.90376281738281</v>
      </c>
    </row>
    <row r="29" spans="1:45" x14ac:dyDescent="0.25">
      <c r="A29" s="11">
        <v>42816</v>
      </c>
      <c r="B29" s="59"/>
      <c r="C29" s="60">
        <v>55.602683766683256</v>
      </c>
      <c r="D29" s="60">
        <v>601.35431308746331</v>
      </c>
      <c r="E29" s="60">
        <v>16.246218345065902</v>
      </c>
      <c r="F29" s="60">
        <v>0</v>
      </c>
      <c r="G29" s="60">
        <v>2370.8398869832436</v>
      </c>
      <c r="H29" s="61">
        <v>23.429711896181132</v>
      </c>
      <c r="I29" s="59">
        <v>86.301377177238464</v>
      </c>
      <c r="J29" s="60">
        <v>408.11200717290251</v>
      </c>
      <c r="K29" s="60">
        <v>22.740465061863304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225.82923717897054</v>
      </c>
      <c r="V29" s="62">
        <v>119.55469841028851</v>
      </c>
      <c r="W29" s="62">
        <v>29.622455706823693</v>
      </c>
      <c r="X29" s="62">
        <v>15.682219904036522</v>
      </c>
      <c r="Y29" s="66">
        <v>155.38936440504486</v>
      </c>
      <c r="Z29" s="66">
        <v>82.263611344924286</v>
      </c>
      <c r="AA29" s="67">
        <v>0</v>
      </c>
      <c r="AB29" s="68">
        <v>72.047290982140325</v>
      </c>
      <c r="AC29" s="69">
        <v>0</v>
      </c>
      <c r="AD29" s="401">
        <v>8.8826071797537374</v>
      </c>
      <c r="AE29" s="401">
        <v>4.5058725406243481</v>
      </c>
      <c r="AF29" s="69">
        <v>13.152302484379879</v>
      </c>
      <c r="AG29" s="68">
        <v>8.5010041445632503</v>
      </c>
      <c r="AH29" s="68">
        <v>4.5004579539115319</v>
      </c>
      <c r="AI29" s="68">
        <v>0.65384985782179939</v>
      </c>
      <c r="AJ29" s="69">
        <v>326.71941375732422</v>
      </c>
      <c r="AK29" s="69">
        <v>1279.2977190653485</v>
      </c>
      <c r="AL29" s="69">
        <v>3311.2657643636062</v>
      </c>
      <c r="AM29" s="69">
        <v>534.11792453130079</v>
      </c>
      <c r="AN29" s="69">
        <v>1599.5381469726562</v>
      </c>
      <c r="AO29" s="69">
        <v>1978.8519287109375</v>
      </c>
      <c r="AP29" s="69">
        <v>573.66458013852446</v>
      </c>
      <c r="AQ29" s="69">
        <v>1693.8211344401045</v>
      </c>
      <c r="AR29" s="69">
        <v>431.17064638137816</v>
      </c>
      <c r="AS29" s="69">
        <v>570.90376281738281</v>
      </c>
    </row>
    <row r="30" spans="1:45" x14ac:dyDescent="0.25">
      <c r="A30" s="11">
        <v>42817</v>
      </c>
      <c r="B30" s="59"/>
      <c r="C30" s="60">
        <v>55.338330062230327</v>
      </c>
      <c r="D30" s="60">
        <v>593.62711938222321</v>
      </c>
      <c r="E30" s="60">
        <v>16.203384592632439</v>
      </c>
      <c r="F30" s="60">
        <v>0</v>
      </c>
      <c r="G30" s="60">
        <v>2380.4243598938069</v>
      </c>
      <c r="H30" s="61">
        <v>23.144860650102288</v>
      </c>
      <c r="I30" s="59">
        <v>88.59193480014801</v>
      </c>
      <c r="J30" s="60">
        <v>419.73754046758017</v>
      </c>
      <c r="K30" s="60">
        <v>22.800262251496296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221.95145417328621</v>
      </c>
      <c r="V30" s="62">
        <v>117.43621684171188</v>
      </c>
      <c r="W30" s="62">
        <v>28.511622719130997</v>
      </c>
      <c r="X30" s="62">
        <v>15.085718273955528</v>
      </c>
      <c r="Y30" s="66">
        <v>154.23553129530089</v>
      </c>
      <c r="Z30" s="66">
        <v>81.607202644188092</v>
      </c>
      <c r="AA30" s="67">
        <v>0</v>
      </c>
      <c r="AB30" s="68">
        <v>73.136954842674427</v>
      </c>
      <c r="AC30" s="69">
        <v>0</v>
      </c>
      <c r="AD30" s="401">
        <v>9.1303988762795925</v>
      </c>
      <c r="AE30" s="401">
        <v>4.4834549026789112</v>
      </c>
      <c r="AF30" s="69">
        <v>12.745662501123183</v>
      </c>
      <c r="AG30" s="68">
        <v>8.232571002374085</v>
      </c>
      <c r="AH30" s="68">
        <v>4.3559164638082173</v>
      </c>
      <c r="AI30" s="68">
        <v>0.65397618454878348</v>
      </c>
      <c r="AJ30" s="69">
        <v>326.71941375732422</v>
      </c>
      <c r="AK30" s="69">
        <v>1298.8896116256713</v>
      </c>
      <c r="AL30" s="69">
        <v>3324.4973664601648</v>
      </c>
      <c r="AM30" s="69">
        <v>549.43326112429304</v>
      </c>
      <c r="AN30" s="69">
        <v>1599.5381469726562</v>
      </c>
      <c r="AO30" s="69">
        <v>1978.8519287109375</v>
      </c>
      <c r="AP30" s="69">
        <v>591.90104839007063</v>
      </c>
      <c r="AQ30" s="69">
        <v>1670.7921792984012</v>
      </c>
      <c r="AR30" s="69">
        <v>432.69573443730673</v>
      </c>
      <c r="AS30" s="69">
        <v>570.90376281738281</v>
      </c>
    </row>
    <row r="31" spans="1:45" x14ac:dyDescent="0.25">
      <c r="A31" s="11">
        <v>42818</v>
      </c>
      <c r="B31" s="59"/>
      <c r="C31" s="60">
        <v>54.791384740670686</v>
      </c>
      <c r="D31" s="60">
        <v>576.79096106688178</v>
      </c>
      <c r="E31" s="60">
        <v>15.57600276917217</v>
      </c>
      <c r="F31" s="60">
        <v>0</v>
      </c>
      <c r="G31" s="60">
        <v>2424.7620333353766</v>
      </c>
      <c r="H31" s="61">
        <v>22.001790878176699</v>
      </c>
      <c r="I31" s="59">
        <v>88.578229526678754</v>
      </c>
      <c r="J31" s="60">
        <v>425.17428158124278</v>
      </c>
      <c r="K31" s="60">
        <v>22.686167217294404</v>
      </c>
      <c r="L31" s="60">
        <v>1.7938613891601567E-4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234.92928201750001</v>
      </c>
      <c r="V31" s="62">
        <v>124.28029817082468</v>
      </c>
      <c r="W31" s="62">
        <v>29.135583331866346</v>
      </c>
      <c r="X31" s="62">
        <v>15.413059422688443</v>
      </c>
      <c r="Y31" s="66">
        <v>162.05169086451357</v>
      </c>
      <c r="Z31" s="66">
        <v>85.727212405254036</v>
      </c>
      <c r="AA31" s="67">
        <v>0</v>
      </c>
      <c r="AB31" s="68">
        <v>74.204925674862352</v>
      </c>
      <c r="AC31" s="69">
        <v>0</v>
      </c>
      <c r="AD31" s="401">
        <v>9.3304751649367184</v>
      </c>
      <c r="AE31" s="401">
        <v>4.4823509641709993</v>
      </c>
      <c r="AF31" s="69">
        <v>13.180002016822518</v>
      </c>
      <c r="AG31" s="68">
        <v>8.5062248705620522</v>
      </c>
      <c r="AH31" s="68">
        <v>4.4998910061062061</v>
      </c>
      <c r="AI31" s="68">
        <v>0.65401730625985088</v>
      </c>
      <c r="AJ31" s="69">
        <v>325.27805395126347</v>
      </c>
      <c r="AK31" s="69">
        <v>1300.4121255556743</v>
      </c>
      <c r="AL31" s="69">
        <v>3174.6825257937112</v>
      </c>
      <c r="AM31" s="69">
        <v>608.0376290639241</v>
      </c>
      <c r="AN31" s="69">
        <v>4428.8194433848057</v>
      </c>
      <c r="AO31" s="69">
        <v>2261.5766354878742</v>
      </c>
      <c r="AP31" s="69">
        <v>628.95462517738338</v>
      </c>
      <c r="AQ31" s="69">
        <v>1180.0536177953084</v>
      </c>
      <c r="AR31" s="69">
        <v>436.73278821309412</v>
      </c>
      <c r="AS31" s="69">
        <v>687.57811129887887</v>
      </c>
    </row>
    <row r="32" spans="1:45" x14ac:dyDescent="0.25">
      <c r="A32" s="11">
        <v>42819</v>
      </c>
      <c r="B32" s="59"/>
      <c r="C32" s="60">
        <v>55.566483016809194</v>
      </c>
      <c r="D32" s="60">
        <v>574.6961988131211</v>
      </c>
      <c r="E32" s="60">
        <v>16.263547361393744</v>
      </c>
      <c r="F32" s="60">
        <v>0</v>
      </c>
      <c r="G32" s="60">
        <v>2391.6896500905327</v>
      </c>
      <c r="H32" s="61">
        <v>22.760504707694082</v>
      </c>
      <c r="I32" s="59">
        <v>89.679232060909271</v>
      </c>
      <c r="J32" s="60">
        <v>424.47689835230534</v>
      </c>
      <c r="K32" s="60">
        <v>23.236127116282784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244.63227761524058</v>
      </c>
      <c r="V32" s="62">
        <v>129.51424136754235</v>
      </c>
      <c r="W32" s="62">
        <v>29.202246610088597</v>
      </c>
      <c r="X32" s="62">
        <v>15.460375273462628</v>
      </c>
      <c r="Y32" s="66">
        <v>159.5580093408212</v>
      </c>
      <c r="Z32" s="66">
        <v>84.473867207310278</v>
      </c>
      <c r="AA32" s="67">
        <v>0</v>
      </c>
      <c r="AB32" s="68">
        <v>73.773757982254295</v>
      </c>
      <c r="AC32" s="69">
        <v>0</v>
      </c>
      <c r="AD32" s="401">
        <v>9.2386144674141288</v>
      </c>
      <c r="AE32" s="401">
        <v>4.4825356271193648</v>
      </c>
      <c r="AF32" s="69">
        <v>13.147038851843947</v>
      </c>
      <c r="AG32" s="68">
        <v>8.5004093233209019</v>
      </c>
      <c r="AH32" s="68">
        <v>4.5003221797044795</v>
      </c>
      <c r="AI32" s="68">
        <v>0.65384084898167338</v>
      </c>
      <c r="AJ32" s="69">
        <v>352.99686876932782</v>
      </c>
      <c r="AK32" s="69">
        <v>1319.0793163935343</v>
      </c>
      <c r="AL32" s="69">
        <v>3321.834246063233</v>
      </c>
      <c r="AM32" s="69">
        <v>604.29474096298236</v>
      </c>
      <c r="AN32" s="69">
        <v>5093.1953130086267</v>
      </c>
      <c r="AO32" s="69">
        <v>2430.9918561299642</v>
      </c>
      <c r="AP32" s="69">
        <v>638.99839782714844</v>
      </c>
      <c r="AQ32" s="69">
        <v>1089.9054565429687</v>
      </c>
      <c r="AR32" s="69">
        <v>426.73123954137162</v>
      </c>
      <c r="AS32" s="69">
        <v>651.47793715794887</v>
      </c>
    </row>
    <row r="33" spans="1:45" x14ac:dyDescent="0.25">
      <c r="A33" s="11">
        <v>42820</v>
      </c>
      <c r="B33" s="59"/>
      <c r="C33" s="60">
        <v>54.852208383878285</v>
      </c>
      <c r="D33" s="60">
        <v>574.85395622253475</v>
      </c>
      <c r="E33" s="60">
        <v>16.30456390976903</v>
      </c>
      <c r="F33" s="60">
        <v>0</v>
      </c>
      <c r="G33" s="60">
        <v>1973.6818753560324</v>
      </c>
      <c r="H33" s="61">
        <v>23.084648145238571</v>
      </c>
      <c r="I33" s="59">
        <v>89.475261330604553</v>
      </c>
      <c r="J33" s="60">
        <v>423.14792148272198</v>
      </c>
      <c r="K33" s="60">
        <v>22.987390854954739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234.15911138581049</v>
      </c>
      <c r="V33" s="62">
        <v>123.97599578175358</v>
      </c>
      <c r="W33" s="62">
        <v>29.368114242044896</v>
      </c>
      <c r="X33" s="62">
        <v>15.549005058320562</v>
      </c>
      <c r="Y33" s="66">
        <v>159.0912730165133</v>
      </c>
      <c r="Z33" s="66">
        <v>84.231183128773438</v>
      </c>
      <c r="AA33" s="67">
        <v>0</v>
      </c>
      <c r="AB33" s="68">
        <v>73.538184817632995</v>
      </c>
      <c r="AC33" s="69">
        <v>0</v>
      </c>
      <c r="AD33" s="401">
        <v>9.2098536411159273</v>
      </c>
      <c r="AE33" s="401">
        <v>4.4839416698358514</v>
      </c>
      <c r="AF33" s="69">
        <v>13.025783066285982</v>
      </c>
      <c r="AG33" s="68">
        <v>8.423563010138011</v>
      </c>
      <c r="AH33" s="68">
        <v>4.4598717770650422</v>
      </c>
      <c r="AI33" s="68">
        <v>0.65382897878328428</v>
      </c>
      <c r="AJ33" s="69">
        <v>381.24763202667248</v>
      </c>
      <c r="AK33" s="69">
        <v>1352.054786109924</v>
      </c>
      <c r="AL33" s="69">
        <v>3271.565173339844</v>
      </c>
      <c r="AM33" s="69">
        <v>588.32533957163491</v>
      </c>
      <c r="AN33" s="69">
        <v>4979.9658673604326</v>
      </c>
      <c r="AO33" s="69">
        <v>2507.4458016713461</v>
      </c>
      <c r="AP33" s="69">
        <v>638.99839782714844</v>
      </c>
      <c r="AQ33" s="69">
        <v>1089.9054565429687</v>
      </c>
      <c r="AR33" s="69">
        <v>436.08794399897255</v>
      </c>
      <c r="AS33" s="69">
        <v>633.09909423192335</v>
      </c>
    </row>
    <row r="34" spans="1:45" x14ac:dyDescent="0.25">
      <c r="A34" s="11">
        <v>42821</v>
      </c>
      <c r="B34" s="59"/>
      <c r="C34" s="60">
        <v>56.620746417840714</v>
      </c>
      <c r="D34" s="60">
        <v>580.35783637364716</v>
      </c>
      <c r="E34" s="60">
        <v>16.330627194046968</v>
      </c>
      <c r="F34" s="60">
        <v>0</v>
      </c>
      <c r="G34" s="60">
        <v>2018.3712275187113</v>
      </c>
      <c r="H34" s="61">
        <v>23.057127844293877</v>
      </c>
      <c r="I34" s="59">
        <v>89.560915648937225</v>
      </c>
      <c r="J34" s="60">
        <v>423.11526190439884</v>
      </c>
      <c r="K34" s="60">
        <v>23.094004513820028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229.51577119311335</v>
      </c>
      <c r="V34" s="62">
        <v>111.71640520611854</v>
      </c>
      <c r="W34" s="62">
        <v>27.812409536264905</v>
      </c>
      <c r="X34" s="62">
        <v>13.537642303881531</v>
      </c>
      <c r="Y34" s="66">
        <v>158.21608020477095</v>
      </c>
      <c r="Z34" s="66">
        <v>77.011403767142482</v>
      </c>
      <c r="AA34" s="67">
        <v>0</v>
      </c>
      <c r="AB34" s="68">
        <v>74.024464617836088</v>
      </c>
      <c r="AC34" s="69">
        <v>0</v>
      </c>
      <c r="AD34" s="401">
        <v>9.2098236230843931</v>
      </c>
      <c r="AE34" s="401">
        <v>4.5268518058385965</v>
      </c>
      <c r="AF34" s="69">
        <v>12.599416114886619</v>
      </c>
      <c r="AG34" s="68">
        <v>8.3744823157047641</v>
      </c>
      <c r="AH34" s="68">
        <v>4.0762648026726058</v>
      </c>
      <c r="AI34" s="68">
        <v>0.67260881905986047</v>
      </c>
      <c r="AJ34" s="69">
        <v>330.16748396555585</v>
      </c>
      <c r="AK34" s="69">
        <v>1307.2368098576862</v>
      </c>
      <c r="AL34" s="69">
        <v>3274.709367116292</v>
      </c>
      <c r="AM34" s="69">
        <v>593.27433093388879</v>
      </c>
      <c r="AN34" s="69">
        <v>4887.3093653360993</v>
      </c>
      <c r="AO34" s="69">
        <v>2522.8341861724857</v>
      </c>
      <c r="AP34" s="69">
        <v>638.99839782714844</v>
      </c>
      <c r="AQ34" s="69">
        <v>1089.9054565429687</v>
      </c>
      <c r="AR34" s="69">
        <v>436.21402088801068</v>
      </c>
      <c r="AS34" s="69">
        <v>711.57881244023656</v>
      </c>
    </row>
    <row r="35" spans="1:45" x14ac:dyDescent="0.25">
      <c r="A35" s="11">
        <v>42822</v>
      </c>
      <c r="B35" s="59"/>
      <c r="C35" s="60">
        <v>56.899544405937114</v>
      </c>
      <c r="D35" s="60">
        <v>588.15035600662179</v>
      </c>
      <c r="E35" s="60">
        <v>16.270995566248871</v>
      </c>
      <c r="F35" s="60">
        <v>0</v>
      </c>
      <c r="G35" s="60">
        <v>2126.1709725697847</v>
      </c>
      <c r="H35" s="61">
        <v>23.333631874124233</v>
      </c>
      <c r="I35" s="59">
        <v>89.371378183364868</v>
      </c>
      <c r="J35" s="60">
        <v>422.47408083279936</v>
      </c>
      <c r="K35" s="60">
        <v>22.956840417782502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226.47565563379308</v>
      </c>
      <c r="V35" s="62">
        <v>119.88650663834008</v>
      </c>
      <c r="W35" s="62">
        <v>27.313271393640445</v>
      </c>
      <c r="X35" s="62">
        <v>14.458475384847778</v>
      </c>
      <c r="Y35" s="66">
        <v>156.62611597573101</v>
      </c>
      <c r="Z35" s="66">
        <v>82.911153696026986</v>
      </c>
      <c r="AA35" s="67">
        <v>0</v>
      </c>
      <c r="AB35" s="68">
        <v>74.392335075802606</v>
      </c>
      <c r="AC35" s="69">
        <v>0</v>
      </c>
      <c r="AD35" s="401">
        <v>9.2155443276906244</v>
      </c>
      <c r="AE35" s="401">
        <v>4.5878066100264308</v>
      </c>
      <c r="AF35" s="69">
        <v>12.84050198859639</v>
      </c>
      <c r="AG35" s="68">
        <v>8.3022164235531175</v>
      </c>
      <c r="AH35" s="68">
        <v>4.3948375890106997</v>
      </c>
      <c r="AI35" s="68">
        <v>0.65386950511024211</v>
      </c>
      <c r="AJ35" s="69">
        <v>362.09386881192523</v>
      </c>
      <c r="AK35" s="69">
        <v>1338.5922140121461</v>
      </c>
      <c r="AL35" s="69">
        <v>3267.2211521148674</v>
      </c>
      <c r="AM35" s="69">
        <v>594.2056978861491</v>
      </c>
      <c r="AN35" s="69">
        <v>4809.854109446208</v>
      </c>
      <c r="AO35" s="69">
        <v>2493.1912250518803</v>
      </c>
      <c r="AP35" s="69">
        <v>638.99839782714844</v>
      </c>
      <c r="AQ35" s="69">
        <v>1089.9054565429687</v>
      </c>
      <c r="AR35" s="69">
        <v>426.15680507024132</v>
      </c>
      <c r="AS35" s="69">
        <v>716.88734649022422</v>
      </c>
    </row>
    <row r="36" spans="1:45" x14ac:dyDescent="0.25">
      <c r="A36" s="11">
        <v>42823</v>
      </c>
      <c r="B36" s="59"/>
      <c r="C36" s="60">
        <v>55.437023492653474</v>
      </c>
      <c r="D36" s="60">
        <v>576.74062331517473</v>
      </c>
      <c r="E36" s="60">
        <v>16.159189852575416</v>
      </c>
      <c r="F36" s="60">
        <v>0</v>
      </c>
      <c r="G36" s="60">
        <v>2018.0342075347883</v>
      </c>
      <c r="H36" s="61">
        <v>23.206232285499574</v>
      </c>
      <c r="I36" s="59">
        <v>90.027840662002546</v>
      </c>
      <c r="J36" s="60">
        <v>406.99466241200719</v>
      </c>
      <c r="K36" s="60">
        <v>22.171886002024053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221.4787657296377</v>
      </c>
      <c r="V36" s="62">
        <v>122.69072033739099</v>
      </c>
      <c r="W36" s="62">
        <v>27.291155109128404</v>
      </c>
      <c r="X36" s="62">
        <v>15.118250583289944</v>
      </c>
      <c r="Y36" s="66">
        <v>154.77778859743134</v>
      </c>
      <c r="Z36" s="66">
        <v>85.74094366422645</v>
      </c>
      <c r="AA36" s="67">
        <v>0</v>
      </c>
      <c r="AB36" s="68">
        <v>71.875467814339899</v>
      </c>
      <c r="AC36" s="69">
        <v>0</v>
      </c>
      <c r="AD36" s="401">
        <v>8.8538469932079398</v>
      </c>
      <c r="AE36" s="401">
        <v>4.4983768273484133</v>
      </c>
      <c r="AF36" s="69">
        <v>12.769191527366646</v>
      </c>
      <c r="AG36" s="68">
        <v>8.1237985099272585</v>
      </c>
      <c r="AH36" s="68">
        <v>4.5002720137762688</v>
      </c>
      <c r="AI36" s="68">
        <v>0.64351656580764871</v>
      </c>
      <c r="AJ36" s="69">
        <v>349.39548683166504</v>
      </c>
      <c r="AK36" s="69">
        <v>1349.9658794403072</v>
      </c>
      <c r="AL36" s="69">
        <v>3315.3896272023517</v>
      </c>
      <c r="AM36" s="69">
        <v>594.74964758555097</v>
      </c>
      <c r="AN36" s="69">
        <v>4921.6635653177909</v>
      </c>
      <c r="AO36" s="69">
        <v>2531.2399823506676</v>
      </c>
      <c r="AP36" s="69">
        <v>642.17597627639771</v>
      </c>
      <c r="AQ36" s="69">
        <v>1078.7419211069744</v>
      </c>
      <c r="AR36" s="69">
        <v>421.31325127283731</v>
      </c>
      <c r="AS36" s="69">
        <v>710.0835832595825</v>
      </c>
    </row>
    <row r="37" spans="1:45" x14ac:dyDescent="0.25">
      <c r="A37" s="11">
        <v>42824</v>
      </c>
      <c r="B37" s="59"/>
      <c r="C37" s="60">
        <v>55.71187468369763</v>
      </c>
      <c r="D37" s="60">
        <v>578.87358938852947</v>
      </c>
      <c r="E37" s="60">
        <v>16.244909235835053</v>
      </c>
      <c r="F37" s="60">
        <v>0</v>
      </c>
      <c r="G37" s="60">
        <v>2229.2448916117328</v>
      </c>
      <c r="H37" s="61">
        <v>23.121460801362989</v>
      </c>
      <c r="I37" s="59">
        <v>89.049737989902496</v>
      </c>
      <c r="J37" s="60">
        <v>394.90289521217386</v>
      </c>
      <c r="K37" s="60">
        <v>21.708477741479872</v>
      </c>
      <c r="L37" s="60">
        <v>9.4413757324218753E-6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215.46267527773915</v>
      </c>
      <c r="V37" s="62">
        <v>122.62897151011951</v>
      </c>
      <c r="W37" s="62">
        <v>26.030473602393545</v>
      </c>
      <c r="X37" s="62">
        <v>14.815049528500085</v>
      </c>
      <c r="Y37" s="66">
        <v>136.3087792985593</v>
      </c>
      <c r="Z37" s="66">
        <v>77.579123120212984</v>
      </c>
      <c r="AA37" s="67">
        <v>0</v>
      </c>
      <c r="AB37" s="68">
        <v>70.714036793178607</v>
      </c>
      <c r="AC37" s="69">
        <v>0</v>
      </c>
      <c r="AD37" s="401">
        <v>8.595185479109297</v>
      </c>
      <c r="AE37" s="401">
        <v>4.5156927883802576</v>
      </c>
      <c r="AF37" s="69">
        <v>12.555253473255373</v>
      </c>
      <c r="AG37" s="68">
        <v>7.907816471776286</v>
      </c>
      <c r="AH37" s="68">
        <v>4.5006746508400797</v>
      </c>
      <c r="AI37" s="68">
        <v>0.63729073854621099</v>
      </c>
      <c r="AJ37" s="69">
        <v>331.87153754234311</v>
      </c>
      <c r="AK37" s="69">
        <v>1303.1920837402345</v>
      </c>
      <c r="AL37" s="69">
        <v>3299.3043820699049</v>
      </c>
      <c r="AM37" s="69">
        <v>592.30409542719519</v>
      </c>
      <c r="AN37" s="69">
        <v>4915.8311322530117</v>
      </c>
      <c r="AO37" s="69">
        <v>2513.4325641632081</v>
      </c>
      <c r="AP37" s="69">
        <v>644.82733154296875</v>
      </c>
      <c r="AQ37" s="69">
        <v>1069.4271240234375</v>
      </c>
      <c r="AR37" s="69">
        <v>431.54122428894044</v>
      </c>
      <c r="AS37" s="69">
        <v>758.17032435735064</v>
      </c>
    </row>
    <row r="38" spans="1:45" ht="15.75" thickBot="1" x14ac:dyDescent="0.3">
      <c r="A38" s="11">
        <v>42825</v>
      </c>
      <c r="B38" s="59"/>
      <c r="C38" s="60">
        <v>55.126121123632487</v>
      </c>
      <c r="D38" s="60">
        <v>575.50206902821822</v>
      </c>
      <c r="E38" s="60">
        <v>16.269377874334587</v>
      </c>
      <c r="F38" s="60">
        <v>0</v>
      </c>
      <c r="G38" s="60">
        <v>2241.7254684448217</v>
      </c>
      <c r="H38" s="61">
        <v>23.17732092539466</v>
      </c>
      <c r="I38" s="59">
        <v>87.60291588306427</v>
      </c>
      <c r="J38" s="60">
        <v>389.402157274883</v>
      </c>
      <c r="K38" s="60">
        <v>21.483728577693316</v>
      </c>
      <c r="L38" s="60">
        <v>0</v>
      </c>
      <c r="M38" s="60">
        <v>0</v>
      </c>
      <c r="N38" s="61">
        <v>0</v>
      </c>
      <c r="O38" s="59">
        <v>0</v>
      </c>
      <c r="P38" s="60">
        <v>0</v>
      </c>
      <c r="Q38" s="60">
        <v>0</v>
      </c>
      <c r="R38" s="63">
        <v>0</v>
      </c>
      <c r="S38" s="60">
        <v>0</v>
      </c>
      <c r="T38" s="64">
        <v>0</v>
      </c>
      <c r="U38" s="65">
        <v>211.67791600065672</v>
      </c>
      <c r="V38" s="62">
        <v>122.87516000167274</v>
      </c>
      <c r="W38" s="62">
        <v>25.389699133961695</v>
      </c>
      <c r="X38" s="62">
        <v>14.73825613187819</v>
      </c>
      <c r="Y38" s="66">
        <v>137.80114486947741</v>
      </c>
      <c r="Z38" s="66">
        <v>79.991045094180677</v>
      </c>
      <c r="AA38" s="67">
        <v>0</v>
      </c>
      <c r="AB38" s="68">
        <v>69.954726865557518</v>
      </c>
      <c r="AC38" s="69">
        <v>0</v>
      </c>
      <c r="AD38" s="401">
        <v>8.4734477303550975</v>
      </c>
      <c r="AE38" s="401">
        <v>4.4880341164356938</v>
      </c>
      <c r="AF38" s="69">
        <v>12.399452567762792</v>
      </c>
      <c r="AG38" s="68">
        <v>7.7508805985375169</v>
      </c>
      <c r="AH38" s="68">
        <v>4.4992444733639747</v>
      </c>
      <c r="AI38" s="68">
        <v>0.63271848679455223</v>
      </c>
      <c r="AJ38" s="69">
        <v>390.91156166394552</v>
      </c>
      <c r="AK38" s="69">
        <v>1383.3252876281738</v>
      </c>
      <c r="AL38" s="69">
        <v>3278.7525816599532</v>
      </c>
      <c r="AM38" s="69">
        <v>622.18078705469759</v>
      </c>
      <c r="AN38" s="69">
        <v>4957.5957697550457</v>
      </c>
      <c r="AO38" s="69">
        <v>2544.6363765716551</v>
      </c>
      <c r="AP38" s="69">
        <v>644.82733154296875</v>
      </c>
      <c r="AQ38" s="69">
        <v>1069.4271240234375</v>
      </c>
      <c r="AR38" s="69">
        <v>428.82662013371782</v>
      </c>
      <c r="AS38" s="69">
        <v>659.5231218973795</v>
      </c>
    </row>
    <row r="39" spans="1:45" ht="15.75" thickTop="1" x14ac:dyDescent="0.25">
      <c r="A39" s="46" t="s">
        <v>173</v>
      </c>
      <c r="B39" s="29">
        <f t="shared" ref="B39:AC39" si="0">SUM(B8:B38)</f>
        <v>0</v>
      </c>
      <c r="C39" s="30">
        <f t="shared" si="0"/>
        <v>1623.5598136385308</v>
      </c>
      <c r="D39" s="30">
        <f t="shared" si="0"/>
        <v>16985.203077962007</v>
      </c>
      <c r="E39" s="30">
        <f t="shared" si="0"/>
        <v>456.83263034274131</v>
      </c>
      <c r="F39" s="30">
        <f t="shared" si="0"/>
        <v>0</v>
      </c>
      <c r="G39" s="30">
        <f t="shared" si="0"/>
        <v>61050.293651707922</v>
      </c>
      <c r="H39" s="31">
        <f t="shared" si="0"/>
        <v>669.21801024874037</v>
      </c>
      <c r="I39" s="29">
        <f t="shared" si="0"/>
        <v>3182.3057564814881</v>
      </c>
      <c r="J39" s="30">
        <f t="shared" si="0"/>
        <v>13355.170317776987</v>
      </c>
      <c r="K39" s="30">
        <f t="shared" si="0"/>
        <v>735.53746370722854</v>
      </c>
      <c r="L39" s="30">
        <f t="shared" si="0"/>
        <v>2.0995521545410043E-2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7168.9239828160753</v>
      </c>
      <c r="V39" s="262">
        <f t="shared" si="0"/>
        <v>3377.8626331702139</v>
      </c>
      <c r="W39" s="262">
        <f t="shared" si="0"/>
        <v>976.36002128321729</v>
      </c>
      <c r="X39" s="262">
        <f t="shared" si="0"/>
        <v>457.6578942597032</v>
      </c>
      <c r="Y39" s="262">
        <f t="shared" si="0"/>
        <v>4640.03507526057</v>
      </c>
      <c r="Z39" s="262">
        <f t="shared" si="0"/>
        <v>2204.740838446844</v>
      </c>
      <c r="AA39" s="270">
        <f t="shared" si="0"/>
        <v>0</v>
      </c>
      <c r="AB39" s="273">
        <f t="shared" si="0"/>
        <v>2251.8319713142218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10885.739466253915</v>
      </c>
      <c r="AK39" s="273">
        <f t="shared" si="1"/>
        <v>37287.007538859049</v>
      </c>
      <c r="AL39" s="273">
        <f t="shared" si="1"/>
        <v>97357.95179217658</v>
      </c>
      <c r="AM39" s="273">
        <f t="shared" si="1"/>
        <v>16996.079480044049</v>
      </c>
      <c r="AN39" s="273">
        <f t="shared" si="1"/>
        <v>122349.6062486013</v>
      </c>
      <c r="AO39" s="273">
        <f t="shared" si="1"/>
        <v>73236.010375595084</v>
      </c>
      <c r="AP39" s="273">
        <f t="shared" si="1"/>
        <v>18769.651456419626</v>
      </c>
      <c r="AQ39" s="273">
        <f t="shared" si="1"/>
        <v>47799.286976051328</v>
      </c>
      <c r="AR39" s="273">
        <f t="shared" si="1"/>
        <v>13054.72268690268</v>
      </c>
      <c r="AS39" s="273">
        <f t="shared" si="1"/>
        <v>18918.589892641703</v>
      </c>
    </row>
    <row r="40" spans="1:45" ht="15.75" thickBot="1" x14ac:dyDescent="0.3">
      <c r="A40" s="47" t="s">
        <v>174</v>
      </c>
      <c r="B40" s="32">
        <f>Projection!$AA$30</f>
        <v>0.82128400199999985</v>
      </c>
      <c r="C40" s="33">
        <f>Projection!$AA$28</f>
        <v>1.0959093599999998</v>
      </c>
      <c r="D40" s="33">
        <f>Projection!$AA$31</f>
        <v>2.504502</v>
      </c>
      <c r="E40" s="33">
        <f>Projection!$AA$26</f>
        <v>3.9898560000000005</v>
      </c>
      <c r="F40" s="33">
        <f>Projection!$AA$23</f>
        <v>0</v>
      </c>
      <c r="G40" s="33">
        <f>Projection!$AA$24</f>
        <v>5.5265000000000002E-2</v>
      </c>
      <c r="H40" s="34">
        <f>Projection!$AA$29</f>
        <v>3.1332129000000002</v>
      </c>
      <c r="I40" s="32">
        <f>Projection!$AA$30</f>
        <v>0.82128400199999985</v>
      </c>
      <c r="J40" s="33">
        <f>Projection!$AA$28</f>
        <v>1.0959093599999998</v>
      </c>
      <c r="K40" s="33">
        <f>Projection!$AA$26</f>
        <v>3.9898560000000005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65">
        <f>Projection!$AA$28</f>
        <v>1.0959093599999998</v>
      </c>
      <c r="T40" s="266">
        <f>Projection!$AA$28</f>
        <v>1.0959093599999998</v>
      </c>
      <c r="U40" s="264">
        <f>Projection!$AA$27</f>
        <v>0.2321</v>
      </c>
      <c r="V40" s="265">
        <f>Projection!$AA$27</f>
        <v>0.2321</v>
      </c>
      <c r="W40" s="265">
        <f>Projection!$AA$22</f>
        <v>0.74349432000000004</v>
      </c>
      <c r="X40" s="265">
        <f>Projection!$AA$22</f>
        <v>0.74349432000000004</v>
      </c>
      <c r="Y40" s="265">
        <f>Projection!$AA$31</f>
        <v>2.504502</v>
      </c>
      <c r="Z40" s="265">
        <f>Projection!$AA$31</f>
        <v>2.504502</v>
      </c>
      <c r="AA40" s="271">
        <v>0</v>
      </c>
      <c r="AB40" s="274">
        <f>Projection!$AA$27</f>
        <v>0.2321</v>
      </c>
      <c r="AC40" s="274">
        <f>Projection!$AA$30</f>
        <v>0.82128400199999985</v>
      </c>
      <c r="AD40" s="403">
        <f>SUM(AD8:AD38)</f>
        <v>290.68066427253484</v>
      </c>
      <c r="AE40" s="403">
        <f>SUM(AE8:AE38)</f>
        <v>131.53178644039056</v>
      </c>
      <c r="AF40" s="277">
        <f>SUM(AF8:AF38)</f>
        <v>400.99265061037431</v>
      </c>
      <c r="AG40" s="277">
        <f>SUM(AG8:AG38)</f>
        <v>269.26444883276201</v>
      </c>
      <c r="AH40" s="277">
        <f>SUM(AH8:AH38)</f>
        <v>126.4708470995032</v>
      </c>
      <c r="AI40" s="277">
        <f>IF(SUM(AG40:AH40)&gt;0, AG40/(AG40+AH40), 0)</f>
        <v>0.68041554948601257</v>
      </c>
      <c r="AJ40" s="313">
        <v>6.6000000000000003E-2</v>
      </c>
      <c r="AK40" s="313">
        <f t="shared" ref="AK40:AS40" si="2">$AJ$40</f>
        <v>6.6000000000000003E-2</v>
      </c>
      <c r="AL40" s="313">
        <f t="shared" si="2"/>
        <v>6.6000000000000003E-2</v>
      </c>
      <c r="AM40" s="313">
        <f t="shared" si="2"/>
        <v>6.6000000000000003E-2</v>
      </c>
      <c r="AN40" s="313">
        <f t="shared" si="2"/>
        <v>6.6000000000000003E-2</v>
      </c>
      <c r="AO40" s="313">
        <f t="shared" si="2"/>
        <v>6.6000000000000003E-2</v>
      </c>
      <c r="AP40" s="313">
        <f t="shared" si="2"/>
        <v>6.6000000000000003E-2</v>
      </c>
      <c r="AQ40" s="313">
        <f t="shared" si="2"/>
        <v>6.6000000000000003E-2</v>
      </c>
      <c r="AR40" s="313">
        <f t="shared" si="2"/>
        <v>6.6000000000000003E-2</v>
      </c>
      <c r="AS40" s="313">
        <f t="shared" si="2"/>
        <v>6.6000000000000003E-2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1779.2743962863212</v>
      </c>
      <c r="D41" s="36">
        <f t="shared" si="3"/>
        <v>42539.475079162003</v>
      </c>
      <c r="E41" s="36">
        <f t="shared" si="3"/>
        <v>1822.6964111687687</v>
      </c>
      <c r="F41" s="36">
        <f t="shared" si="3"/>
        <v>0</v>
      </c>
      <c r="G41" s="36">
        <f t="shared" si="3"/>
        <v>3373.9444786616382</v>
      </c>
      <c r="H41" s="37">
        <f t="shared" si="3"/>
        <v>2096.8025026236855</v>
      </c>
      <c r="I41" s="35">
        <f t="shared" si="3"/>
        <v>2613.5768072707533</v>
      </c>
      <c r="J41" s="36">
        <f t="shared" si="3"/>
        <v>14636.056155645972</v>
      </c>
      <c r="K41" s="36">
        <f t="shared" si="3"/>
        <v>2934.6885627970682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1663.9072564116111</v>
      </c>
      <c r="V41" s="268">
        <f t="shared" si="3"/>
        <v>784.00191715880669</v>
      </c>
      <c r="W41" s="268">
        <f t="shared" si="3"/>
        <v>725.9181300991512</v>
      </c>
      <c r="X41" s="268">
        <f t="shared" si="3"/>
        <v>340.26604488524993</v>
      </c>
      <c r="Y41" s="268">
        <f t="shared" si="3"/>
        <v>11620.977126060248</v>
      </c>
      <c r="Z41" s="268">
        <f t="shared" si="3"/>
        <v>5521.7778393717981</v>
      </c>
      <c r="AA41" s="272">
        <f t="shared" si="3"/>
        <v>0</v>
      </c>
      <c r="AB41" s="275">
        <f t="shared" si="3"/>
        <v>522.65020054203092</v>
      </c>
      <c r="AC41" s="275">
        <f t="shared" si="3"/>
        <v>0</v>
      </c>
      <c r="AJ41" s="278">
        <f t="shared" ref="AJ41:AS41" si="4">AJ40*AJ39</f>
        <v>718.45880477275841</v>
      </c>
      <c r="AK41" s="278">
        <f t="shared" si="4"/>
        <v>2460.9424975646975</v>
      </c>
      <c r="AL41" s="278">
        <f t="shared" si="4"/>
        <v>6425.6248182836543</v>
      </c>
      <c r="AM41" s="278">
        <f t="shared" si="4"/>
        <v>1121.7412456829072</v>
      </c>
      <c r="AN41" s="278">
        <f t="shared" si="4"/>
        <v>8075.0740124076856</v>
      </c>
      <c r="AO41" s="278">
        <f t="shared" si="4"/>
        <v>4833.5766847892755</v>
      </c>
      <c r="AP41" s="278">
        <f t="shared" si="4"/>
        <v>1238.7969961236954</v>
      </c>
      <c r="AQ41" s="278">
        <f t="shared" si="4"/>
        <v>3154.7529404193879</v>
      </c>
      <c r="AR41" s="278">
        <f t="shared" si="4"/>
        <v>861.61169733557688</v>
      </c>
      <c r="AS41" s="278">
        <f t="shared" si="4"/>
        <v>1248.6269329143524</v>
      </c>
    </row>
    <row r="42" spans="1:45" ht="49.5" customHeight="1" thickTop="1" thickBot="1" x14ac:dyDescent="0.3">
      <c r="A42" s="620" t="s">
        <v>226</v>
      </c>
      <c r="B42" s="621"/>
      <c r="C42" s="621"/>
      <c r="D42" s="621"/>
      <c r="E42" s="621"/>
      <c r="F42" s="621"/>
      <c r="G42" s="621"/>
      <c r="H42" s="621"/>
      <c r="I42" s="621"/>
      <c r="J42" s="621"/>
      <c r="K42" s="614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186</v>
      </c>
      <c r="AJ42" s="295">
        <v>1019.29</v>
      </c>
      <c r="AK42" s="278" t="s">
        <v>199</v>
      </c>
      <c r="AL42" s="278">
        <v>1226.6199999999999</v>
      </c>
      <c r="AM42" s="278">
        <v>38.74</v>
      </c>
      <c r="AN42" s="278">
        <v>824.24</v>
      </c>
      <c r="AO42" s="278">
        <v>5839.92</v>
      </c>
      <c r="AP42" s="278">
        <v>946.26</v>
      </c>
      <c r="AQ42" s="278" t="s">
        <v>199</v>
      </c>
      <c r="AR42" s="278">
        <v>240.06</v>
      </c>
      <c r="AS42" s="278">
        <v>318.19</v>
      </c>
    </row>
    <row r="43" spans="1:45" ht="38.25" customHeight="1" thickTop="1" thickBot="1" x14ac:dyDescent="0.3">
      <c r="A43" s="617" t="s">
        <v>49</v>
      </c>
      <c r="B43" s="613"/>
      <c r="C43" s="289"/>
      <c r="D43" s="613" t="s">
        <v>47</v>
      </c>
      <c r="E43" s="613"/>
      <c r="F43" s="289"/>
      <c r="G43" s="613" t="s">
        <v>48</v>
      </c>
      <c r="H43" s="613"/>
      <c r="I43" s="290"/>
      <c r="J43" s="613" t="s">
        <v>50</v>
      </c>
      <c r="K43" s="614"/>
      <c r="L43" s="44"/>
      <c r="M43" s="44"/>
      <c r="N43" s="44"/>
      <c r="O43" s="45"/>
      <c r="P43" s="45"/>
      <c r="Q43" s="45"/>
      <c r="R43" s="602" t="s">
        <v>168</v>
      </c>
      <c r="S43" s="603"/>
      <c r="T43" s="603"/>
      <c r="U43" s="604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92976.012908145101</v>
      </c>
      <c r="C44" s="12"/>
      <c r="D44" s="282" t="s">
        <v>135</v>
      </c>
      <c r="E44" s="283">
        <f>SUM(B41:H41)+P41+R41+T41+V41+X41+Z41</f>
        <v>58258.238669318271</v>
      </c>
      <c r="F44" s="12"/>
      <c r="G44" s="282" t="s">
        <v>135</v>
      </c>
      <c r="H44" s="283">
        <f>SUM(I41:N41)+O41+Q41+S41+U41+W41+Y41</f>
        <v>34195.124038284805</v>
      </c>
      <c r="I44" s="12"/>
      <c r="J44" s="282" t="s">
        <v>200</v>
      </c>
      <c r="K44" s="283">
        <v>207870.61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5" ht="24" thickBot="1" x14ac:dyDescent="0.4">
      <c r="A45" s="284" t="s">
        <v>185</v>
      </c>
      <c r="B45" s="285">
        <f>SUM(AJ41:AS41)</f>
        <v>30139.206630293993</v>
      </c>
      <c r="C45" s="12"/>
      <c r="D45" s="284" t="s">
        <v>185</v>
      </c>
      <c r="E45" s="285">
        <f>AJ41*(1-$AI$40)+AK41+AL41*0.5+AN41+AO41*(1-$AI$40)+AP41*(1-$AI$40)+AQ41*(1-$AI$40)+AR41*0.5+AS41*0.5</f>
        <v>17982.4026876809</v>
      </c>
      <c r="F45" s="24"/>
      <c r="G45" s="284" t="s">
        <v>185</v>
      </c>
      <c r="H45" s="285">
        <f>AJ41*AI40+AL41*0.5+AM41+AO41*AI40+AP41*AI40+AQ41*AI40+AR41*0.5+AS41*0.5</f>
        <v>12156.803942613093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1434.0179155429205</v>
      </c>
      <c r="U45" s="256">
        <f>(T45*8.34*0.895)/27000</f>
        <v>0.39644221951803782</v>
      </c>
    </row>
    <row r="46" spans="1:45" ht="32.25" thickBot="1" x14ac:dyDescent="0.3">
      <c r="A46" s="286" t="s">
        <v>186</v>
      </c>
      <c r="B46" s="287">
        <f>SUM(AJ42:AS42)</f>
        <v>10453.32</v>
      </c>
      <c r="C46" s="12"/>
      <c r="D46" s="286" t="s">
        <v>186</v>
      </c>
      <c r="E46" s="287">
        <f>AJ42*(1-$AI$40)+AL42*0.5+AN42+AO42*(1-$AI$40)+AP42*(1-$AI$40)+AR42*0.5+AS42*0.5</f>
        <v>4211.1818409534135</v>
      </c>
      <c r="F46" s="23"/>
      <c r="G46" s="286" t="s">
        <v>186</v>
      </c>
      <c r="H46" s="287">
        <f>AJ42*AI40+AL42*0.5+AM42+AO42*AI40+AP42*AI40+AR42*0.5+AS42*0.5</f>
        <v>6242.1381590465871</v>
      </c>
      <c r="I46" s="12"/>
      <c r="J46" s="615" t="s">
        <v>201</v>
      </c>
      <c r="K46" s="616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187</v>
      </c>
      <c r="B47" s="287">
        <f>K44</f>
        <v>207870.61</v>
      </c>
      <c r="C47" s="12"/>
      <c r="D47" s="286" t="s">
        <v>189</v>
      </c>
      <c r="E47" s="287">
        <f>K44*0.5</f>
        <v>103935.30499999999</v>
      </c>
      <c r="F47" s="24"/>
      <c r="G47" s="286" t="s">
        <v>187</v>
      </c>
      <c r="H47" s="287">
        <f>K44*0.5</f>
        <v>103935.30499999999</v>
      </c>
      <c r="I47" s="12"/>
      <c r="J47" s="282" t="s">
        <v>200</v>
      </c>
      <c r="K47" s="283">
        <v>32781.74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61050.293651707922</v>
      </c>
      <c r="U47" s="256">
        <f>T47/40000</f>
        <v>1.5262573412926981</v>
      </c>
    </row>
    <row r="48" spans="1:45" ht="24" thickBot="1" x14ac:dyDescent="0.3">
      <c r="A48" s="286" t="s">
        <v>188</v>
      </c>
      <c r="B48" s="287">
        <f>K47</f>
        <v>32781.74</v>
      </c>
      <c r="C48" s="12"/>
      <c r="D48" s="286" t="s">
        <v>188</v>
      </c>
      <c r="E48" s="287">
        <f>K47*0.5</f>
        <v>16390.87</v>
      </c>
      <c r="F48" s="23"/>
      <c r="G48" s="286" t="s">
        <v>188</v>
      </c>
      <c r="H48" s="287">
        <f>K47*0.5</f>
        <v>16390.87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2.0995521545410043E-2</v>
      </c>
      <c r="U48" s="256">
        <f>T48*9.34*0.107</f>
        <v>2.0982504322051888E-2</v>
      </c>
    </row>
    <row r="49" spans="1:25" ht="48" thickTop="1" thickBot="1" x14ac:dyDescent="0.3">
      <c r="A49" s="291" t="s">
        <v>196</v>
      </c>
      <c r="B49" s="292">
        <f>AF40</f>
        <v>400.99265061037431</v>
      </c>
      <c r="C49" s="12"/>
      <c r="D49" s="291" t="s">
        <v>197</v>
      </c>
      <c r="E49" s="292">
        <f>AH40</f>
        <v>126.4708470995032</v>
      </c>
      <c r="F49" s="23"/>
      <c r="G49" s="291" t="s">
        <v>198</v>
      </c>
      <c r="H49" s="292">
        <f>AG40</f>
        <v>269.26444883276201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1192.3700940499698</v>
      </c>
      <c r="U49" s="256">
        <f>(T49*8.34*1.04)/45000</f>
        <v>0.22982536106115153</v>
      </c>
    </row>
    <row r="50" spans="1:25" ht="48" customHeight="1" thickTop="1" thickBot="1" x14ac:dyDescent="0.3">
      <c r="A50" s="291" t="s">
        <v>238</v>
      </c>
      <c r="B50" s="292">
        <f>SUM(E50+H50)</f>
        <v>422.21245071292537</v>
      </c>
      <c r="C50" s="12"/>
      <c r="D50" s="291" t="s">
        <v>239</v>
      </c>
      <c r="E50" s="292">
        <f>AE40</f>
        <v>131.53178644039056</v>
      </c>
      <c r="F50" s="23"/>
      <c r="G50" s="291" t="s">
        <v>240</v>
      </c>
      <c r="H50" s="292">
        <f>AD40</f>
        <v>290.68066427253484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192</v>
      </c>
      <c r="B51" s="293">
        <f>(SUM(B44:B48)/B50)</f>
        <v>886.33314556818425</v>
      </c>
      <c r="C51" s="12"/>
      <c r="D51" s="291" t="s">
        <v>190</v>
      </c>
      <c r="E51" s="293">
        <f>SUM(E44:E48)/E50</f>
        <v>1526.4599047238212</v>
      </c>
      <c r="F51" s="375">
        <f>E44/E49</f>
        <v>460.64559545080425</v>
      </c>
      <c r="G51" s="291" t="s">
        <v>191</v>
      </c>
      <c r="H51" s="293">
        <f>SUM(H44:H48)/H50</f>
        <v>594.88043889227811</v>
      </c>
      <c r="I51" s="374">
        <f>H44/H49</f>
        <v>126.99457424297078</v>
      </c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12798.618587300512</v>
      </c>
      <c r="U51" s="256">
        <f>T51/2000/8</f>
        <v>0.79991366170628198</v>
      </c>
    </row>
    <row r="52" spans="1:25" ht="47.25" customHeight="1" thickTop="1" thickBot="1" x14ac:dyDescent="0.3">
      <c r="A52" s="281" t="s">
        <v>193</v>
      </c>
      <c r="B52" s="294">
        <f>B51/1000</f>
        <v>0.88633314556818421</v>
      </c>
      <c r="C52" s="12"/>
      <c r="D52" s="281" t="s">
        <v>194</v>
      </c>
      <c r="E52" s="294">
        <f>E51/1000</f>
        <v>1.5264599047238212</v>
      </c>
      <c r="F52" s="12"/>
      <c r="G52" s="281" t="s">
        <v>195</v>
      </c>
      <c r="H52" s="294">
        <f>H51/1000</f>
        <v>0.59488043889227815</v>
      </c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14978.730131415517</v>
      </c>
      <c r="U52" s="256">
        <f>(T52*8.34*1.4)/45000</f>
        <v>3.8864811780979456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669.21801024874037</v>
      </c>
      <c r="U53" s="256">
        <f>(T53*8.34*1.135)/45000</f>
        <v>0.14077223918252338</v>
      </c>
    </row>
    <row r="54" spans="1:25" ht="48" customHeight="1" thickTop="1" thickBot="1" x14ac:dyDescent="0.3">
      <c r="A54" s="605" t="s">
        <v>51</v>
      </c>
      <c r="B54" s="606"/>
      <c r="C54" s="606"/>
      <c r="D54" s="606"/>
      <c r="E54" s="60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3182.3057564814881</v>
      </c>
      <c r="U54" s="256">
        <f>(T54*8.34*1.029*0.03)/3300</f>
        <v>0.24827365890289288</v>
      </c>
    </row>
    <row r="55" spans="1:25" ht="45.75" customHeight="1" thickBot="1" x14ac:dyDescent="0.3">
      <c r="A55" s="610" t="s">
        <v>202</v>
      </c>
      <c r="B55" s="611"/>
      <c r="C55" s="611"/>
      <c r="D55" s="611"/>
      <c r="E55" s="61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18" t="s">
        <v>158</v>
      </c>
      <c r="S55" s="619"/>
      <c r="T55" s="258">
        <f>$D$39+$Y$39+$Z$39</f>
        <v>23829.978991669421</v>
      </c>
      <c r="U55" s="259">
        <f>(T55*1.54*8.34)/45000</f>
        <v>6.8013937372756743</v>
      </c>
    </row>
    <row r="56" spans="1:25" ht="24" thickTop="1" x14ac:dyDescent="0.25">
      <c r="A56" s="647"/>
      <c r="B56" s="647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5.75" customHeight="1" x14ac:dyDescent="0.25">
      <c r="A57" s="649"/>
      <c r="B57" s="649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45"/>
      <c r="B58" s="64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46"/>
      <c r="B59" s="64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45"/>
      <c r="B60" s="64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46"/>
      <c r="B61" s="646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YkMSaMSfAwGdUEQEWKgoQMoF+rdHfSbMlFiTU4t0gVCez5Bg2DJK1IOxIPNWfdGQEwByYMyJNft/HUuoaryBmQ==" saltValue="qxRp9ggX7YBuRlsLiAboZA==" spinCount="100000" sheet="1" objects="1" scenarios="1" selectLockedCells="1" selectUnlockedCells="1"/>
  <mergeCells count="36"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AP4:AP5"/>
    <mergeCell ref="AQ4:AQ5"/>
    <mergeCell ref="AR4:AR5"/>
    <mergeCell ref="AS4:AS5"/>
    <mergeCell ref="AJ4:AJ5"/>
    <mergeCell ref="AK4:AK5"/>
    <mergeCell ref="AL4:AL5"/>
    <mergeCell ref="AM4:AM5"/>
    <mergeCell ref="AN4:AN5"/>
    <mergeCell ref="AO4:AO5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AD4:AD5"/>
    <mergeCell ref="AE4:AE5"/>
    <mergeCell ref="R43:U43"/>
    <mergeCell ref="A54:E54"/>
    <mergeCell ref="A55:E55"/>
    <mergeCell ref="R55:S55"/>
    <mergeCell ref="A42:K42"/>
  </mergeCells>
  <pageMargins left="0.33" right="0.19" top="0.75" bottom="0.75" header="0.3" footer="0.3"/>
  <pageSetup scale="5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64"/>
  <sheetViews>
    <sheetView topLeftCell="A25" zoomScale="75" zoomScaleNormal="75" workbookViewId="0">
      <selection activeCell="E51" sqref="E51"/>
    </sheetView>
  </sheetViews>
  <sheetFormatPr defaultRowHeight="15" x14ac:dyDescent="0.25"/>
  <cols>
    <col min="1" max="1" width="35" bestFit="1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20" width="25.85546875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425781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23" t="s">
        <v>3</v>
      </c>
      <c r="C4" s="624"/>
      <c r="D4" s="624"/>
      <c r="E4" s="624"/>
      <c r="F4" s="624"/>
      <c r="G4" s="624"/>
      <c r="H4" s="625"/>
      <c r="I4" s="623" t="s">
        <v>4</v>
      </c>
      <c r="J4" s="624"/>
      <c r="K4" s="624"/>
      <c r="L4" s="624"/>
      <c r="M4" s="624"/>
      <c r="N4" s="625"/>
      <c r="O4" s="629" t="s">
        <v>5</v>
      </c>
      <c r="P4" s="630"/>
      <c r="Q4" s="631"/>
      <c r="R4" s="631"/>
      <c r="S4" s="631"/>
      <c r="T4" s="632"/>
      <c r="U4" s="623" t="s">
        <v>6</v>
      </c>
      <c r="V4" s="636"/>
      <c r="W4" s="636"/>
      <c r="X4" s="636"/>
      <c r="Y4" s="636"/>
      <c r="Z4" s="636"/>
      <c r="AA4" s="637"/>
      <c r="AB4" s="641" t="s">
        <v>7</v>
      </c>
      <c r="AC4" s="643" t="s">
        <v>8</v>
      </c>
      <c r="AD4" s="608" t="s">
        <v>237</v>
      </c>
      <c r="AE4" s="608" t="s">
        <v>236</v>
      </c>
      <c r="AF4" s="608" t="s">
        <v>27</v>
      </c>
      <c r="AG4" s="608" t="s">
        <v>31</v>
      </c>
      <c r="AH4" s="608" t="s">
        <v>32</v>
      </c>
      <c r="AI4" s="608" t="s">
        <v>33</v>
      </c>
      <c r="AJ4" s="641" t="s">
        <v>175</v>
      </c>
      <c r="AK4" s="641" t="s">
        <v>176</v>
      </c>
      <c r="AL4" s="641" t="s">
        <v>177</v>
      </c>
      <c r="AM4" s="641" t="s">
        <v>178</v>
      </c>
      <c r="AN4" s="641" t="s">
        <v>179</v>
      </c>
      <c r="AO4" s="641" t="s">
        <v>180</v>
      </c>
      <c r="AP4" s="641" t="s">
        <v>181</v>
      </c>
      <c r="AQ4" s="641" t="s">
        <v>184</v>
      </c>
      <c r="AR4" s="641" t="s">
        <v>182</v>
      </c>
      <c r="AS4" s="641" t="s">
        <v>183</v>
      </c>
      <c r="AV4" t="s">
        <v>171</v>
      </c>
      <c r="AW4" s="338" t="s">
        <v>209</v>
      </c>
    </row>
    <row r="5" spans="1:49" ht="30" customHeight="1" thickBot="1" x14ac:dyDescent="0.3">
      <c r="A5" s="13"/>
      <c r="B5" s="626"/>
      <c r="C5" s="627"/>
      <c r="D5" s="627"/>
      <c r="E5" s="627"/>
      <c r="F5" s="627"/>
      <c r="G5" s="627"/>
      <c r="H5" s="628"/>
      <c r="I5" s="626"/>
      <c r="J5" s="627"/>
      <c r="K5" s="627"/>
      <c r="L5" s="627"/>
      <c r="M5" s="627"/>
      <c r="N5" s="628"/>
      <c r="O5" s="633"/>
      <c r="P5" s="634"/>
      <c r="Q5" s="634"/>
      <c r="R5" s="634"/>
      <c r="S5" s="634"/>
      <c r="T5" s="635"/>
      <c r="U5" s="638"/>
      <c r="V5" s="639"/>
      <c r="W5" s="639"/>
      <c r="X5" s="639"/>
      <c r="Y5" s="639"/>
      <c r="Z5" s="639"/>
      <c r="AA5" s="640"/>
      <c r="AB5" s="642"/>
      <c r="AC5" s="644"/>
      <c r="AD5" s="609"/>
      <c r="AE5" s="609"/>
      <c r="AF5" s="622"/>
      <c r="AG5" s="622"/>
      <c r="AH5" s="622"/>
      <c r="AI5" s="622"/>
      <c r="AJ5" s="609"/>
      <c r="AK5" s="609"/>
      <c r="AL5" s="609"/>
      <c r="AM5" s="609"/>
      <c r="AN5" s="609"/>
      <c r="AO5" s="609"/>
      <c r="AP5" s="609"/>
      <c r="AQ5" s="609"/>
      <c r="AR5" s="609"/>
      <c r="AS5" s="609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399" t="s">
        <v>28</v>
      </c>
      <c r="AE7" s="399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  <c r="AR7" s="22" t="s">
        <v>172</v>
      </c>
      <c r="AS7" s="22" t="s">
        <v>172</v>
      </c>
    </row>
    <row r="8" spans="1:49" x14ac:dyDescent="0.25">
      <c r="A8" s="11">
        <v>42826</v>
      </c>
      <c r="B8" s="49"/>
      <c r="C8" s="50">
        <v>54.501986662546287</v>
      </c>
      <c r="D8" s="50">
        <v>570.05378379821764</v>
      </c>
      <c r="E8" s="50">
        <v>16.198606457809561</v>
      </c>
      <c r="F8" s="50">
        <v>0</v>
      </c>
      <c r="G8" s="50">
        <v>2218.8845381418855</v>
      </c>
      <c r="H8" s="51">
        <v>22.982610884308865</v>
      </c>
      <c r="I8" s="49">
        <v>89.822964048385643</v>
      </c>
      <c r="J8" s="50">
        <v>382.46290766398113</v>
      </c>
      <c r="K8" s="50">
        <v>20.844057051340759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206.92816482331449</v>
      </c>
      <c r="V8" s="54">
        <v>122.64903750737862</v>
      </c>
      <c r="W8" s="54">
        <v>25.281257873965792</v>
      </c>
      <c r="X8" s="54">
        <v>14.984533148811771</v>
      </c>
      <c r="Y8" s="54">
        <v>138.17115174159213</v>
      </c>
      <c r="Z8" s="54">
        <v>81.895853988083473</v>
      </c>
      <c r="AA8" s="55">
        <v>0</v>
      </c>
      <c r="AB8" s="56">
        <v>69.004896852705173</v>
      </c>
      <c r="AC8" s="57">
        <v>0</v>
      </c>
      <c r="AD8" s="400">
        <v>8.3072932249920797</v>
      </c>
      <c r="AE8" s="400">
        <v>4.4852956522019545</v>
      </c>
      <c r="AF8" s="57">
        <v>12.237585260470686</v>
      </c>
      <c r="AG8" s="58">
        <v>7.5930168387443917</v>
      </c>
      <c r="AH8" s="58">
        <v>4.5004806757189773</v>
      </c>
      <c r="AI8" s="58">
        <v>0.62785946163741535</v>
      </c>
      <c r="AJ8" s="57">
        <v>332.77909239133203</v>
      </c>
      <c r="AK8" s="57">
        <v>1365.2115818659461</v>
      </c>
      <c r="AL8" s="57">
        <v>3301.8414707183842</v>
      </c>
      <c r="AM8" s="57">
        <v>639.83268677393585</v>
      </c>
      <c r="AN8" s="57">
        <v>5294.6622545878108</v>
      </c>
      <c r="AO8" s="57">
        <v>2592.5600889841717</v>
      </c>
      <c r="AP8" s="57">
        <v>644.82733154296875</v>
      </c>
      <c r="AQ8" s="57">
        <v>1069.4271240234375</v>
      </c>
      <c r="AR8" s="57">
        <v>432.17980070114135</v>
      </c>
      <c r="AS8" s="57">
        <v>688.44772958755493</v>
      </c>
    </row>
    <row r="9" spans="1:49" x14ac:dyDescent="0.25">
      <c r="A9" s="11">
        <v>42827</v>
      </c>
      <c r="B9" s="59"/>
      <c r="C9" s="60">
        <v>54.913446720440653</v>
      </c>
      <c r="D9" s="60">
        <v>569.06618665059398</v>
      </c>
      <c r="E9" s="60">
        <v>16.195788456499571</v>
      </c>
      <c r="F9" s="60">
        <v>0</v>
      </c>
      <c r="G9" s="60">
        <v>2175.1485359191843</v>
      </c>
      <c r="H9" s="61">
        <v>23.229579625527091</v>
      </c>
      <c r="I9" s="59">
        <v>95.409920263290445</v>
      </c>
      <c r="J9" s="60">
        <v>387.28496850331601</v>
      </c>
      <c r="K9" s="60">
        <v>21.232024562358827</v>
      </c>
      <c r="L9" s="60">
        <v>1.8882751464843751E-5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209.16380675315756</v>
      </c>
      <c r="V9" s="62">
        <v>125.47872127215194</v>
      </c>
      <c r="W9" s="62">
        <v>24.964977741726635</v>
      </c>
      <c r="X9" s="62">
        <v>14.976651707799844</v>
      </c>
      <c r="Y9" s="66">
        <v>136.11155934591238</v>
      </c>
      <c r="Z9" s="66">
        <v>81.654205295849437</v>
      </c>
      <c r="AA9" s="67">
        <v>0</v>
      </c>
      <c r="AB9" s="68">
        <v>69.75229845576807</v>
      </c>
      <c r="AC9" s="69">
        <v>0</v>
      </c>
      <c r="AD9" s="401">
        <v>8.4199780158110862</v>
      </c>
      <c r="AE9" s="401">
        <v>4.4846279556414892</v>
      </c>
      <c r="AF9" s="69">
        <v>12.029772475692981</v>
      </c>
      <c r="AG9" s="68">
        <v>7.4266022252370814</v>
      </c>
      <c r="AH9" s="68">
        <v>4.4552667360821934</v>
      </c>
      <c r="AI9" s="68">
        <v>0.625036536711013</v>
      </c>
      <c r="AJ9" s="69">
        <v>343.66732176144922</v>
      </c>
      <c r="AK9" s="69">
        <v>1330.669111887614</v>
      </c>
      <c r="AL9" s="69">
        <v>3290.6286216735839</v>
      </c>
      <c r="AM9" s="69">
        <v>636.29060010910041</v>
      </c>
      <c r="AN9" s="69">
        <v>5046.9722579956042</v>
      </c>
      <c r="AO9" s="69">
        <v>2559.6984799702964</v>
      </c>
      <c r="AP9" s="69">
        <v>644.82733154296875</v>
      </c>
      <c r="AQ9" s="69">
        <v>1069.4271240234375</v>
      </c>
      <c r="AR9" s="69">
        <v>429.6281144460043</v>
      </c>
      <c r="AS9" s="69">
        <v>732.68982855478907</v>
      </c>
    </row>
    <row r="10" spans="1:49" x14ac:dyDescent="0.25">
      <c r="A10" s="11">
        <v>42828</v>
      </c>
      <c r="B10" s="59"/>
      <c r="C10" s="60">
        <v>55.691615788142109</v>
      </c>
      <c r="D10" s="60">
        <v>566.72571249008331</v>
      </c>
      <c r="E10" s="60">
        <v>16.212300613522512</v>
      </c>
      <c r="F10" s="60">
        <v>0</v>
      </c>
      <c r="G10" s="60">
        <v>2137.0049051920496</v>
      </c>
      <c r="H10" s="61">
        <v>23.089926878611223</v>
      </c>
      <c r="I10" s="59">
        <v>93.092956248919165</v>
      </c>
      <c r="J10" s="60">
        <v>377.99668920834819</v>
      </c>
      <c r="K10" s="60">
        <v>20.766333264112507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204.92378053619623</v>
      </c>
      <c r="V10" s="62">
        <v>122.95346330052402</v>
      </c>
      <c r="W10" s="62">
        <v>23.840961926861702</v>
      </c>
      <c r="X10" s="62">
        <v>14.304483499443405</v>
      </c>
      <c r="Y10" s="66">
        <v>135.52347804160974</v>
      </c>
      <c r="Z10" s="66">
        <v>81.313554435451138</v>
      </c>
      <c r="AA10" s="67">
        <v>0</v>
      </c>
      <c r="AB10" s="68">
        <v>68.993785603842355</v>
      </c>
      <c r="AC10" s="69">
        <v>0</v>
      </c>
      <c r="AD10" s="401">
        <v>8.2192941335458141</v>
      </c>
      <c r="AE10" s="401">
        <v>4.544410421786778</v>
      </c>
      <c r="AF10" s="69">
        <v>11.803969058063295</v>
      </c>
      <c r="AG10" s="68">
        <v>7.2904237922078705</v>
      </c>
      <c r="AH10" s="68">
        <v>4.3742256356731959</v>
      </c>
      <c r="AI10" s="68">
        <v>0.62500153453237617</v>
      </c>
      <c r="AJ10" s="69">
        <v>399.27898190816245</v>
      </c>
      <c r="AK10" s="69">
        <v>1378.5451791763305</v>
      </c>
      <c r="AL10" s="69">
        <v>3287.0459233601887</v>
      </c>
      <c r="AM10" s="69">
        <v>641.56842648188285</v>
      </c>
      <c r="AN10" s="69">
        <v>5141.0491310119623</v>
      </c>
      <c r="AO10" s="69">
        <v>2533.7297889709471</v>
      </c>
      <c r="AP10" s="69">
        <v>644.82733154296875</v>
      </c>
      <c r="AQ10" s="69">
        <v>1069.4271240234375</v>
      </c>
      <c r="AR10" s="69">
        <v>389.75444169044493</v>
      </c>
      <c r="AS10" s="69">
        <v>671.31639862060558</v>
      </c>
    </row>
    <row r="11" spans="1:49" x14ac:dyDescent="0.25">
      <c r="A11" s="11">
        <v>42829</v>
      </c>
      <c r="B11" s="59"/>
      <c r="C11" s="60">
        <v>55.788747060298952</v>
      </c>
      <c r="D11" s="60">
        <v>562.79117600122879</v>
      </c>
      <c r="E11" s="60">
        <v>16.128191695113969</v>
      </c>
      <c r="F11" s="60">
        <v>0</v>
      </c>
      <c r="G11" s="60">
        <v>2163.9844465891515</v>
      </c>
      <c r="H11" s="61">
        <v>22.963544253508235</v>
      </c>
      <c r="I11" s="59">
        <v>93.78764129877095</v>
      </c>
      <c r="J11" s="60">
        <v>405.39297410647106</v>
      </c>
      <c r="K11" s="60">
        <v>21.993445049723004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207.74502009144666</v>
      </c>
      <c r="V11" s="62">
        <v>124.52128108483431</v>
      </c>
      <c r="W11" s="62">
        <v>23.800118203221555</v>
      </c>
      <c r="X11" s="62">
        <v>14.265666668356648</v>
      </c>
      <c r="Y11" s="66">
        <v>133.79903476268819</v>
      </c>
      <c r="Z11" s="66">
        <v>80.198443309160126</v>
      </c>
      <c r="AA11" s="67">
        <v>0</v>
      </c>
      <c r="AB11" s="68">
        <v>71.888963582780505</v>
      </c>
      <c r="AC11" s="69">
        <v>0</v>
      </c>
      <c r="AD11" s="401">
        <v>8.8078467438779953</v>
      </c>
      <c r="AE11" s="401">
        <v>4.5277736841176486</v>
      </c>
      <c r="AF11" s="69">
        <v>11.984986198610745</v>
      </c>
      <c r="AG11" s="68">
        <v>7.3983514160571868</v>
      </c>
      <c r="AH11" s="68">
        <v>4.4345332361647731</v>
      </c>
      <c r="AI11" s="68">
        <v>0.62523650263656849</v>
      </c>
      <c r="AJ11" s="69">
        <v>345.10111255645751</v>
      </c>
      <c r="AK11" s="69">
        <v>1367.0072953542076</v>
      </c>
      <c r="AL11" s="69">
        <v>3221.7391408284502</v>
      </c>
      <c r="AM11" s="69">
        <v>639.25512011845899</v>
      </c>
      <c r="AN11" s="69">
        <v>5181.7128641764339</v>
      </c>
      <c r="AO11" s="69">
        <v>2859.6703436533608</v>
      </c>
      <c r="AP11" s="69">
        <v>644.82733154296875</v>
      </c>
      <c r="AQ11" s="69">
        <v>1069.4271240234375</v>
      </c>
      <c r="AR11" s="69">
        <v>377.1913585027059</v>
      </c>
      <c r="AS11" s="69">
        <v>671.693910598755</v>
      </c>
    </row>
    <row r="12" spans="1:49" x14ac:dyDescent="0.25">
      <c r="A12" s="11">
        <v>42830</v>
      </c>
      <c r="B12" s="59"/>
      <c r="C12" s="60">
        <v>55.218263145288113</v>
      </c>
      <c r="D12" s="60">
        <v>540.93655147552363</v>
      </c>
      <c r="E12" s="60">
        <v>16.081558905045153</v>
      </c>
      <c r="F12" s="60">
        <v>0</v>
      </c>
      <c r="G12" s="60">
        <v>2029.0729183196991</v>
      </c>
      <c r="H12" s="61">
        <v>22.987783374389011</v>
      </c>
      <c r="I12" s="59">
        <v>84.925276875495911</v>
      </c>
      <c r="J12" s="60">
        <v>376.5551377614338</v>
      </c>
      <c r="K12" s="60">
        <v>20.680098594228433</v>
      </c>
      <c r="L12" s="60">
        <v>6.6089630126953122E-5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195.23612734070085</v>
      </c>
      <c r="V12" s="62">
        <v>117.14384770270114</v>
      </c>
      <c r="W12" s="62">
        <v>23.013895044523228</v>
      </c>
      <c r="X12" s="62">
        <v>13.808592973353635</v>
      </c>
      <c r="Y12" s="66">
        <v>128.33138880946245</v>
      </c>
      <c r="Z12" s="66">
        <v>77.00026050986834</v>
      </c>
      <c r="AA12" s="67">
        <v>0</v>
      </c>
      <c r="AB12" s="68">
        <v>68.585019228193588</v>
      </c>
      <c r="AC12" s="69">
        <v>0</v>
      </c>
      <c r="AD12" s="401">
        <v>8.196004916862428</v>
      </c>
      <c r="AE12" s="401">
        <v>4.4850660201548704</v>
      </c>
      <c r="AF12" s="69">
        <v>12.017001750071849</v>
      </c>
      <c r="AG12" s="68">
        <v>7.4328209438150399</v>
      </c>
      <c r="AH12" s="68">
        <v>4.459775229633947</v>
      </c>
      <c r="AI12" s="68">
        <v>0.62499565573489402</v>
      </c>
      <c r="AJ12" s="69">
        <v>378.04029688835135</v>
      </c>
      <c r="AK12" s="69">
        <v>1399.0387892405195</v>
      </c>
      <c r="AL12" s="69">
        <v>3157.6198865254714</v>
      </c>
      <c r="AM12" s="69">
        <v>636.11905895868938</v>
      </c>
      <c r="AN12" s="69">
        <v>5337.3301567077642</v>
      </c>
      <c r="AO12" s="69">
        <v>2690.6040952046715</v>
      </c>
      <c r="AP12" s="69">
        <v>644.82733154296875</v>
      </c>
      <c r="AQ12" s="69">
        <v>1069.4271240234375</v>
      </c>
      <c r="AR12" s="69">
        <v>380.06367044448854</v>
      </c>
      <c r="AS12" s="69">
        <v>686.40961990356448</v>
      </c>
    </row>
    <row r="13" spans="1:49" x14ac:dyDescent="0.25">
      <c r="A13" s="11">
        <v>42831</v>
      </c>
      <c r="B13" s="59"/>
      <c r="C13" s="60">
        <v>56.685303604603057</v>
      </c>
      <c r="D13" s="60">
        <v>546.99970343907648</v>
      </c>
      <c r="E13" s="60">
        <v>16.121856551865687</v>
      </c>
      <c r="F13" s="60">
        <v>0</v>
      </c>
      <c r="G13" s="60">
        <v>1990.6623486836722</v>
      </c>
      <c r="H13" s="61">
        <v>23.420883679389938</v>
      </c>
      <c r="I13" s="59">
        <v>84.728030920028687</v>
      </c>
      <c r="J13" s="60">
        <v>377.27944544156395</v>
      </c>
      <c r="K13" s="60">
        <v>20.607627314329189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197.10613856441205</v>
      </c>
      <c r="V13" s="62">
        <v>109.79650404592572</v>
      </c>
      <c r="W13" s="62">
        <v>24.125072650199346</v>
      </c>
      <c r="X13" s="62">
        <v>13.438691743130317</v>
      </c>
      <c r="Y13" s="66">
        <v>131.74908036039659</v>
      </c>
      <c r="Z13" s="66">
        <v>73.389842346843423</v>
      </c>
      <c r="AA13" s="67">
        <v>0</v>
      </c>
      <c r="AB13" s="68">
        <v>68.788912269804612</v>
      </c>
      <c r="AC13" s="69">
        <v>0</v>
      </c>
      <c r="AD13" s="401">
        <v>8.1838277968301831</v>
      </c>
      <c r="AE13" s="401">
        <v>4.5448626297295727</v>
      </c>
      <c r="AF13" s="69">
        <v>11.664035861359698</v>
      </c>
      <c r="AG13" s="68">
        <v>7.4070936996462837</v>
      </c>
      <c r="AH13" s="68">
        <v>4.1260662873571325</v>
      </c>
      <c r="AI13" s="68">
        <v>0.64224321070662782</v>
      </c>
      <c r="AJ13" s="69">
        <v>335.405284690857</v>
      </c>
      <c r="AK13" s="69">
        <v>1314.7823425928752</v>
      </c>
      <c r="AL13" s="69">
        <v>3212.7748645782463</v>
      </c>
      <c r="AM13" s="69">
        <v>635.09192949930809</v>
      </c>
      <c r="AN13" s="69">
        <v>4880.9546549479164</v>
      </c>
      <c r="AO13" s="69">
        <v>2764.2539863586421</v>
      </c>
      <c r="AP13" s="69">
        <v>644.82733154296875</v>
      </c>
      <c r="AQ13" s="69">
        <v>1069.4271240234375</v>
      </c>
      <c r="AR13" s="69">
        <v>378.38890706698101</v>
      </c>
      <c r="AS13" s="69">
        <v>766.59780019124344</v>
      </c>
    </row>
    <row r="14" spans="1:49" x14ac:dyDescent="0.25">
      <c r="A14" s="11">
        <v>42832</v>
      </c>
      <c r="B14" s="59"/>
      <c r="C14" s="60">
        <v>56.303481201331159</v>
      </c>
      <c r="D14" s="60">
        <v>529.53475592931056</v>
      </c>
      <c r="E14" s="60">
        <v>16.189503147701387</v>
      </c>
      <c r="F14" s="60">
        <v>0</v>
      </c>
      <c r="G14" s="60">
        <v>2120.1020025889079</v>
      </c>
      <c r="H14" s="61">
        <v>22.925625889499987</v>
      </c>
      <c r="I14" s="59">
        <v>85.171020865440369</v>
      </c>
      <c r="J14" s="60">
        <v>377.64354699452645</v>
      </c>
      <c r="K14" s="60">
        <v>20.456107292572689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208.02584410994174</v>
      </c>
      <c r="V14" s="62">
        <v>124.82046095309745</v>
      </c>
      <c r="W14" s="62">
        <v>27.518473944185619</v>
      </c>
      <c r="X14" s="62">
        <v>16.511739765486642</v>
      </c>
      <c r="Y14" s="66">
        <v>130.93899684979121</v>
      </c>
      <c r="Z14" s="66">
        <v>78.56651664342904</v>
      </c>
      <c r="AA14" s="67">
        <v>0</v>
      </c>
      <c r="AB14" s="68">
        <v>68.730987697177838</v>
      </c>
      <c r="AC14" s="69">
        <v>0</v>
      </c>
      <c r="AD14" s="401">
        <v>8.219775980039671</v>
      </c>
      <c r="AE14" s="401">
        <v>4.4868346985206511</v>
      </c>
      <c r="AF14" s="69">
        <v>12.136040947172367</v>
      </c>
      <c r="AG14" s="68">
        <v>7.499692340484045</v>
      </c>
      <c r="AH14" s="68">
        <v>4.4999940221412862</v>
      </c>
      <c r="AI14" s="68">
        <v>0.62499069674378038</v>
      </c>
      <c r="AJ14" s="69">
        <v>340.42485079765316</v>
      </c>
      <c r="AK14" s="69">
        <v>1325.9214185714723</v>
      </c>
      <c r="AL14" s="69">
        <v>3244.1824399312331</v>
      </c>
      <c r="AM14" s="69">
        <v>620.11378491719563</v>
      </c>
      <c r="AN14" s="69">
        <v>4830.2482378641762</v>
      </c>
      <c r="AO14" s="69">
        <v>2628.7166014353434</v>
      </c>
      <c r="AP14" s="69">
        <v>644.82733154296875</v>
      </c>
      <c r="AQ14" s="69">
        <v>1069.4271240234375</v>
      </c>
      <c r="AR14" s="69">
        <v>370.96445198059092</v>
      </c>
      <c r="AS14" s="69">
        <v>877.47115697860715</v>
      </c>
    </row>
    <row r="15" spans="1:49" x14ac:dyDescent="0.25">
      <c r="A15" s="11">
        <v>42833</v>
      </c>
      <c r="B15" s="59"/>
      <c r="C15" s="60">
        <v>56.157336429755055</v>
      </c>
      <c r="D15" s="60">
        <v>528.20796667734851</v>
      </c>
      <c r="E15" s="60">
        <v>16.23445589641727</v>
      </c>
      <c r="F15" s="60">
        <v>0</v>
      </c>
      <c r="G15" s="60">
        <v>2018.7281236012775</v>
      </c>
      <c r="H15" s="61">
        <v>22.847845525542898</v>
      </c>
      <c r="I15" s="59">
        <v>84.837310314178467</v>
      </c>
      <c r="J15" s="60">
        <v>376.28683624267512</v>
      </c>
      <c r="K15" s="60">
        <v>20.27207305332027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207.31075388574632</v>
      </c>
      <c r="V15" s="62">
        <v>124.39618852419132</v>
      </c>
      <c r="W15" s="62">
        <v>28.679377782311917</v>
      </c>
      <c r="X15" s="62">
        <v>17.208973574671219</v>
      </c>
      <c r="Y15" s="66">
        <v>143.24916559176322</v>
      </c>
      <c r="Z15" s="66">
        <v>85.956226943764307</v>
      </c>
      <c r="AA15" s="67">
        <v>0</v>
      </c>
      <c r="AB15" s="68">
        <v>68.489033110937015</v>
      </c>
      <c r="AC15" s="69">
        <v>0</v>
      </c>
      <c r="AD15" s="401">
        <v>8.1895606618651229</v>
      </c>
      <c r="AE15" s="401">
        <v>4.4862706547674902</v>
      </c>
      <c r="AF15" s="69">
        <v>12.137006354331968</v>
      </c>
      <c r="AG15" s="68">
        <v>7.5001353236736774</v>
      </c>
      <c r="AH15" s="68">
        <v>4.5004334323864779</v>
      </c>
      <c r="AI15" s="68">
        <v>0.62498165513081971</v>
      </c>
      <c r="AJ15" s="69">
        <v>312.60603520075483</v>
      </c>
      <c r="AK15" s="69">
        <v>1298.8325740814209</v>
      </c>
      <c r="AL15" s="69">
        <v>3240.0709749857588</v>
      </c>
      <c r="AM15" s="69">
        <v>630.48996537526443</v>
      </c>
      <c r="AN15" s="69">
        <v>4824.3625760396308</v>
      </c>
      <c r="AO15" s="69">
        <v>2576.3492467244469</v>
      </c>
      <c r="AP15" s="69">
        <v>644.82733154296875</v>
      </c>
      <c r="AQ15" s="69">
        <v>1069.4271240234375</v>
      </c>
      <c r="AR15" s="69">
        <v>373.88206774393717</v>
      </c>
      <c r="AS15" s="69">
        <v>782.533373037974</v>
      </c>
    </row>
    <row r="16" spans="1:49" x14ac:dyDescent="0.25">
      <c r="A16" s="11">
        <v>42834</v>
      </c>
      <c r="B16" s="59"/>
      <c r="C16" s="60">
        <v>55.454082707563593</v>
      </c>
      <c r="D16" s="60">
        <v>528.49921134313024</v>
      </c>
      <c r="E16" s="60">
        <v>16.196027348438854</v>
      </c>
      <c r="F16" s="60">
        <v>0</v>
      </c>
      <c r="G16" s="60">
        <v>2062.2046735127747</v>
      </c>
      <c r="H16" s="61">
        <v>22.992527433236464</v>
      </c>
      <c r="I16" s="59">
        <v>84.912949323654175</v>
      </c>
      <c r="J16" s="60">
        <v>376.86748890876703</v>
      </c>
      <c r="K16" s="60">
        <v>20.25355797608696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207.87732618189128</v>
      </c>
      <c r="V16" s="62">
        <v>124.72658218738802</v>
      </c>
      <c r="W16" s="62">
        <v>28.248009472951985</v>
      </c>
      <c r="X16" s="62">
        <v>16.948831023905974</v>
      </c>
      <c r="Y16" s="66">
        <v>141.87477179229452</v>
      </c>
      <c r="Z16" s="66">
        <v>85.12499034543599</v>
      </c>
      <c r="AA16" s="67">
        <v>0</v>
      </c>
      <c r="AB16" s="68">
        <v>68.347070572111463</v>
      </c>
      <c r="AC16" s="69">
        <v>0</v>
      </c>
      <c r="AD16" s="401">
        <v>8.2036655157298846</v>
      </c>
      <c r="AE16" s="401">
        <v>4.4888363586931099</v>
      </c>
      <c r="AF16" s="69">
        <v>12.139475081364308</v>
      </c>
      <c r="AG16" s="68">
        <v>7.4999486937846367</v>
      </c>
      <c r="AH16" s="68">
        <v>4.4999759441682281</v>
      </c>
      <c r="AI16" s="68">
        <v>0.62499964958647403</v>
      </c>
      <c r="AJ16" s="69">
        <v>448.22339132626843</v>
      </c>
      <c r="AK16" s="69">
        <v>1426.8821109135945</v>
      </c>
      <c r="AL16" s="69">
        <v>3238.0274450937914</v>
      </c>
      <c r="AM16" s="69">
        <v>638.93206920623777</v>
      </c>
      <c r="AN16" s="69">
        <v>4866.5744651794439</v>
      </c>
      <c r="AO16" s="69">
        <v>2519.2971176147462</v>
      </c>
      <c r="AP16" s="69">
        <v>644.82733154296875</v>
      </c>
      <c r="AQ16" s="69">
        <v>1069.4271240234375</v>
      </c>
      <c r="AR16" s="69">
        <v>374.89072995185848</v>
      </c>
      <c r="AS16" s="69">
        <v>600.40257768630988</v>
      </c>
    </row>
    <row r="17" spans="1:45" x14ac:dyDescent="0.25">
      <c r="A17" s="11">
        <v>42835</v>
      </c>
      <c r="B17" s="49"/>
      <c r="C17" s="50">
        <v>54.792669701576074</v>
      </c>
      <c r="D17" s="50">
        <v>528.33995129267464</v>
      </c>
      <c r="E17" s="50">
        <v>16.160399128496611</v>
      </c>
      <c r="F17" s="50">
        <v>0</v>
      </c>
      <c r="G17" s="50">
        <v>2165.8427586873308</v>
      </c>
      <c r="H17" s="51">
        <v>23.003193180759766</v>
      </c>
      <c r="I17" s="49">
        <v>94.38559232155481</v>
      </c>
      <c r="J17" s="50">
        <v>418.6642402966815</v>
      </c>
      <c r="K17" s="50">
        <v>22.958559604485799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233.76782496829125</v>
      </c>
      <c r="V17" s="66">
        <v>124.77094263441219</v>
      </c>
      <c r="W17" s="62">
        <v>31.992133689893546</v>
      </c>
      <c r="X17" s="62">
        <v>17.075440890616978</v>
      </c>
      <c r="Y17" s="66">
        <v>153.67516316587256</v>
      </c>
      <c r="Z17" s="66">
        <v>82.022386828913881</v>
      </c>
      <c r="AA17" s="67">
        <v>0</v>
      </c>
      <c r="AB17" s="68">
        <v>73.324608612060118</v>
      </c>
      <c r="AC17" s="69">
        <v>0</v>
      </c>
      <c r="AD17" s="401">
        <v>9.1154804765400019</v>
      </c>
      <c r="AE17" s="401">
        <v>4.4874448223297891</v>
      </c>
      <c r="AF17" s="69">
        <v>13.06845540404319</v>
      </c>
      <c r="AG17" s="68">
        <v>8.4298913001927307</v>
      </c>
      <c r="AH17" s="68">
        <v>4.4993594989958394</v>
      </c>
      <c r="AI17" s="68">
        <v>0.65200152979643533</v>
      </c>
      <c r="AJ17" s="69">
        <v>374.74263558387759</v>
      </c>
      <c r="AK17" s="69">
        <v>1387.6095347086589</v>
      </c>
      <c r="AL17" s="69">
        <v>3049.9899785359707</v>
      </c>
      <c r="AM17" s="69">
        <v>635.03889265060434</v>
      </c>
      <c r="AN17" s="69">
        <v>4886.9585662841791</v>
      </c>
      <c r="AO17" s="69">
        <v>2611.8214889526366</v>
      </c>
      <c r="AP17" s="69">
        <v>644.82733154296875</v>
      </c>
      <c r="AQ17" s="69">
        <v>1069.4271240234375</v>
      </c>
      <c r="AR17" s="69">
        <v>373.1760571638743</v>
      </c>
      <c r="AS17" s="69">
        <v>656.51628290812164</v>
      </c>
    </row>
    <row r="18" spans="1:45" x14ac:dyDescent="0.25">
      <c r="A18" s="11">
        <v>42836</v>
      </c>
      <c r="B18" s="59"/>
      <c r="C18" s="60">
        <v>56.371075836817795</v>
      </c>
      <c r="D18" s="60">
        <v>539.18322693506946</v>
      </c>
      <c r="E18" s="60">
        <v>16.195424539844183</v>
      </c>
      <c r="F18" s="60">
        <v>0</v>
      </c>
      <c r="G18" s="60">
        <v>2118.6943233489997</v>
      </c>
      <c r="H18" s="61">
        <v>23.106906847159092</v>
      </c>
      <c r="I18" s="59">
        <v>95.229544989267964</v>
      </c>
      <c r="J18" s="60">
        <v>422.45588858922292</v>
      </c>
      <c r="K18" s="60">
        <v>23.176657979687093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235.08009251475573</v>
      </c>
      <c r="V18" s="66">
        <v>124.43626255472367</v>
      </c>
      <c r="W18" s="62">
        <v>32.659392713731982</v>
      </c>
      <c r="X18" s="62">
        <v>17.287779339922999</v>
      </c>
      <c r="Y18" s="66">
        <v>157.76247399336381</v>
      </c>
      <c r="Z18" s="66">
        <v>83.509294322269085</v>
      </c>
      <c r="AA18" s="67">
        <v>0</v>
      </c>
      <c r="AB18" s="68">
        <v>74.045710833866693</v>
      </c>
      <c r="AC18" s="69">
        <v>0</v>
      </c>
      <c r="AD18" s="401">
        <v>9.1957621634412448</v>
      </c>
      <c r="AE18" s="401">
        <v>4.5800455955254549</v>
      </c>
      <c r="AF18" s="69">
        <v>13.141685319609108</v>
      </c>
      <c r="AG18" s="68">
        <v>8.5009092658346574</v>
      </c>
      <c r="AH18" s="68">
        <v>4.4998339333684161</v>
      </c>
      <c r="AI18" s="68">
        <v>0.65387871566878963</v>
      </c>
      <c r="AJ18" s="69">
        <v>348.90711485544836</v>
      </c>
      <c r="AK18" s="69">
        <v>1341.7380797704061</v>
      </c>
      <c r="AL18" s="69">
        <v>2915.3095887502022</v>
      </c>
      <c r="AM18" s="69">
        <v>615.22589190800988</v>
      </c>
      <c r="AN18" s="69">
        <v>5220.8239031473804</v>
      </c>
      <c r="AO18" s="69">
        <v>2564.0723410288497</v>
      </c>
      <c r="AP18" s="69">
        <v>644.82733154296875</v>
      </c>
      <c r="AQ18" s="69">
        <v>1069.4271240234375</v>
      </c>
      <c r="AR18" s="69">
        <v>376.01725556055709</v>
      </c>
      <c r="AS18" s="69">
        <v>782.408262793223</v>
      </c>
    </row>
    <row r="19" spans="1:45" x14ac:dyDescent="0.25">
      <c r="A19" s="11">
        <v>42837</v>
      </c>
      <c r="B19" s="59"/>
      <c r="C19" s="60">
        <v>56.82211092313095</v>
      </c>
      <c r="D19" s="60">
        <v>507.48971672058104</v>
      </c>
      <c r="E19" s="60">
        <v>16.202892286082072</v>
      </c>
      <c r="F19" s="60">
        <v>0</v>
      </c>
      <c r="G19" s="60">
        <v>1951.6615421295126</v>
      </c>
      <c r="H19" s="61">
        <v>23.433617883920689</v>
      </c>
      <c r="I19" s="59">
        <v>99.683646937211336</v>
      </c>
      <c r="J19" s="60">
        <v>426.77053060531614</v>
      </c>
      <c r="K19" s="60">
        <v>23.458800099293441</v>
      </c>
      <c r="L19" s="60">
        <v>9.4413757324218753E-6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236.60962678667337</v>
      </c>
      <c r="V19" s="66">
        <v>123.81598286552263</v>
      </c>
      <c r="W19" s="62">
        <v>32.457192603613628</v>
      </c>
      <c r="X19" s="62">
        <v>16.984597194328273</v>
      </c>
      <c r="Y19" s="66">
        <v>163.68629291937719</v>
      </c>
      <c r="Z19" s="66">
        <v>85.65576774988611</v>
      </c>
      <c r="AA19" s="67">
        <v>0</v>
      </c>
      <c r="AB19" s="68">
        <v>74.688490878211852</v>
      </c>
      <c r="AC19" s="69">
        <v>0</v>
      </c>
      <c r="AD19" s="401">
        <v>9.2894132988593707</v>
      </c>
      <c r="AE19" s="401">
        <v>4.59031842904895</v>
      </c>
      <c r="AF19" s="69">
        <v>13.114141711592687</v>
      </c>
      <c r="AG19" s="68">
        <v>8.5188228625336464</v>
      </c>
      <c r="AH19" s="68">
        <v>4.4578339432184775</v>
      </c>
      <c r="AI19" s="68">
        <v>0.65647284890493007</v>
      </c>
      <c r="AJ19" s="69">
        <v>349.48097033500682</v>
      </c>
      <c r="AK19" s="69">
        <v>1371.4096247355142</v>
      </c>
      <c r="AL19" s="69">
        <v>2922.9741372426347</v>
      </c>
      <c r="AM19" s="69">
        <v>602.17275756200149</v>
      </c>
      <c r="AN19" s="69">
        <v>4994.2818771362317</v>
      </c>
      <c r="AO19" s="69">
        <v>2539.4661589304606</v>
      </c>
      <c r="AP19" s="69">
        <v>644.82733154296875</v>
      </c>
      <c r="AQ19" s="69">
        <v>1069.4271240234375</v>
      </c>
      <c r="AR19" s="69">
        <v>370.1754442214966</v>
      </c>
      <c r="AS19" s="69">
        <v>782.29282007217421</v>
      </c>
    </row>
    <row r="20" spans="1:45" x14ac:dyDescent="0.25">
      <c r="A20" s="11">
        <v>42838</v>
      </c>
      <c r="B20" s="59"/>
      <c r="C20" s="60">
        <v>55.057675294081776</v>
      </c>
      <c r="D20" s="60">
        <v>457.89992656707926</v>
      </c>
      <c r="E20" s="60">
        <v>16.236191176374721</v>
      </c>
      <c r="F20" s="60">
        <v>0</v>
      </c>
      <c r="G20" s="60">
        <v>1626.1172660827563</v>
      </c>
      <c r="H20" s="61">
        <v>22.756420442461934</v>
      </c>
      <c r="I20" s="59">
        <v>123.06731314659109</v>
      </c>
      <c r="J20" s="60">
        <v>562.25509125391648</v>
      </c>
      <c r="K20" s="60">
        <v>30.874862704674474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326.42710529846403</v>
      </c>
      <c r="V20" s="62">
        <v>129.85163865735467</v>
      </c>
      <c r="W20" s="62">
        <v>42.236985544263504</v>
      </c>
      <c r="X20" s="62">
        <v>16.801735198597871</v>
      </c>
      <c r="Y20" s="66">
        <v>217.26893864907663</v>
      </c>
      <c r="Z20" s="66">
        <v>86.4288757121776</v>
      </c>
      <c r="AA20" s="67">
        <v>0</v>
      </c>
      <c r="AB20" s="68">
        <v>90.139202351039998</v>
      </c>
      <c r="AC20" s="69">
        <v>0</v>
      </c>
      <c r="AD20" s="401">
        <v>12.23547196394961</v>
      </c>
      <c r="AE20" s="401">
        <v>4.4875265569937817</v>
      </c>
      <c r="AF20" s="69">
        <v>15.834246038066018</v>
      </c>
      <c r="AG20" s="68">
        <v>11.207496758690464</v>
      </c>
      <c r="AH20" s="68">
        <v>4.4583056852227507</v>
      </c>
      <c r="AI20" s="68">
        <v>0.71541159789392217</v>
      </c>
      <c r="AJ20" s="69">
        <v>349.06257982254027</v>
      </c>
      <c r="AK20" s="69">
        <v>1312.6618321100871</v>
      </c>
      <c r="AL20" s="69">
        <v>2937.9741672515866</v>
      </c>
      <c r="AM20" s="69">
        <v>609.14761336644494</v>
      </c>
      <c r="AN20" s="69">
        <v>4505.1123350779226</v>
      </c>
      <c r="AO20" s="69">
        <v>2393.1350577036537</v>
      </c>
      <c r="AP20" s="69">
        <v>644.82733154296875</v>
      </c>
      <c r="AQ20" s="69">
        <v>1069.4271240234375</v>
      </c>
      <c r="AR20" s="69">
        <v>368.35658170382186</v>
      </c>
      <c r="AS20" s="69">
        <v>776.73576768239332</v>
      </c>
    </row>
    <row r="21" spans="1:45" x14ac:dyDescent="0.25">
      <c r="A21" s="11">
        <v>42839</v>
      </c>
      <c r="B21" s="59"/>
      <c r="C21" s="60">
        <v>54.563410504658833</v>
      </c>
      <c r="D21" s="60">
        <v>457.77888243993226</v>
      </c>
      <c r="E21" s="60">
        <v>16.235797077417324</v>
      </c>
      <c r="F21" s="60">
        <v>0</v>
      </c>
      <c r="G21" s="60">
        <v>1812.9074062347358</v>
      </c>
      <c r="H21" s="61">
        <v>21.9171335041523</v>
      </c>
      <c r="I21" s="59">
        <v>120.65283717314406</v>
      </c>
      <c r="J21" s="60">
        <v>514.09666077295913</v>
      </c>
      <c r="K21" s="60">
        <v>27.873486139377043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292.50666548617204</v>
      </c>
      <c r="V21" s="62">
        <v>128.36768421390792</v>
      </c>
      <c r="W21" s="62">
        <v>38.197757906102837</v>
      </c>
      <c r="X21" s="62">
        <v>16.763234152015297</v>
      </c>
      <c r="Y21" s="66">
        <v>185.31125248085178</v>
      </c>
      <c r="Z21" s="66">
        <v>81.324561613691813</v>
      </c>
      <c r="AA21" s="67">
        <v>0</v>
      </c>
      <c r="AB21" s="68">
        <v>85.518854787615624</v>
      </c>
      <c r="AC21" s="69">
        <v>0</v>
      </c>
      <c r="AD21" s="401">
        <v>11.192585466824344</v>
      </c>
      <c r="AE21" s="401">
        <v>4.484925566350876</v>
      </c>
      <c r="AF21" s="69">
        <v>14.810390336645956</v>
      </c>
      <c r="AG21" s="68">
        <v>10.168687137970489</v>
      </c>
      <c r="AH21" s="68">
        <v>4.4625677750879529</v>
      </c>
      <c r="AI21" s="68">
        <v>0.69499760604231586</v>
      </c>
      <c r="AJ21" s="69">
        <v>308.6449248790741</v>
      </c>
      <c r="AK21" s="69">
        <v>1187.2990971247357</v>
      </c>
      <c r="AL21" s="69">
        <v>2935.8296572367349</v>
      </c>
      <c r="AM21" s="69">
        <v>650.31730438868203</v>
      </c>
      <c r="AN21" s="69">
        <v>4445.0544871012371</v>
      </c>
      <c r="AO21" s="69">
        <v>2382.9601530710856</v>
      </c>
      <c r="AP21" s="69">
        <v>644.82733154296875</v>
      </c>
      <c r="AQ21" s="69">
        <v>1069.4271240234375</v>
      </c>
      <c r="AR21" s="69">
        <v>376.193644062678</v>
      </c>
      <c r="AS21" s="69">
        <v>756.67528521219901</v>
      </c>
    </row>
    <row r="22" spans="1:45" x14ac:dyDescent="0.25">
      <c r="A22" s="11">
        <v>42840</v>
      </c>
      <c r="B22" s="59"/>
      <c r="C22" s="60">
        <v>56.035945916176061</v>
      </c>
      <c r="D22" s="60">
        <v>466.86822042465104</v>
      </c>
      <c r="E22" s="60">
        <v>16.252284268041414</v>
      </c>
      <c r="F22" s="60">
        <v>0</v>
      </c>
      <c r="G22" s="60">
        <v>1747.6699156443187</v>
      </c>
      <c r="H22" s="61">
        <v>23.557004149754828</v>
      </c>
      <c r="I22" s="59">
        <v>127.229958120982</v>
      </c>
      <c r="J22" s="60">
        <v>518.16457398732518</v>
      </c>
      <c r="K22" s="60">
        <v>28.339161252975341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295.18052989071026</v>
      </c>
      <c r="V22" s="62">
        <v>126.24150647098277</v>
      </c>
      <c r="W22" s="62">
        <v>38.705283660447797</v>
      </c>
      <c r="X22" s="62">
        <v>16.553304919842617</v>
      </c>
      <c r="Y22" s="66">
        <v>194.27828455420976</v>
      </c>
      <c r="Z22" s="66">
        <v>83.088079440071411</v>
      </c>
      <c r="AA22" s="67">
        <v>0</v>
      </c>
      <c r="AB22" s="68">
        <v>86.454233964284541</v>
      </c>
      <c r="AC22" s="69">
        <v>0</v>
      </c>
      <c r="AD22" s="401">
        <v>11.271393954223363</v>
      </c>
      <c r="AE22" s="401">
        <v>4.5754496382688528</v>
      </c>
      <c r="AF22" s="69">
        <v>15.140513395600861</v>
      </c>
      <c r="AG22" s="68">
        <v>10.404530181609282</v>
      </c>
      <c r="AH22" s="68">
        <v>4.4497635556636386</v>
      </c>
      <c r="AI22" s="68">
        <v>0.70043923767993532</v>
      </c>
      <c r="AJ22" s="69">
        <v>375.59746274948117</v>
      </c>
      <c r="AK22" s="69">
        <v>1226.7532762527467</v>
      </c>
      <c r="AL22" s="69">
        <v>2921.3798364003501</v>
      </c>
      <c r="AM22" s="69">
        <v>571.18431479136143</v>
      </c>
      <c r="AN22" s="69">
        <v>4598.7925966898601</v>
      </c>
      <c r="AO22" s="69">
        <v>2368.7121665954592</v>
      </c>
      <c r="AP22" s="69">
        <v>644.82733154296875</v>
      </c>
      <c r="AQ22" s="69">
        <v>1069.4271240234375</v>
      </c>
      <c r="AR22" s="69">
        <v>371.60544805526723</v>
      </c>
      <c r="AS22" s="69">
        <v>720.45203844706214</v>
      </c>
    </row>
    <row r="23" spans="1:45" x14ac:dyDescent="0.25">
      <c r="A23" s="11">
        <v>42841</v>
      </c>
      <c r="B23" s="59"/>
      <c r="C23" s="60">
        <v>57.605478342373594</v>
      </c>
      <c r="D23" s="60">
        <v>475.52953767776518</v>
      </c>
      <c r="E23" s="60">
        <v>16.245654728015218</v>
      </c>
      <c r="F23" s="60">
        <v>0</v>
      </c>
      <c r="G23" s="60">
        <v>1672.4401836395273</v>
      </c>
      <c r="H23" s="61">
        <v>24.152390459179884</v>
      </c>
      <c r="I23" s="59">
        <v>129.84463344415047</v>
      </c>
      <c r="J23" s="60">
        <v>557.26065800984691</v>
      </c>
      <c r="K23" s="60">
        <v>30.488097363710402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328.76549874290339</v>
      </c>
      <c r="V23" s="62">
        <v>129.14358898919565</v>
      </c>
      <c r="W23" s="62">
        <v>41.249483253980308</v>
      </c>
      <c r="X23" s="62">
        <v>16.203361763134918</v>
      </c>
      <c r="Y23" s="66">
        <v>212.41048091684931</v>
      </c>
      <c r="Z23" s="66">
        <v>83.437744986661556</v>
      </c>
      <c r="AA23" s="67">
        <v>0</v>
      </c>
      <c r="AB23" s="68">
        <v>91.568030961355234</v>
      </c>
      <c r="AC23" s="69">
        <v>0</v>
      </c>
      <c r="AD23" s="401">
        <v>12.129584815016784</v>
      </c>
      <c r="AE23" s="401">
        <v>4.6960683540665764</v>
      </c>
      <c r="AF23" s="69">
        <v>16.13441806104446</v>
      </c>
      <c r="AG23" s="68">
        <v>11.367819309687501</v>
      </c>
      <c r="AH23" s="68">
        <v>4.4654350600875334</v>
      </c>
      <c r="AI23" s="68">
        <v>0.71797111599420482</v>
      </c>
      <c r="AJ23" s="69">
        <v>386.15381460189809</v>
      </c>
      <c r="AK23" s="69">
        <v>1214.1338801066083</v>
      </c>
      <c r="AL23" s="69">
        <v>2910.0567390441902</v>
      </c>
      <c r="AM23" s="69">
        <v>559.35589625040689</v>
      </c>
      <c r="AN23" s="69">
        <v>4445.9180287679037</v>
      </c>
      <c r="AO23" s="69">
        <v>2384.6372505187987</v>
      </c>
      <c r="AP23" s="69">
        <v>644.82733154296875</v>
      </c>
      <c r="AQ23" s="69">
        <v>1069.4271240234375</v>
      </c>
      <c r="AR23" s="69">
        <v>373.04338816006981</v>
      </c>
      <c r="AS23" s="69">
        <v>780.67455285390224</v>
      </c>
    </row>
    <row r="24" spans="1:45" x14ac:dyDescent="0.25">
      <c r="A24" s="11">
        <v>42842</v>
      </c>
      <c r="B24" s="59"/>
      <c r="C24" s="60">
        <v>56.514367596308325</v>
      </c>
      <c r="D24" s="60">
        <v>459.68353217442831</v>
      </c>
      <c r="E24" s="60">
        <v>16.261951135098894</v>
      </c>
      <c r="F24" s="60">
        <v>0</v>
      </c>
      <c r="G24" s="60">
        <v>1560.5501991271892</v>
      </c>
      <c r="H24" s="61">
        <v>23.214027295510018</v>
      </c>
      <c r="I24" s="59">
        <v>129.88769608338666</v>
      </c>
      <c r="J24" s="60">
        <v>559.08043794631965</v>
      </c>
      <c r="K24" s="60">
        <v>30.662555692593262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323.31402806447596</v>
      </c>
      <c r="V24" s="62">
        <v>115.86238646765628</v>
      </c>
      <c r="W24" s="62">
        <v>41.946879372599689</v>
      </c>
      <c r="X24" s="62">
        <v>15.032028081414085</v>
      </c>
      <c r="Y24" s="66">
        <v>208.77858718332595</v>
      </c>
      <c r="Z24" s="66">
        <v>74.817617717415729</v>
      </c>
      <c r="AA24" s="67">
        <v>0</v>
      </c>
      <c r="AB24" s="68">
        <v>90.793188354704313</v>
      </c>
      <c r="AC24" s="69">
        <v>0</v>
      </c>
      <c r="AD24" s="401">
        <v>12.169311477051203</v>
      </c>
      <c r="AE24" s="401">
        <v>4.5455812379337983</v>
      </c>
      <c r="AF24" s="69">
        <v>15.723568996124779</v>
      </c>
      <c r="AG24" s="68">
        <v>11.359678360672129</v>
      </c>
      <c r="AH24" s="68">
        <v>4.0708392773789432</v>
      </c>
      <c r="AI24" s="68">
        <v>0.73618258487061983</v>
      </c>
      <c r="AJ24" s="69">
        <v>353.02816785176594</v>
      </c>
      <c r="AK24" s="69">
        <v>1187.4576376597086</v>
      </c>
      <c r="AL24" s="69">
        <v>2918.4433457692467</v>
      </c>
      <c r="AM24" s="69">
        <v>560.70842332839959</v>
      </c>
      <c r="AN24" s="69">
        <v>4361.1146263122564</v>
      </c>
      <c r="AO24" s="69">
        <v>2469.8757443745931</v>
      </c>
      <c r="AP24" s="69">
        <v>644.82733154296875</v>
      </c>
      <c r="AQ24" s="69">
        <v>1069.4271240234375</v>
      </c>
      <c r="AR24" s="69">
        <v>373.92540642420448</v>
      </c>
      <c r="AS24" s="69">
        <v>804.490309715271</v>
      </c>
    </row>
    <row r="25" spans="1:45" x14ac:dyDescent="0.25">
      <c r="A25" s="11">
        <v>42843</v>
      </c>
      <c r="B25" s="59"/>
      <c r="C25" s="60">
        <v>54.728917996088605</v>
      </c>
      <c r="D25" s="60">
        <v>453.89125884374033</v>
      </c>
      <c r="E25" s="60">
        <v>16.248469308018667</v>
      </c>
      <c r="F25" s="60">
        <v>0</v>
      </c>
      <c r="G25" s="60">
        <v>1614.2846270879079</v>
      </c>
      <c r="H25" s="61">
        <v>22.996290671825452</v>
      </c>
      <c r="I25" s="59">
        <v>130.08806804815944</v>
      </c>
      <c r="J25" s="60">
        <v>559.09298051198277</v>
      </c>
      <c r="K25" s="60">
        <v>30.628229341904284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319.79993763954144</v>
      </c>
      <c r="V25" s="62">
        <v>125.16291371526729</v>
      </c>
      <c r="W25" s="62">
        <v>41.010811258463562</v>
      </c>
      <c r="X25" s="62">
        <v>16.050761825731879</v>
      </c>
      <c r="Y25" s="66">
        <v>212.52102583298594</v>
      </c>
      <c r="Z25" s="66">
        <v>83.176222657665718</v>
      </c>
      <c r="AA25" s="67">
        <v>0</v>
      </c>
      <c r="AB25" s="68">
        <v>90.515110556286146</v>
      </c>
      <c r="AC25" s="69">
        <v>0</v>
      </c>
      <c r="AD25" s="401">
        <v>12.169320386232894</v>
      </c>
      <c r="AE25" s="401">
        <v>4.4883440109214714</v>
      </c>
      <c r="AF25" s="69">
        <v>16.299414592981329</v>
      </c>
      <c r="AG25" s="68">
        <v>11.497520385498678</v>
      </c>
      <c r="AH25" s="68">
        <v>4.4998856552990327</v>
      </c>
      <c r="AI25" s="68">
        <v>0.71871154337002463</v>
      </c>
      <c r="AJ25" s="69">
        <v>341.39486834208168</v>
      </c>
      <c r="AK25" s="69">
        <v>1172.5426977157592</v>
      </c>
      <c r="AL25" s="69">
        <v>2934.8090296427417</v>
      </c>
      <c r="AM25" s="69">
        <v>605.52130200068143</v>
      </c>
      <c r="AN25" s="69">
        <v>4502.0517102559406</v>
      </c>
      <c r="AO25" s="69">
        <v>2411.1043924967448</v>
      </c>
      <c r="AP25" s="69">
        <v>644.82733154296875</v>
      </c>
      <c r="AQ25" s="69">
        <v>1069.4271240234375</v>
      </c>
      <c r="AR25" s="69">
        <v>372.14464451471963</v>
      </c>
      <c r="AS25" s="69">
        <v>788.19745937983203</v>
      </c>
    </row>
    <row r="26" spans="1:45" x14ac:dyDescent="0.25">
      <c r="A26" s="11">
        <v>42844</v>
      </c>
      <c r="B26" s="59"/>
      <c r="C26" s="60">
        <v>54.807006561756388</v>
      </c>
      <c r="D26" s="60">
        <v>453.92376991907844</v>
      </c>
      <c r="E26" s="60">
        <v>16.216566783189752</v>
      </c>
      <c r="F26" s="60">
        <v>0</v>
      </c>
      <c r="G26" s="60">
        <v>1559.6309522628742</v>
      </c>
      <c r="H26" s="61">
        <v>22.877969810366622</v>
      </c>
      <c r="I26" s="59">
        <v>81.720361256599446</v>
      </c>
      <c r="J26" s="60">
        <v>555.77535759607929</v>
      </c>
      <c r="K26" s="60">
        <v>30.460800015926328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324.25773902256037</v>
      </c>
      <c r="V26" s="62">
        <v>126.89588553323691</v>
      </c>
      <c r="W26" s="62">
        <v>41.231242273251283</v>
      </c>
      <c r="X26" s="62">
        <v>16.135543952385451</v>
      </c>
      <c r="Y26" s="66">
        <v>215.79492387469952</v>
      </c>
      <c r="Z26" s="66">
        <v>84.449759136673151</v>
      </c>
      <c r="AA26" s="67">
        <v>0</v>
      </c>
      <c r="AB26" s="68">
        <v>90.159091160031977</v>
      </c>
      <c r="AC26" s="69">
        <v>0</v>
      </c>
      <c r="AD26" s="401">
        <v>12.097335429997383</v>
      </c>
      <c r="AE26" s="401">
        <v>4.4884606985188809</v>
      </c>
      <c r="AF26" s="69">
        <v>16.300659531354917</v>
      </c>
      <c r="AG26" s="68">
        <v>11.500868762939811</v>
      </c>
      <c r="AH26" s="68">
        <v>4.5007805533771759</v>
      </c>
      <c r="AI26" s="68">
        <v>0.71873020934237708</v>
      </c>
      <c r="AJ26" s="69">
        <v>349.83471830685937</v>
      </c>
      <c r="AK26" s="69">
        <v>1179.8071308135984</v>
      </c>
      <c r="AL26" s="69">
        <v>2920.2974352518722</v>
      </c>
      <c r="AM26" s="69">
        <v>613.75883941650386</v>
      </c>
      <c r="AN26" s="69">
        <v>4452.318946838378</v>
      </c>
      <c r="AO26" s="69">
        <v>2451.4930797576903</v>
      </c>
      <c r="AP26" s="69">
        <v>644.82733154296875</v>
      </c>
      <c r="AQ26" s="69">
        <v>1069.4271240234375</v>
      </c>
      <c r="AR26" s="69">
        <v>372.22068177858989</v>
      </c>
      <c r="AS26" s="69">
        <v>726.51506703694645</v>
      </c>
    </row>
    <row r="27" spans="1:45" x14ac:dyDescent="0.25">
      <c r="A27" s="11">
        <v>42845</v>
      </c>
      <c r="B27" s="59"/>
      <c r="C27" s="60">
        <v>55.561057786146513</v>
      </c>
      <c r="D27" s="60">
        <v>461.96062088012633</v>
      </c>
      <c r="E27" s="60">
        <v>16.237764296929011</v>
      </c>
      <c r="F27" s="60">
        <v>0</v>
      </c>
      <c r="G27" s="60">
        <v>1486.188744481396</v>
      </c>
      <c r="H27" s="61">
        <v>23.162607064843154</v>
      </c>
      <c r="I27" s="59">
        <v>61.864359021186829</v>
      </c>
      <c r="J27" s="60">
        <v>549.1618110020944</v>
      </c>
      <c r="K27" s="60">
        <v>29.618422164519512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324.50363458820175</v>
      </c>
      <c r="V27" s="62">
        <v>126.98563568563623</v>
      </c>
      <c r="W27" s="62">
        <v>40.957953761387124</v>
      </c>
      <c r="X27" s="62">
        <v>16.027776703866046</v>
      </c>
      <c r="Y27" s="62">
        <v>226.24677927789753</v>
      </c>
      <c r="Z27" s="62">
        <v>88.535498608175558</v>
      </c>
      <c r="AA27" s="72">
        <v>0</v>
      </c>
      <c r="AB27" s="69">
        <v>89.288775618871185</v>
      </c>
      <c r="AC27" s="69">
        <v>0</v>
      </c>
      <c r="AD27" s="401">
        <v>11.953869005334852</v>
      </c>
      <c r="AE27" s="401">
        <v>4.5033577450311384</v>
      </c>
      <c r="AF27" s="69">
        <v>16.297647207313123</v>
      </c>
      <c r="AG27" s="69">
        <v>11.499110622607777</v>
      </c>
      <c r="AH27" s="69">
        <v>4.4998629185905292</v>
      </c>
      <c r="AI27" s="69">
        <v>0.71874052375903263</v>
      </c>
      <c r="AJ27" s="69">
        <v>435.65652844111133</v>
      </c>
      <c r="AK27" s="69">
        <v>1257.3833826700845</v>
      </c>
      <c r="AL27" s="69">
        <v>2884.2195289611818</v>
      </c>
      <c r="AM27" s="69">
        <v>506.03392969767253</v>
      </c>
      <c r="AN27" s="69">
        <v>4506.7037691752121</v>
      </c>
      <c r="AO27" s="69">
        <v>2479.1395102183023</v>
      </c>
      <c r="AP27" s="69">
        <v>644.82733154296875</v>
      </c>
      <c r="AQ27" s="69">
        <v>1069.4271240234375</v>
      </c>
      <c r="AR27" s="69">
        <v>371.16893722216292</v>
      </c>
      <c r="AS27" s="69">
        <v>654.5485091845195</v>
      </c>
    </row>
    <row r="28" spans="1:45" x14ac:dyDescent="0.25">
      <c r="A28" s="11">
        <v>42846</v>
      </c>
      <c r="B28" s="59"/>
      <c r="C28" s="60">
        <v>55.848000220457699</v>
      </c>
      <c r="D28" s="60">
        <v>465.04717830021968</v>
      </c>
      <c r="E28" s="60">
        <v>16.238973813752306</v>
      </c>
      <c r="F28" s="60">
        <v>0</v>
      </c>
      <c r="G28" s="60">
        <v>1408.8822695414174</v>
      </c>
      <c r="H28" s="61">
        <v>22.721016255021105</v>
      </c>
      <c r="I28" s="59">
        <v>76.281177222728729</v>
      </c>
      <c r="J28" s="60">
        <v>506.73684784571333</v>
      </c>
      <c r="K28" s="60">
        <v>27.518241604169265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297.95657621256777</v>
      </c>
      <c r="V28" s="62">
        <v>126.607953058031</v>
      </c>
      <c r="W28" s="62">
        <v>38.044949579483628</v>
      </c>
      <c r="X28" s="62">
        <v>16.166091219339393</v>
      </c>
      <c r="Y28" s="66">
        <v>207.9095025373143</v>
      </c>
      <c r="Z28" s="66">
        <v>88.345076561705255</v>
      </c>
      <c r="AA28" s="67">
        <v>0</v>
      </c>
      <c r="AB28" s="68">
        <v>84.894915760888907</v>
      </c>
      <c r="AC28" s="69">
        <v>0</v>
      </c>
      <c r="AD28" s="401">
        <v>11.030019155000216</v>
      </c>
      <c r="AE28" s="401">
        <v>4.5016050396145202</v>
      </c>
      <c r="AF28" s="69">
        <v>15.376239954762978</v>
      </c>
      <c r="AG28" s="68">
        <v>10.591729865335621</v>
      </c>
      <c r="AH28" s="68">
        <v>4.5006465527280897</v>
      </c>
      <c r="AI28" s="68">
        <v>0.70179338044197126</v>
      </c>
      <c r="AJ28" s="69">
        <v>313.70216084321339</v>
      </c>
      <c r="AK28" s="69">
        <v>1153.4143489201863</v>
      </c>
      <c r="AL28" s="69">
        <v>2887.331094233195</v>
      </c>
      <c r="AM28" s="69">
        <v>477.30067672729484</v>
      </c>
      <c r="AN28" s="69">
        <v>4435.2503194173178</v>
      </c>
      <c r="AO28" s="69">
        <v>2478.2005396525064</v>
      </c>
      <c r="AP28" s="69">
        <v>644.82733154296875</v>
      </c>
      <c r="AQ28" s="69">
        <v>1069.4271240234375</v>
      </c>
      <c r="AR28" s="69">
        <v>371.98432885805767</v>
      </c>
      <c r="AS28" s="69">
        <v>633.74505914052315</v>
      </c>
    </row>
    <row r="29" spans="1:45" x14ac:dyDescent="0.25">
      <c r="A29" s="11">
        <v>42847</v>
      </c>
      <c r="B29" s="59"/>
      <c r="C29" s="60">
        <v>56.173246947924362</v>
      </c>
      <c r="D29" s="60">
        <v>467.53311646779377</v>
      </c>
      <c r="E29" s="60">
        <v>16.255409096678054</v>
      </c>
      <c r="F29" s="60">
        <v>0</v>
      </c>
      <c r="G29" s="60">
        <v>1273.4295022328697</v>
      </c>
      <c r="H29" s="61">
        <v>22.641880776484822</v>
      </c>
      <c r="I29" s="59">
        <v>78.153057217597961</v>
      </c>
      <c r="J29" s="60">
        <v>503.23635718027788</v>
      </c>
      <c r="K29" s="60">
        <v>27.202716745932957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288.02862689914014</v>
      </c>
      <c r="V29" s="62">
        <v>123.44784296728979</v>
      </c>
      <c r="W29" s="62">
        <v>37.303069636595261</v>
      </c>
      <c r="X29" s="62">
        <v>15.987936797368507</v>
      </c>
      <c r="Y29" s="66">
        <v>198.24122018553814</v>
      </c>
      <c r="Z29" s="66">
        <v>84.965342794477934</v>
      </c>
      <c r="AA29" s="67">
        <v>0</v>
      </c>
      <c r="AB29" s="68">
        <v>84.485309192870105</v>
      </c>
      <c r="AC29" s="69">
        <v>0</v>
      </c>
      <c r="AD29" s="401">
        <v>10.95452804287817</v>
      </c>
      <c r="AE29" s="401">
        <v>4.5088354281548355</v>
      </c>
      <c r="AF29" s="69">
        <v>15.174350584877867</v>
      </c>
      <c r="AG29" s="68">
        <v>10.419622728616652</v>
      </c>
      <c r="AH29" s="68">
        <v>4.4658059312663152</v>
      </c>
      <c r="AI29" s="68">
        <v>0.69998808678571001</v>
      </c>
      <c r="AJ29" s="69">
        <v>341.85917771657307</v>
      </c>
      <c r="AK29" s="69">
        <v>1175.2293247222901</v>
      </c>
      <c r="AL29" s="69">
        <v>2878.6805735270182</v>
      </c>
      <c r="AM29" s="69">
        <v>478.89909075101218</v>
      </c>
      <c r="AN29" s="69">
        <v>4445.3781260172527</v>
      </c>
      <c r="AO29" s="69">
        <v>2435.3755519866945</v>
      </c>
      <c r="AP29" s="69">
        <v>644.82733154296875</v>
      </c>
      <c r="AQ29" s="69">
        <v>1069.4271240234375</v>
      </c>
      <c r="AR29" s="69">
        <v>378.56099541982013</v>
      </c>
      <c r="AS29" s="69">
        <v>585.4686469395956</v>
      </c>
    </row>
    <row r="30" spans="1:45" x14ac:dyDescent="0.25">
      <c r="A30" s="11">
        <v>42848</v>
      </c>
      <c r="B30" s="59"/>
      <c r="C30" s="60">
        <v>55.564524559180306</v>
      </c>
      <c r="D30" s="60">
        <v>516.57142267227221</v>
      </c>
      <c r="E30" s="60">
        <v>16.273244593540806</v>
      </c>
      <c r="F30" s="60">
        <v>0</v>
      </c>
      <c r="G30" s="60">
        <v>1185.761410713196</v>
      </c>
      <c r="H30" s="61">
        <v>22.886976795395181</v>
      </c>
      <c r="I30" s="59">
        <v>77.25466001033783</v>
      </c>
      <c r="J30" s="60">
        <v>514.90520798365276</v>
      </c>
      <c r="K30" s="60">
        <v>27.988295418024034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284.28482653339228</v>
      </c>
      <c r="V30" s="62">
        <v>121.46985467235693</v>
      </c>
      <c r="W30" s="62">
        <v>36.566966388019168</v>
      </c>
      <c r="X30" s="62">
        <v>15.62441494723924</v>
      </c>
      <c r="Y30" s="66">
        <v>197.87106135164075</v>
      </c>
      <c r="Z30" s="66">
        <v>84.546788371857104</v>
      </c>
      <c r="AA30" s="67">
        <v>0</v>
      </c>
      <c r="AB30" s="68">
        <v>85.689939493602409</v>
      </c>
      <c r="AC30" s="69">
        <v>0</v>
      </c>
      <c r="AD30" s="401">
        <v>11.201364921491145</v>
      </c>
      <c r="AE30" s="401">
        <v>4.5135220567413068</v>
      </c>
      <c r="AF30" s="69">
        <v>15.161059487528272</v>
      </c>
      <c r="AG30" s="68">
        <v>10.425131321018551</v>
      </c>
      <c r="AH30" s="68">
        <v>4.4544733602080422</v>
      </c>
      <c r="AI30" s="68">
        <v>0.70063227783005599</v>
      </c>
      <c r="AJ30" s="69">
        <v>329.54127332369484</v>
      </c>
      <c r="AK30" s="69">
        <v>1161.3821781158447</v>
      </c>
      <c r="AL30" s="69">
        <v>2871.7455584208169</v>
      </c>
      <c r="AM30" s="69">
        <v>470.02842426300049</v>
      </c>
      <c r="AN30" s="69">
        <v>3905.2880647023517</v>
      </c>
      <c r="AO30" s="69">
        <v>2384.3000213623045</v>
      </c>
      <c r="AP30" s="69">
        <v>644.82733154296875</v>
      </c>
      <c r="AQ30" s="69">
        <v>1069.4271240234375</v>
      </c>
      <c r="AR30" s="69">
        <v>373.59001941680907</v>
      </c>
      <c r="AS30" s="69">
        <v>736.11882890065522</v>
      </c>
    </row>
    <row r="31" spans="1:45" x14ac:dyDescent="0.25">
      <c r="A31" s="11">
        <v>42849</v>
      </c>
      <c r="B31" s="59"/>
      <c r="C31" s="60">
        <v>56.067574910322413</v>
      </c>
      <c r="D31" s="60">
        <v>561.63953116734763</v>
      </c>
      <c r="E31" s="60">
        <v>16.27442346761622</v>
      </c>
      <c r="F31" s="60">
        <v>0</v>
      </c>
      <c r="G31" s="60">
        <v>1239.3996473948168</v>
      </c>
      <c r="H31" s="61">
        <v>22.591263023018829</v>
      </c>
      <c r="I31" s="59">
        <v>77.799868404865265</v>
      </c>
      <c r="J31" s="60">
        <v>502.34052979151437</v>
      </c>
      <c r="K31" s="60">
        <v>27.854594864447797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284.79657194473089</v>
      </c>
      <c r="V31" s="62">
        <v>122.0527061450033</v>
      </c>
      <c r="W31" s="62">
        <v>37.168611609648636</v>
      </c>
      <c r="X31" s="62">
        <v>15.929017683157316</v>
      </c>
      <c r="Y31" s="66">
        <v>191.99813984531306</v>
      </c>
      <c r="Z31" s="66">
        <v>82.28291647932808</v>
      </c>
      <c r="AA31" s="67">
        <v>0</v>
      </c>
      <c r="AB31" s="68">
        <v>84.331272088156823</v>
      </c>
      <c r="AC31" s="69">
        <v>0</v>
      </c>
      <c r="AD31" s="401">
        <v>10.935950354958958</v>
      </c>
      <c r="AE31" s="401">
        <v>4.5045853968234422</v>
      </c>
      <c r="AF31" s="69">
        <v>15.180211813582316</v>
      </c>
      <c r="AG31" s="68">
        <v>10.426251985416606</v>
      </c>
      <c r="AH31" s="68">
        <v>4.4682850677597639</v>
      </c>
      <c r="AI31" s="68">
        <v>0.70000510577756636</v>
      </c>
      <c r="AJ31" s="69">
        <v>373.36386140187579</v>
      </c>
      <c r="AK31" s="69">
        <v>1174.3043349583945</v>
      </c>
      <c r="AL31" s="69">
        <v>2878.9091971079501</v>
      </c>
      <c r="AM31" s="69">
        <v>478.1821122805278</v>
      </c>
      <c r="AN31" s="69">
        <v>3732.0696352640784</v>
      </c>
      <c r="AO31" s="69">
        <v>2392.8027300516765</v>
      </c>
      <c r="AP31" s="69">
        <v>644.82733154296875</v>
      </c>
      <c r="AQ31" s="69">
        <v>1069.4271240234375</v>
      </c>
      <c r="AR31" s="69">
        <v>372.42695635159805</v>
      </c>
      <c r="AS31" s="69">
        <v>713.35815811157204</v>
      </c>
    </row>
    <row r="32" spans="1:45" x14ac:dyDescent="0.25">
      <c r="A32" s="11">
        <v>42850</v>
      </c>
      <c r="B32" s="59"/>
      <c r="C32" s="60">
        <v>56.312725357214745</v>
      </c>
      <c r="D32" s="60">
        <v>562.83702411651689</v>
      </c>
      <c r="E32" s="60">
        <v>16.260656214257061</v>
      </c>
      <c r="F32" s="60">
        <v>0</v>
      </c>
      <c r="G32" s="60">
        <v>1182.1583600362121</v>
      </c>
      <c r="H32" s="61">
        <v>22.924163395166367</v>
      </c>
      <c r="I32" s="59">
        <v>79.059669562180829</v>
      </c>
      <c r="J32" s="60">
        <v>510.19461644490525</v>
      </c>
      <c r="K32" s="60">
        <v>28.079732781648588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283.77665654903262</v>
      </c>
      <c r="V32" s="62">
        <v>121.5602036626575</v>
      </c>
      <c r="W32" s="62">
        <v>37.278015071680549</v>
      </c>
      <c r="X32" s="62">
        <v>15.968625324437566</v>
      </c>
      <c r="Y32" s="66">
        <v>187.47899919719634</v>
      </c>
      <c r="Z32" s="66">
        <v>80.309584311930891</v>
      </c>
      <c r="AA32" s="67">
        <v>0</v>
      </c>
      <c r="AB32" s="68">
        <v>85.216586727566366</v>
      </c>
      <c r="AC32" s="69">
        <v>0</v>
      </c>
      <c r="AD32" s="401">
        <v>11.103500795479931</v>
      </c>
      <c r="AE32" s="401">
        <v>4.514343603495079</v>
      </c>
      <c r="AF32" s="69">
        <v>15.079869096146696</v>
      </c>
      <c r="AG32" s="68">
        <v>10.397261518149733</v>
      </c>
      <c r="AH32" s="68">
        <v>4.4538308508184503</v>
      </c>
      <c r="AI32" s="68">
        <v>0.7001007912303564</v>
      </c>
      <c r="AJ32" s="69">
        <v>415.18166892528541</v>
      </c>
      <c r="AK32" s="69">
        <v>1234.1609547297162</v>
      </c>
      <c r="AL32" s="69">
        <v>2874.8685164133708</v>
      </c>
      <c r="AM32" s="69">
        <v>481.44873576164247</v>
      </c>
      <c r="AN32" s="69">
        <v>3382.4342160542801</v>
      </c>
      <c r="AO32" s="69">
        <v>2374.0468592325842</v>
      </c>
      <c r="AP32" s="69">
        <v>644.82733154296875</v>
      </c>
      <c r="AQ32" s="69">
        <v>1069.4271240234375</v>
      </c>
      <c r="AR32" s="69">
        <v>375.62127823829655</v>
      </c>
      <c r="AS32" s="69">
        <v>622.2105278968811</v>
      </c>
    </row>
    <row r="33" spans="1:45" x14ac:dyDescent="0.25">
      <c r="A33" s="11">
        <v>42851</v>
      </c>
      <c r="B33" s="59"/>
      <c r="C33" s="60">
        <v>56.120483263332886</v>
      </c>
      <c r="D33" s="60">
        <v>585.75520502726386</v>
      </c>
      <c r="E33" s="60">
        <v>16.211366005241842</v>
      </c>
      <c r="F33" s="60">
        <v>0</v>
      </c>
      <c r="G33" s="60">
        <v>1149.7590531031292</v>
      </c>
      <c r="H33" s="61">
        <v>22.924788088599819</v>
      </c>
      <c r="I33" s="59">
        <v>98.788369580110086</v>
      </c>
      <c r="J33" s="60">
        <v>540.18134635289528</v>
      </c>
      <c r="K33" s="60">
        <v>29.655688031514416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284.85279926780584</v>
      </c>
      <c r="V33" s="62">
        <v>122.0608259407324</v>
      </c>
      <c r="W33" s="62">
        <v>37.942828956488967</v>
      </c>
      <c r="X33" s="62">
        <v>16.258688883737488</v>
      </c>
      <c r="Y33" s="66">
        <v>184.50468718780752</v>
      </c>
      <c r="Z33" s="66">
        <v>79.061166209243424</v>
      </c>
      <c r="AA33" s="67">
        <v>0</v>
      </c>
      <c r="AB33" s="68">
        <v>88.420708433787155</v>
      </c>
      <c r="AC33" s="69">
        <v>0</v>
      </c>
      <c r="AD33" s="401">
        <v>11.755248405109654</v>
      </c>
      <c r="AE33" s="401">
        <v>4.5001729965249835</v>
      </c>
      <c r="AF33" s="69">
        <v>15.073233752118176</v>
      </c>
      <c r="AG33" s="68">
        <v>10.42814642228484</v>
      </c>
      <c r="AH33" s="68">
        <v>4.4685120476498712</v>
      </c>
      <c r="AI33" s="68">
        <v>0.70003259075392787</v>
      </c>
      <c r="AJ33" s="69">
        <v>359.00353027184809</v>
      </c>
      <c r="AK33" s="69">
        <v>1187.9943979263307</v>
      </c>
      <c r="AL33" s="69">
        <v>2887.5111754099521</v>
      </c>
      <c r="AM33" s="69">
        <v>516.98225782712291</v>
      </c>
      <c r="AN33" s="69">
        <v>3077.9391671498615</v>
      </c>
      <c r="AO33" s="69">
        <v>2369.6840671539308</v>
      </c>
      <c r="AP33" s="69">
        <v>644.82733154296875</v>
      </c>
      <c r="AQ33" s="69">
        <v>1069.4271240234375</v>
      </c>
      <c r="AR33" s="69">
        <v>375.08834087053935</v>
      </c>
      <c r="AS33" s="69">
        <v>628.78289028803499</v>
      </c>
    </row>
    <row r="34" spans="1:45" x14ac:dyDescent="0.25">
      <c r="A34" s="11">
        <v>42852</v>
      </c>
      <c r="B34" s="59"/>
      <c r="C34" s="60">
        <v>55.704140039285114</v>
      </c>
      <c r="D34" s="60">
        <v>619.2513356526681</v>
      </c>
      <c r="E34" s="60">
        <v>16.238698927561423</v>
      </c>
      <c r="F34" s="60">
        <v>0</v>
      </c>
      <c r="G34" s="60">
        <v>1318.3249031066921</v>
      </c>
      <c r="H34" s="61">
        <v>22.780569811662073</v>
      </c>
      <c r="I34" s="59">
        <v>116.00923298994712</v>
      </c>
      <c r="J34" s="60">
        <v>498.50008055369125</v>
      </c>
      <c r="K34" s="60">
        <v>27.01158035000169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276.900878564077</v>
      </c>
      <c r="V34" s="62">
        <v>111.31940841983636</v>
      </c>
      <c r="W34" s="62">
        <v>37.066718788050316</v>
      </c>
      <c r="X34" s="62">
        <v>14.901524433391605</v>
      </c>
      <c r="Y34" s="66">
        <v>177.99488874432163</v>
      </c>
      <c r="Z34" s="66">
        <v>71.557323398622941</v>
      </c>
      <c r="AA34" s="67">
        <v>0</v>
      </c>
      <c r="AB34" s="68">
        <v>83.870563793183138</v>
      </c>
      <c r="AC34" s="69">
        <v>0</v>
      </c>
      <c r="AD34" s="401">
        <v>10.851982049667715</v>
      </c>
      <c r="AE34" s="401">
        <v>4.4934768956339219</v>
      </c>
      <c r="AF34" s="69">
        <v>14.722751819425142</v>
      </c>
      <c r="AG34" s="68">
        <v>10.377908242668752</v>
      </c>
      <c r="AH34" s="68">
        <v>4.172116073448616</v>
      </c>
      <c r="AI34" s="68">
        <v>0.71325710646221563</v>
      </c>
      <c r="AJ34" s="69">
        <v>352.76588435173034</v>
      </c>
      <c r="AK34" s="69">
        <v>1171.603479830424</v>
      </c>
      <c r="AL34" s="69">
        <v>2865.7870946248372</v>
      </c>
      <c r="AM34" s="69">
        <v>532.89015347162888</v>
      </c>
      <c r="AN34" s="69">
        <v>3194.9167397816973</v>
      </c>
      <c r="AO34" s="69">
        <v>2355.8472719828287</v>
      </c>
      <c r="AP34" s="69">
        <v>644.82733154296875</v>
      </c>
      <c r="AQ34" s="69">
        <v>1069.4271240234375</v>
      </c>
      <c r="AR34" s="69">
        <v>372.65838611920674</v>
      </c>
      <c r="AS34" s="69">
        <v>612.5105154355366</v>
      </c>
    </row>
    <row r="35" spans="1:45" x14ac:dyDescent="0.25">
      <c r="A35" s="11">
        <v>42853</v>
      </c>
      <c r="B35" s="59"/>
      <c r="C35" s="60">
        <v>55.395082664489976</v>
      </c>
      <c r="D35" s="60">
        <v>604.69856472015374</v>
      </c>
      <c r="E35" s="60">
        <v>16.17382404456534</v>
      </c>
      <c r="F35" s="60">
        <v>0</v>
      </c>
      <c r="G35" s="60">
        <v>1315.3028355280583</v>
      </c>
      <c r="H35" s="61">
        <v>22.516818118095408</v>
      </c>
      <c r="I35" s="59">
        <v>115.80137463410695</v>
      </c>
      <c r="J35" s="60">
        <v>497.84400809605927</v>
      </c>
      <c r="K35" s="60">
        <v>26.969859530528474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285.56979158438838</v>
      </c>
      <c r="V35" s="62">
        <v>122.38346197090992</v>
      </c>
      <c r="W35" s="62">
        <v>38.514217604021923</v>
      </c>
      <c r="X35" s="62">
        <v>16.505608871757307</v>
      </c>
      <c r="Y35" s="66">
        <v>179.92168054694659</v>
      </c>
      <c r="Z35" s="66">
        <v>77.107028816990621</v>
      </c>
      <c r="AA35" s="67">
        <v>0</v>
      </c>
      <c r="AB35" s="68">
        <v>83.717136976453872</v>
      </c>
      <c r="AC35" s="69">
        <v>0</v>
      </c>
      <c r="AD35" s="401">
        <v>10.837460146428274</v>
      </c>
      <c r="AE35" s="401">
        <v>4.4839951434695342</v>
      </c>
      <c r="AF35" s="69">
        <v>15.181029236316668</v>
      </c>
      <c r="AG35" s="68">
        <v>10.501236269077483</v>
      </c>
      <c r="AH35" s="68">
        <v>4.5003977572480833</v>
      </c>
      <c r="AI35" s="68">
        <v>0.70000616270530425</v>
      </c>
      <c r="AJ35" s="69">
        <v>301.011048189799</v>
      </c>
      <c r="AK35" s="69">
        <v>1129.2652104059855</v>
      </c>
      <c r="AL35" s="69">
        <v>2877.9912850697833</v>
      </c>
      <c r="AM35" s="69">
        <v>543.05353453954058</v>
      </c>
      <c r="AN35" s="69">
        <v>3133.4743452707926</v>
      </c>
      <c r="AO35" s="69">
        <v>2433.8251944224044</v>
      </c>
      <c r="AP35" s="69">
        <v>644.82733154296875</v>
      </c>
      <c r="AQ35" s="69">
        <v>1069.4271240234375</v>
      </c>
      <c r="AR35" s="69">
        <v>376.22969638506578</v>
      </c>
      <c r="AS35" s="69">
        <v>591.43665116628017</v>
      </c>
    </row>
    <row r="36" spans="1:45" x14ac:dyDescent="0.25">
      <c r="A36" s="11">
        <v>42854</v>
      </c>
      <c r="B36" s="59"/>
      <c r="C36" s="60">
        <v>56.024646766980197</v>
      </c>
      <c r="D36" s="60">
        <v>568.83306967417354</v>
      </c>
      <c r="E36" s="60">
        <v>15.953383844594125</v>
      </c>
      <c r="F36" s="60">
        <v>0</v>
      </c>
      <c r="G36" s="60">
        <v>1175.9323841094968</v>
      </c>
      <c r="H36" s="61">
        <v>22.477936394015973</v>
      </c>
      <c r="I36" s="59">
        <v>110.60982319513926</v>
      </c>
      <c r="J36" s="60">
        <v>476.43117354710927</v>
      </c>
      <c r="K36" s="60">
        <v>25.808161242803042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265.15364214035088</v>
      </c>
      <c r="V36" s="62">
        <v>119.01231789602845</v>
      </c>
      <c r="W36" s="62">
        <v>36.698345725475932</v>
      </c>
      <c r="X36" s="62">
        <v>16.471790289144391</v>
      </c>
      <c r="Y36" s="66">
        <v>165.21699063368899</v>
      </c>
      <c r="Z36" s="66">
        <v>74.156465860324943</v>
      </c>
      <c r="AA36" s="67">
        <v>0</v>
      </c>
      <c r="AB36" s="68">
        <v>81.287292019526149</v>
      </c>
      <c r="AC36" s="69">
        <v>0</v>
      </c>
      <c r="AD36" s="401">
        <v>10.369660759841423</v>
      </c>
      <c r="AE36" s="401">
        <v>4.4852503122322611</v>
      </c>
      <c r="AF36" s="69">
        <v>14.701301693916351</v>
      </c>
      <c r="AG36" s="68">
        <v>10.02786878897127</v>
      </c>
      <c r="AH36" s="68">
        <v>4.5009372622571808</v>
      </c>
      <c r="AI36" s="68">
        <v>0.69020597794568173</v>
      </c>
      <c r="AJ36" s="69">
        <v>345.80314189593008</v>
      </c>
      <c r="AK36" s="69">
        <v>1206.0762030919391</v>
      </c>
      <c r="AL36" s="69">
        <v>2917.6627293904626</v>
      </c>
      <c r="AM36" s="69">
        <v>551.67691780726113</v>
      </c>
      <c r="AN36" s="69">
        <v>3441.6852279663094</v>
      </c>
      <c r="AO36" s="69">
        <v>2423.4313156127928</v>
      </c>
      <c r="AP36" s="69">
        <v>644.82733154296875</v>
      </c>
      <c r="AQ36" s="69">
        <v>1069.4271240234375</v>
      </c>
      <c r="AR36" s="69">
        <v>377.68246547381085</v>
      </c>
      <c r="AS36" s="69">
        <v>608.58346573511756</v>
      </c>
    </row>
    <row r="37" spans="1:45" x14ac:dyDescent="0.25">
      <c r="A37" s="11">
        <v>42855</v>
      </c>
      <c r="B37" s="59"/>
      <c r="C37" s="60">
        <v>55.885874754189643</v>
      </c>
      <c r="D37" s="60">
        <v>568.96041018168251</v>
      </c>
      <c r="E37" s="60">
        <v>15.954619821906062</v>
      </c>
      <c r="F37" s="60">
        <v>0</v>
      </c>
      <c r="G37" s="60">
        <v>1187.2212188720714</v>
      </c>
      <c r="H37" s="61">
        <v>22.822750834623971</v>
      </c>
      <c r="I37" s="59">
        <v>103.31785095135363</v>
      </c>
      <c r="J37" s="60">
        <v>407.54440908431974</v>
      </c>
      <c r="K37" s="60">
        <v>22.374916724364006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225.13996895664206</v>
      </c>
      <c r="V37" s="62">
        <v>119.16448383351428</v>
      </c>
      <c r="W37" s="62">
        <v>30.925875907084325</v>
      </c>
      <c r="X37" s="62">
        <v>16.368777417201898</v>
      </c>
      <c r="Y37" s="66">
        <v>139.67273558426547</v>
      </c>
      <c r="Z37" s="66">
        <v>73.927475066496356</v>
      </c>
      <c r="AA37" s="67">
        <v>0</v>
      </c>
      <c r="AB37" s="68">
        <v>73.721032004886609</v>
      </c>
      <c r="AC37" s="69">
        <v>0</v>
      </c>
      <c r="AD37" s="401">
        <v>8.869239232602018</v>
      </c>
      <c r="AE37" s="401">
        <v>4.4856516158162432</v>
      </c>
      <c r="AF37" s="69">
        <v>13.164306965139161</v>
      </c>
      <c r="AG37" s="68">
        <v>8.5022834894774455</v>
      </c>
      <c r="AH37" s="68">
        <v>4.5001792801388776</v>
      </c>
      <c r="AI37" s="68">
        <v>0.65389792996333507</v>
      </c>
      <c r="AJ37" s="69">
        <v>343.25843334198004</v>
      </c>
      <c r="AK37" s="69">
        <v>1212.8961486816409</v>
      </c>
      <c r="AL37" s="69">
        <v>2886.0982448577874</v>
      </c>
      <c r="AM37" s="69">
        <v>535.99741252263379</v>
      </c>
      <c r="AN37" s="69">
        <v>3121.1696927388507</v>
      </c>
      <c r="AO37" s="69">
        <v>2453.6754830678301</v>
      </c>
      <c r="AP37" s="69">
        <v>644.82733154296875</v>
      </c>
      <c r="AQ37" s="69">
        <v>1069.4271240234375</v>
      </c>
      <c r="AR37" s="69">
        <v>380.9998578866323</v>
      </c>
      <c r="AS37" s="69">
        <v>652.75590699513771</v>
      </c>
    </row>
    <row r="38" spans="1:45" ht="15.75" thickBot="1" x14ac:dyDescent="0.3">
      <c r="A38" s="11" t="s">
        <v>223</v>
      </c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1"/>
      <c r="AE38" s="401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1672.6702792624612</v>
      </c>
      <c r="D39" s="30">
        <f t="shared" si="0"/>
        <v>15726.490549659733</v>
      </c>
      <c r="E39" s="30">
        <f t="shared" si="0"/>
        <v>485.88628362963505</v>
      </c>
      <c r="F39" s="30">
        <f t="shared" si="0"/>
        <v>0</v>
      </c>
      <c r="G39" s="30">
        <f t="shared" si="0"/>
        <v>50667.951995913121</v>
      </c>
      <c r="H39" s="31">
        <f t="shared" si="0"/>
        <v>688.90605234603106</v>
      </c>
      <c r="I39" s="29">
        <f t="shared" si="0"/>
        <v>2923.4171644687653</v>
      </c>
      <c r="J39" s="30">
        <f t="shared" si="0"/>
        <v>14038.462802282964</v>
      </c>
      <c r="K39" s="30">
        <f t="shared" si="0"/>
        <v>766.10874381065378</v>
      </c>
      <c r="L39" s="30">
        <f t="shared" si="0"/>
        <v>9.441375732421875E-5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7860.9899839416858</v>
      </c>
      <c r="V39" s="262">
        <f t="shared" si="0"/>
        <v>3687.0995729324486</v>
      </c>
      <c r="W39" s="262">
        <f t="shared" si="0"/>
        <v>1019.6268599442319</v>
      </c>
      <c r="X39" s="262">
        <f t="shared" si="0"/>
        <v>477.54620399359055</v>
      </c>
      <c r="Y39" s="262">
        <f t="shared" si="0"/>
        <v>5198.2927359580544</v>
      </c>
      <c r="Z39" s="262">
        <f t="shared" si="0"/>
        <v>2437.8048704624644</v>
      </c>
      <c r="AA39" s="270">
        <f t="shared" si="0"/>
        <v>0</v>
      </c>
      <c r="AB39" s="273">
        <f t="shared" si="0"/>
        <v>2394.711021942569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10683.520333552362</v>
      </c>
      <c r="AK39" s="273">
        <f t="shared" si="1"/>
        <v>37852.01315873464</v>
      </c>
      <c r="AL39" s="273">
        <f t="shared" si="1"/>
        <v>90271.799680836994</v>
      </c>
      <c r="AM39" s="273">
        <f t="shared" si="1"/>
        <v>17312.618122752505</v>
      </c>
      <c r="AN39" s="273">
        <f t="shared" si="1"/>
        <v>132192.60297966003</v>
      </c>
      <c r="AO39" s="273">
        <f t="shared" si="1"/>
        <v>74882.486127090451</v>
      </c>
      <c r="AP39" s="273">
        <f t="shared" si="1"/>
        <v>19344.819946289063</v>
      </c>
      <c r="AQ39" s="273">
        <f t="shared" si="1"/>
        <v>32082.813720703125</v>
      </c>
      <c r="AR39" s="273">
        <f t="shared" si="1"/>
        <v>11359.81335641543</v>
      </c>
      <c r="AS39" s="273">
        <f t="shared" si="1"/>
        <v>21092.03940105439</v>
      </c>
    </row>
    <row r="40" spans="1:45" ht="15.75" thickBot="1" x14ac:dyDescent="0.3">
      <c r="A40" s="47" t="s">
        <v>174</v>
      </c>
      <c r="B40" s="32">
        <f>Projection!$AB$30</f>
        <v>0.82128400199999985</v>
      </c>
      <c r="C40" s="33">
        <f>Projection!$AB$28</f>
        <v>1.0959093599999998</v>
      </c>
      <c r="D40" s="33">
        <f>Projection!$AB$31</f>
        <v>2.504502</v>
      </c>
      <c r="E40" s="33">
        <f>Projection!$AB$26</f>
        <v>3.9898560000000005</v>
      </c>
      <c r="F40" s="33">
        <f>Projection!$AB$23</f>
        <v>0</v>
      </c>
      <c r="G40" s="33">
        <f>Projection!$AB$24</f>
        <v>5.5265000000000002E-2</v>
      </c>
      <c r="H40" s="34">
        <f>Projection!$AB$29</f>
        <v>3.1332129000000002</v>
      </c>
      <c r="I40" s="32">
        <f>Projection!$AB$30</f>
        <v>0.82128400199999985</v>
      </c>
      <c r="J40" s="33">
        <f>Projection!$AB$28</f>
        <v>1.0959093599999998</v>
      </c>
      <c r="K40" s="33">
        <f>Projection!$AB$26</f>
        <v>3.9898560000000005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1.0959093599999998</v>
      </c>
      <c r="T40" s="38">
        <f>Projection!$AB$28</f>
        <v>1.0959093599999998</v>
      </c>
      <c r="U40" s="26">
        <f>Projection!$AB$27</f>
        <v>0.23200000000000001</v>
      </c>
      <c r="V40" s="27">
        <f>Projection!$AB$27</f>
        <v>0.23200000000000001</v>
      </c>
      <c r="W40" s="27">
        <f>Projection!$AB$22</f>
        <v>0.74349432000000004</v>
      </c>
      <c r="X40" s="27">
        <f>Projection!$AB$22</f>
        <v>0.74349432000000004</v>
      </c>
      <c r="Y40" s="27">
        <f>Projection!$AB$31</f>
        <v>2.504502</v>
      </c>
      <c r="Z40" s="27">
        <f>Projection!$AB$31</f>
        <v>2.504502</v>
      </c>
      <c r="AA40" s="28">
        <v>0</v>
      </c>
      <c r="AB40" s="41">
        <f>Projection!$AB$27</f>
        <v>0.23200000000000001</v>
      </c>
      <c r="AC40" s="41">
        <f>Projection!$AB$30</f>
        <v>0.82128400199999985</v>
      </c>
      <c r="AD40" s="403">
        <f>SUM(AD8:AD38)</f>
        <v>305.47572929048272</v>
      </c>
      <c r="AE40" s="403">
        <f>SUM(AE8:AE38)</f>
        <v>135.45293921910925</v>
      </c>
      <c r="AF40" s="277">
        <f>SUM(AF8:AF38)</f>
        <v>422.82936798532796</v>
      </c>
      <c r="AG40" s="277">
        <f>SUM(AG8:AG38)</f>
        <v>283.6008608529043</v>
      </c>
      <c r="AH40" s="277">
        <f>SUM(AH8:AH38)</f>
        <v>133.20040323913975</v>
      </c>
      <c r="AI40" s="277">
        <f>IF(SUM(AG40:AH40)&gt;0, AG40/(AG40+AH40), 0)</f>
        <v>0.68042226664234751</v>
      </c>
      <c r="AJ40" s="313">
        <v>6.5000000000000002E-2</v>
      </c>
      <c r="AK40" s="313">
        <f t="shared" ref="AK40:AS40" si="2">$AJ$40</f>
        <v>6.5000000000000002E-2</v>
      </c>
      <c r="AL40" s="313">
        <f t="shared" si="2"/>
        <v>6.5000000000000002E-2</v>
      </c>
      <c r="AM40" s="313">
        <f t="shared" si="2"/>
        <v>6.5000000000000002E-2</v>
      </c>
      <c r="AN40" s="313">
        <f t="shared" si="2"/>
        <v>6.5000000000000002E-2</v>
      </c>
      <c r="AO40" s="313">
        <f t="shared" si="2"/>
        <v>6.5000000000000002E-2</v>
      </c>
      <c r="AP40" s="313">
        <f t="shared" si="2"/>
        <v>6.5000000000000002E-2</v>
      </c>
      <c r="AQ40" s="313">
        <f t="shared" si="2"/>
        <v>6.5000000000000002E-2</v>
      </c>
      <c r="AR40" s="313">
        <f t="shared" si="2"/>
        <v>6.5000000000000002E-2</v>
      </c>
      <c r="AS40" s="313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1833.0950152375449</v>
      </c>
      <c r="D41" s="36">
        <f t="shared" si="3"/>
        <v>39387.027034603903</v>
      </c>
      <c r="E41" s="36">
        <f t="shared" si="3"/>
        <v>1938.6163040574015</v>
      </c>
      <c r="F41" s="36">
        <f t="shared" si="3"/>
        <v>0</v>
      </c>
      <c r="G41" s="36">
        <f t="shared" si="3"/>
        <v>2800.1643670541389</v>
      </c>
      <c r="H41" s="37">
        <f t="shared" si="3"/>
        <v>2158.48933009866</v>
      </c>
      <c r="I41" s="35">
        <f t="shared" si="3"/>
        <v>2400.9557483503995</v>
      </c>
      <c r="J41" s="36">
        <f t="shared" si="3"/>
        <v>15384.882785033727</v>
      </c>
      <c r="K41" s="36">
        <f t="shared" si="3"/>
        <v>3056.6635681454004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1823.7496762744711</v>
      </c>
      <c r="V41" s="268">
        <f t="shared" si="3"/>
        <v>855.40710092032816</v>
      </c>
      <c r="W41" s="268">
        <f t="shared" si="3"/>
        <v>758.08677888797195</v>
      </c>
      <c r="X41" s="268">
        <f t="shared" si="3"/>
        <v>355.05289020679589</v>
      </c>
      <c r="Y41" s="268">
        <f t="shared" si="3"/>
        <v>13019.134553792419</v>
      </c>
      <c r="Z41" s="268">
        <f t="shared" si="3"/>
        <v>6105.4871736829828</v>
      </c>
      <c r="AA41" s="272">
        <f t="shared" si="3"/>
        <v>0</v>
      </c>
      <c r="AB41" s="275">
        <f t="shared" si="3"/>
        <v>555.57295709067603</v>
      </c>
      <c r="AC41" s="275">
        <f t="shared" si="3"/>
        <v>0</v>
      </c>
      <c r="AJ41" s="278">
        <f t="shared" ref="AJ41:AS41" si="4">AJ40*AJ39</f>
        <v>694.42882168090352</v>
      </c>
      <c r="AK41" s="278">
        <f t="shared" si="4"/>
        <v>2460.3808553177519</v>
      </c>
      <c r="AL41" s="278">
        <f t="shared" si="4"/>
        <v>5867.6669792544044</v>
      </c>
      <c r="AM41" s="278">
        <f t="shared" si="4"/>
        <v>1125.3201779789129</v>
      </c>
      <c r="AN41" s="278">
        <f t="shared" si="4"/>
        <v>8592.5191936779029</v>
      </c>
      <c r="AO41" s="278">
        <f t="shared" si="4"/>
        <v>4867.3615982608799</v>
      </c>
      <c r="AP41" s="278">
        <f t="shared" si="4"/>
        <v>1257.413296508789</v>
      </c>
      <c r="AQ41" s="278">
        <f t="shared" si="4"/>
        <v>2085.3828918457034</v>
      </c>
      <c r="AR41" s="278">
        <f t="shared" si="4"/>
        <v>738.38786816700303</v>
      </c>
      <c r="AS41" s="278">
        <f t="shared" si="4"/>
        <v>1370.9825610685355</v>
      </c>
    </row>
    <row r="42" spans="1:45" ht="49.5" customHeight="1" thickTop="1" thickBot="1" x14ac:dyDescent="0.3">
      <c r="A42" s="620" t="s">
        <v>227</v>
      </c>
      <c r="B42" s="621"/>
      <c r="C42" s="621"/>
      <c r="D42" s="621"/>
      <c r="E42" s="621"/>
      <c r="F42" s="621"/>
      <c r="G42" s="621"/>
      <c r="H42" s="621"/>
      <c r="I42" s="621"/>
      <c r="J42" s="621"/>
      <c r="K42" s="614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186</v>
      </c>
      <c r="AJ42" s="295">
        <v>868.53</v>
      </c>
      <c r="AK42" s="278" t="s">
        <v>199</v>
      </c>
      <c r="AL42" s="278">
        <v>1379.09</v>
      </c>
      <c r="AM42" s="278">
        <v>562.45000000000005</v>
      </c>
      <c r="AN42" s="278">
        <v>647.54</v>
      </c>
      <c r="AO42" s="278">
        <v>4935.0200000000004</v>
      </c>
      <c r="AP42" s="278">
        <v>815.94</v>
      </c>
      <c r="AQ42" s="278" t="s">
        <v>199</v>
      </c>
      <c r="AR42" s="278">
        <v>180.99</v>
      </c>
      <c r="AS42" s="278">
        <v>328.2</v>
      </c>
    </row>
    <row r="43" spans="1:45" ht="38.25" customHeight="1" thickTop="1" thickBot="1" x14ac:dyDescent="0.3">
      <c r="A43" s="617" t="s">
        <v>49</v>
      </c>
      <c r="B43" s="613"/>
      <c r="C43" s="289"/>
      <c r="D43" s="613" t="s">
        <v>47</v>
      </c>
      <c r="E43" s="613"/>
      <c r="F43" s="289"/>
      <c r="G43" s="613" t="s">
        <v>48</v>
      </c>
      <c r="H43" s="613"/>
      <c r="I43" s="290"/>
      <c r="J43" s="613" t="s">
        <v>50</v>
      </c>
      <c r="K43" s="614"/>
      <c r="L43" s="44"/>
      <c r="M43" s="44"/>
      <c r="N43" s="44"/>
      <c r="O43" s="45"/>
      <c r="P43" s="45"/>
      <c r="Q43" s="45"/>
      <c r="R43" s="602" t="s">
        <v>168</v>
      </c>
      <c r="S43" s="603"/>
      <c r="T43" s="603"/>
      <c r="U43" s="604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92432.385283436815</v>
      </c>
      <c r="C44" s="12"/>
      <c r="D44" s="282" t="s">
        <v>135</v>
      </c>
      <c r="E44" s="283">
        <f>SUM(B41:H41)+P41+R41+T41+V41+X41+Z41</f>
        <v>55433.33921586175</v>
      </c>
      <c r="F44" s="12"/>
      <c r="G44" s="282" t="s">
        <v>135</v>
      </c>
      <c r="H44" s="283">
        <f>SUM(I41:N41)+O41+Q41+S41+U41+W41+Y41</f>
        <v>36443.473110484389</v>
      </c>
      <c r="I44" s="12"/>
      <c r="J44" s="282" t="s">
        <v>200</v>
      </c>
      <c r="K44" s="283">
        <v>138197.98000000001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5" ht="24" thickBot="1" x14ac:dyDescent="0.4">
      <c r="A45" s="284" t="s">
        <v>185</v>
      </c>
      <c r="B45" s="285">
        <f>SUM(AJ41:AS41)</f>
        <v>29059.844243760785</v>
      </c>
      <c r="C45" s="12"/>
      <c r="D45" s="284" t="s">
        <v>185</v>
      </c>
      <c r="E45" s="285">
        <f>AJ41*(1-$AI$40)+AK41+AL41*0.5+AN41+AO41*(1-$AI$40)+AP41*(1-$AI$40)+AQ41*(1-$AI$40)+AR41*0.5+AS41*0.5</f>
        <v>17887.126358006855</v>
      </c>
      <c r="F45" s="24"/>
      <c r="G45" s="284" t="s">
        <v>185</v>
      </c>
      <c r="H45" s="285">
        <f>AJ41*AI40+AL41*0.5+AM41+AO41*AI40+AP41*AI40+AQ41*AI40+AR41*0.5+AS41*0.5</f>
        <v>11172.717885753931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1497.1730639378225</v>
      </c>
      <c r="U45" s="256">
        <f>(T45*8.34*0.895)/27000</f>
        <v>0.41390181115374403</v>
      </c>
    </row>
    <row r="46" spans="1:45" ht="32.25" thickBot="1" x14ac:dyDescent="0.3">
      <c r="A46" s="286" t="s">
        <v>186</v>
      </c>
      <c r="B46" s="287">
        <f>SUM(AJ42:AS42)</f>
        <v>9717.760000000002</v>
      </c>
      <c r="C46" s="12"/>
      <c r="D46" s="286" t="s">
        <v>186</v>
      </c>
      <c r="E46" s="287">
        <f>AJ42*(1-$AI$40)+AL42*0.5+AN42+AO42*(1-$AI$40)+AP42*(1-$AI$40)+AR42*0.5+AS42*0.5</f>
        <v>3707.1216101836467</v>
      </c>
      <c r="F46" s="23"/>
      <c r="G46" s="286" t="s">
        <v>186</v>
      </c>
      <c r="H46" s="287">
        <f>AJ42*AI40+AL42*0.5+AM42+AO42*AI40+AP42*AI40+AR42*0.5+AS42*0.5</f>
        <v>6010.638389816354</v>
      </c>
      <c r="I46" s="12"/>
      <c r="J46" s="615" t="s">
        <v>201</v>
      </c>
      <c r="K46" s="616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187</v>
      </c>
      <c r="B47" s="287">
        <f>K44</f>
        <v>138197.98000000001</v>
      </c>
      <c r="C47" s="12"/>
      <c r="D47" s="286" t="s">
        <v>189</v>
      </c>
      <c r="E47" s="287">
        <f>K44*0.5</f>
        <v>69098.990000000005</v>
      </c>
      <c r="F47" s="24"/>
      <c r="G47" s="286" t="s">
        <v>187</v>
      </c>
      <c r="H47" s="287">
        <f>K44*0.5</f>
        <v>69098.990000000005</v>
      </c>
      <c r="I47" s="12"/>
      <c r="J47" s="282" t="s">
        <v>200</v>
      </c>
      <c r="K47" s="283">
        <v>69672.850000000006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50667.951995913121</v>
      </c>
      <c r="U47" s="256">
        <f>T47/40000</f>
        <v>1.2666987998978281</v>
      </c>
    </row>
    <row r="48" spans="1:45" ht="24" thickBot="1" x14ac:dyDescent="0.3">
      <c r="A48" s="286" t="s">
        <v>188</v>
      </c>
      <c r="B48" s="287">
        <f>K47</f>
        <v>69672.850000000006</v>
      </c>
      <c r="C48" s="12"/>
      <c r="D48" s="286" t="s">
        <v>188</v>
      </c>
      <c r="E48" s="287">
        <f>K47*0.5</f>
        <v>34836.425000000003</v>
      </c>
      <c r="F48" s="23"/>
      <c r="G48" s="286" t="s">
        <v>188</v>
      </c>
      <c r="H48" s="287">
        <f>K47*0.5</f>
        <v>34836.425000000003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9.441375732421875E-5</v>
      </c>
      <c r="U48" s="256">
        <f>T48*9.34*0.107</f>
        <v>9.4355220794677735E-5</v>
      </c>
    </row>
    <row r="49" spans="1:25" ht="48" thickTop="1" thickBot="1" x14ac:dyDescent="0.3">
      <c r="A49" s="291" t="s">
        <v>196</v>
      </c>
      <c r="B49" s="292">
        <f>AF40</f>
        <v>422.82936798532796</v>
      </c>
      <c r="C49" s="12"/>
      <c r="D49" s="291" t="s">
        <v>197</v>
      </c>
      <c r="E49" s="292">
        <f>AH40</f>
        <v>133.20040323913975</v>
      </c>
      <c r="F49" s="23"/>
      <c r="G49" s="291" t="s">
        <v>198</v>
      </c>
      <c r="H49" s="292">
        <f>AG40</f>
        <v>283.6008608529043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1251.9950274402888</v>
      </c>
      <c r="U49" s="256">
        <f>(T49*8.34*1.04)/45000</f>
        <v>0.24131786822235757</v>
      </c>
    </row>
    <row r="50" spans="1:25" ht="48" customHeight="1" thickTop="1" thickBot="1" x14ac:dyDescent="0.3">
      <c r="A50" s="291" t="s">
        <v>238</v>
      </c>
      <c r="B50" s="292">
        <f>SUM(E50+H50)</f>
        <v>440.92866850959194</v>
      </c>
      <c r="C50" s="12"/>
      <c r="D50" s="291" t="s">
        <v>239</v>
      </c>
      <c r="E50" s="292">
        <f>AE40</f>
        <v>135.45293921910925</v>
      </c>
      <c r="F50" s="23"/>
      <c r="G50" s="291" t="s">
        <v>240</v>
      </c>
      <c r="H50" s="292">
        <f>AD40</f>
        <v>305.47572929048272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192</v>
      </c>
      <c r="B51" s="293">
        <f>(SUM(B44:B48)/B50)</f>
        <v>769.01513497261124</v>
      </c>
      <c r="C51" s="12"/>
      <c r="D51" s="291" t="s">
        <v>190</v>
      </c>
      <c r="E51" s="294">
        <f>SUM(E44:E48)/E50</f>
        <v>1335.9843147539657</v>
      </c>
      <c r="F51" s="23"/>
      <c r="G51" s="291" t="s">
        <v>191</v>
      </c>
      <c r="H51" s="294">
        <f>SUM(H44:H48)/H50</f>
        <v>515.7930050679272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13942.800578816703</v>
      </c>
      <c r="U51" s="256">
        <f>T51/2000/8</f>
        <v>0.87142503617604394</v>
      </c>
    </row>
    <row r="52" spans="1:25" ht="47.25" customHeight="1" thickTop="1" thickBot="1" x14ac:dyDescent="0.3">
      <c r="A52" s="281" t="s">
        <v>193</v>
      </c>
      <c r="B52" s="294">
        <f>B51/1000</f>
        <v>0.7690151349726112</v>
      </c>
      <c r="C52" s="12"/>
      <c r="D52" s="281" t="s">
        <v>194</v>
      </c>
      <c r="E52" s="294">
        <f>E51/1000</f>
        <v>1.3359843147539656</v>
      </c>
      <c r="F52" s="374">
        <f>E44/E49</f>
        <v>416.16495046445294</v>
      </c>
      <c r="G52" s="281" t="s">
        <v>195</v>
      </c>
      <c r="H52" s="294">
        <f>H51/1000</f>
        <v>0.51579300506792725</v>
      </c>
      <c r="I52" s="374">
        <f>H44/H49</f>
        <v>128.50268860568298</v>
      </c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15711.133081545426</v>
      </c>
      <c r="U52" s="256">
        <f>(T52*8.34*1.4)/45000</f>
        <v>4.0765153302249857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688.90605234603106</v>
      </c>
      <c r="U53" s="256">
        <f>(T53*8.34*1.135)/45000</f>
        <v>0.14491368446449546</v>
      </c>
    </row>
    <row r="54" spans="1:25" ht="48" customHeight="1" thickTop="1" thickBot="1" x14ac:dyDescent="0.3">
      <c r="A54" s="605" t="s">
        <v>51</v>
      </c>
      <c r="B54" s="606"/>
      <c r="C54" s="606"/>
      <c r="D54" s="606"/>
      <c r="E54" s="60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2923.4171644687653</v>
      </c>
      <c r="U54" s="256">
        <f>(T54*8.34*1.029*0.03)/3300</f>
        <v>0.22807597115516287</v>
      </c>
    </row>
    <row r="55" spans="1:25" ht="45.75" customHeight="1" thickBot="1" x14ac:dyDescent="0.3">
      <c r="A55" s="610" t="s">
        <v>202</v>
      </c>
      <c r="B55" s="611"/>
      <c r="C55" s="611"/>
      <c r="D55" s="611"/>
      <c r="E55" s="61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18" t="s">
        <v>158</v>
      </c>
      <c r="S55" s="619"/>
      <c r="T55" s="258">
        <f>$D$39+$Y$39+$Z$39</f>
        <v>23362.588156080252</v>
      </c>
      <c r="U55" s="259">
        <f>(T55*1.54*8.34)/45000</f>
        <v>6.6679941609207187</v>
      </c>
    </row>
    <row r="56" spans="1:25" ht="24" thickTop="1" x14ac:dyDescent="0.25">
      <c r="A56" s="647"/>
      <c r="B56" s="64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49"/>
      <c r="B57" s="65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45"/>
      <c r="B58" s="64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46"/>
      <c r="B59" s="64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45"/>
      <c r="B60" s="64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46"/>
      <c r="B61" s="646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u7eMcssq0dlQshCUONx/i/9qgVQfcJ5W4j+5kDs52vh3Z6GnDjR3QOoqPF8vduE9ngM2EA/BzPNtDHsFZs73Og==" saltValue="aOqB5PGA6MgW2sftqgTOYQ==" spinCount="100000" sheet="1" objects="1" scenarios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52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65"/>
  <sheetViews>
    <sheetView topLeftCell="A28" zoomScale="80" zoomScaleNormal="80" workbookViewId="0">
      <selection activeCell="H51" sqref="H51"/>
    </sheetView>
  </sheetViews>
  <sheetFormatPr defaultRowHeight="15" x14ac:dyDescent="0.25"/>
  <cols>
    <col min="1" max="1" width="46.5703125" bestFit="1" customWidth="1"/>
    <col min="2" max="2" width="19.140625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19.140625" bestFit="1" customWidth="1"/>
    <col min="9" max="9" width="28.28515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5" width="16.28515625" bestFit="1" customWidth="1"/>
    <col min="16" max="16" width="15.710937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570312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23" t="s">
        <v>3</v>
      </c>
      <c r="C4" s="624"/>
      <c r="D4" s="624"/>
      <c r="E4" s="624"/>
      <c r="F4" s="624"/>
      <c r="G4" s="624"/>
      <c r="H4" s="625"/>
      <c r="I4" s="623" t="s">
        <v>4</v>
      </c>
      <c r="J4" s="624"/>
      <c r="K4" s="624"/>
      <c r="L4" s="624"/>
      <c r="M4" s="624"/>
      <c r="N4" s="625"/>
      <c r="O4" s="629" t="s">
        <v>5</v>
      </c>
      <c r="P4" s="630"/>
      <c r="Q4" s="631"/>
      <c r="R4" s="631"/>
      <c r="S4" s="631"/>
      <c r="T4" s="632"/>
      <c r="U4" s="623" t="s">
        <v>6</v>
      </c>
      <c r="V4" s="636"/>
      <c r="W4" s="636"/>
      <c r="X4" s="636"/>
      <c r="Y4" s="636"/>
      <c r="Z4" s="636"/>
      <c r="AA4" s="637"/>
      <c r="AB4" s="641" t="s">
        <v>7</v>
      </c>
      <c r="AC4" s="643" t="s">
        <v>8</v>
      </c>
      <c r="AD4" s="608" t="s">
        <v>237</v>
      </c>
      <c r="AE4" s="608" t="s">
        <v>236</v>
      </c>
      <c r="AF4" s="608" t="s">
        <v>27</v>
      </c>
      <c r="AG4" s="608" t="s">
        <v>31</v>
      </c>
      <c r="AH4" s="608" t="s">
        <v>32</v>
      </c>
      <c r="AI4" s="608" t="s">
        <v>33</v>
      </c>
      <c r="AJ4" s="641" t="s">
        <v>175</v>
      </c>
      <c r="AK4" s="641" t="s">
        <v>176</v>
      </c>
      <c r="AL4" s="641" t="s">
        <v>177</v>
      </c>
      <c r="AM4" s="641" t="s">
        <v>178</v>
      </c>
      <c r="AN4" s="641" t="s">
        <v>179</v>
      </c>
      <c r="AO4" s="641" t="s">
        <v>180</v>
      </c>
      <c r="AP4" s="641" t="s">
        <v>181</v>
      </c>
      <c r="AQ4" s="641" t="s">
        <v>184</v>
      </c>
      <c r="AR4" s="641" t="s">
        <v>182</v>
      </c>
      <c r="AS4" s="641" t="s">
        <v>183</v>
      </c>
      <c r="AV4" t="s">
        <v>171</v>
      </c>
      <c r="AW4" s="338" t="s">
        <v>209</v>
      </c>
    </row>
    <row r="5" spans="1:49" ht="30" customHeight="1" thickBot="1" x14ac:dyDescent="0.3">
      <c r="A5" s="13"/>
      <c r="B5" s="626"/>
      <c r="C5" s="627"/>
      <c r="D5" s="627"/>
      <c r="E5" s="627"/>
      <c r="F5" s="627"/>
      <c r="G5" s="627"/>
      <c r="H5" s="628"/>
      <c r="I5" s="626"/>
      <c r="J5" s="627"/>
      <c r="K5" s="627"/>
      <c r="L5" s="627"/>
      <c r="M5" s="627"/>
      <c r="N5" s="628"/>
      <c r="O5" s="633"/>
      <c r="P5" s="634"/>
      <c r="Q5" s="634"/>
      <c r="R5" s="634"/>
      <c r="S5" s="634"/>
      <c r="T5" s="635"/>
      <c r="U5" s="638"/>
      <c r="V5" s="639"/>
      <c r="W5" s="639"/>
      <c r="X5" s="639"/>
      <c r="Y5" s="639"/>
      <c r="Z5" s="639"/>
      <c r="AA5" s="640"/>
      <c r="AB5" s="642"/>
      <c r="AC5" s="644"/>
      <c r="AD5" s="609"/>
      <c r="AE5" s="609"/>
      <c r="AF5" s="622"/>
      <c r="AG5" s="622"/>
      <c r="AH5" s="622"/>
      <c r="AI5" s="622"/>
      <c r="AJ5" s="609"/>
      <c r="AK5" s="609"/>
      <c r="AL5" s="609"/>
      <c r="AM5" s="609"/>
      <c r="AN5" s="609"/>
      <c r="AO5" s="609"/>
      <c r="AP5" s="609"/>
      <c r="AQ5" s="609"/>
      <c r="AR5" s="609"/>
      <c r="AS5" s="609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399" t="s">
        <v>28</v>
      </c>
      <c r="AE7" s="399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  <c r="AR7" s="22" t="s">
        <v>172</v>
      </c>
      <c r="AS7" s="22" t="s">
        <v>172</v>
      </c>
    </row>
    <row r="8" spans="1:49" x14ac:dyDescent="0.25">
      <c r="A8" s="11">
        <v>42856</v>
      </c>
      <c r="B8" s="49"/>
      <c r="C8" s="50">
        <v>55.871208381652757</v>
      </c>
      <c r="D8" s="50">
        <v>560.24951032002753</v>
      </c>
      <c r="E8" s="50">
        <v>16.072523440917312</v>
      </c>
      <c r="F8" s="50">
        <v>0</v>
      </c>
      <c r="G8" s="50">
        <v>1083.9629642486591</v>
      </c>
      <c r="H8" s="51">
        <v>22.848469495773358</v>
      </c>
      <c r="I8" s="49">
        <v>103.43547761440267</v>
      </c>
      <c r="J8" s="50">
        <v>407.28214235305768</v>
      </c>
      <c r="K8" s="50">
        <v>22.482170782486648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221.26504798470106</v>
      </c>
      <c r="V8" s="54">
        <v>117.12422636875068</v>
      </c>
      <c r="W8" s="54">
        <v>29.775998245645376</v>
      </c>
      <c r="X8" s="54">
        <v>15.761598095328766</v>
      </c>
      <c r="Y8" s="54">
        <v>141.73200677464473</v>
      </c>
      <c r="Z8" s="54">
        <v>75.024283303518359</v>
      </c>
      <c r="AA8" s="55">
        <v>0</v>
      </c>
      <c r="AB8" s="57">
        <v>71.021332550048015</v>
      </c>
      <c r="AC8" s="57">
        <v>0</v>
      </c>
      <c r="AD8" s="400">
        <v>8.8649828146738159</v>
      </c>
      <c r="AE8" s="400">
        <v>4.5211857242349209</v>
      </c>
      <c r="AF8" s="57">
        <v>12.973484307527542</v>
      </c>
      <c r="AG8" s="58">
        <v>8.3475121555605334</v>
      </c>
      <c r="AH8" s="58">
        <v>4.4186640060357423</v>
      </c>
      <c r="AI8" s="58">
        <v>0.65387724953003978</v>
      </c>
      <c r="AJ8" s="57">
        <v>381.74101140499113</v>
      </c>
      <c r="AK8" s="57">
        <v>1215.3675429026287</v>
      </c>
      <c r="AL8" s="57">
        <v>2855.8396228790289</v>
      </c>
      <c r="AM8" s="57">
        <v>541.44652843475342</v>
      </c>
      <c r="AN8" s="57">
        <v>3189.6655357360842</v>
      </c>
      <c r="AO8" s="57">
        <v>2455.6220553080243</v>
      </c>
      <c r="AP8" s="57">
        <v>644.82733154296875</v>
      </c>
      <c r="AQ8" s="57">
        <v>1069.4271240234375</v>
      </c>
      <c r="AR8" s="57">
        <v>378.68137741088873</v>
      </c>
      <c r="AS8" s="57">
        <v>653.50417238871273</v>
      </c>
    </row>
    <row r="9" spans="1:49" x14ac:dyDescent="0.25">
      <c r="A9" s="11">
        <v>42857</v>
      </c>
      <c r="B9" s="59"/>
      <c r="C9" s="60">
        <v>55.722465387979952</v>
      </c>
      <c r="D9" s="60">
        <v>572.18883247375425</v>
      </c>
      <c r="E9" s="60">
        <v>16.128571624557143</v>
      </c>
      <c r="F9" s="60">
        <v>0</v>
      </c>
      <c r="G9" s="60">
        <v>1039.1840204238879</v>
      </c>
      <c r="H9" s="61">
        <v>22.558517306049723</v>
      </c>
      <c r="I9" s="59">
        <v>103.08408949375161</v>
      </c>
      <c r="J9" s="60">
        <v>406.82797654469749</v>
      </c>
      <c r="K9" s="60">
        <v>22.557263826330534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234.46378049222102</v>
      </c>
      <c r="V9" s="62">
        <v>124.13182568648934</v>
      </c>
      <c r="W9" s="62">
        <v>29.785972510588721</v>
      </c>
      <c r="X9" s="62">
        <v>15.769545043694428</v>
      </c>
      <c r="Y9" s="66">
        <v>143.23066695335086</v>
      </c>
      <c r="Z9" s="66">
        <v>75.830408201589336</v>
      </c>
      <c r="AA9" s="67">
        <v>0</v>
      </c>
      <c r="AB9" s="68">
        <v>66.244874429702151</v>
      </c>
      <c r="AC9" s="69">
        <v>0</v>
      </c>
      <c r="AD9" s="401">
        <v>8.8563891183492771</v>
      </c>
      <c r="AE9" s="401">
        <v>4.486957688275508</v>
      </c>
      <c r="AF9" s="69">
        <v>12.86872403191197</v>
      </c>
      <c r="AG9" s="68">
        <v>8.3348630834578614</v>
      </c>
      <c r="AH9" s="68">
        <v>4.4127147025630808</v>
      </c>
      <c r="AI9" s="68">
        <v>0.65383896637978667</v>
      </c>
      <c r="AJ9" s="69">
        <v>389.20819913546245</v>
      </c>
      <c r="AK9" s="69">
        <v>1222.2937520345051</v>
      </c>
      <c r="AL9" s="69">
        <v>2842.8233573913581</v>
      </c>
      <c r="AM9" s="69">
        <v>540.56538613637281</v>
      </c>
      <c r="AN9" s="69">
        <v>3041.1926862080891</v>
      </c>
      <c r="AO9" s="69">
        <v>2408.2724891662597</v>
      </c>
      <c r="AP9" s="69">
        <v>644.82733154296875</v>
      </c>
      <c r="AQ9" s="69">
        <v>1069.4271240234375</v>
      </c>
      <c r="AR9" s="69">
        <v>384.97939594586694</v>
      </c>
      <c r="AS9" s="69">
        <v>661.38133207956946</v>
      </c>
    </row>
    <row r="10" spans="1:49" x14ac:dyDescent="0.25">
      <c r="A10" s="11">
        <v>42858</v>
      </c>
      <c r="B10" s="59"/>
      <c r="C10" s="60">
        <v>54.541625269254325</v>
      </c>
      <c r="D10" s="60">
        <v>578.11190131505236</v>
      </c>
      <c r="E10" s="60">
        <v>16.206516484419481</v>
      </c>
      <c r="F10" s="60">
        <v>0</v>
      </c>
      <c r="G10" s="60">
        <v>1104.7600126266498</v>
      </c>
      <c r="H10" s="61">
        <v>22.580847341815655</v>
      </c>
      <c r="I10" s="59">
        <v>103.11114130814866</v>
      </c>
      <c r="J10" s="60">
        <v>407.18480250040727</v>
      </c>
      <c r="K10" s="60">
        <v>22.53132736782235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224.26175944603776</v>
      </c>
      <c r="V10" s="62">
        <v>118.73410682085382</v>
      </c>
      <c r="W10" s="62">
        <v>29.35570969986491</v>
      </c>
      <c r="X10" s="62">
        <v>15.542212724610446</v>
      </c>
      <c r="Y10" s="66">
        <v>134.15923389449449</v>
      </c>
      <c r="Z10" s="66">
        <v>71.029839628390818</v>
      </c>
      <c r="AA10" s="67">
        <v>0</v>
      </c>
      <c r="AB10" s="68">
        <v>66.028910621005807</v>
      </c>
      <c r="AC10" s="69">
        <v>0</v>
      </c>
      <c r="AD10" s="401">
        <v>8.8636745957988197</v>
      </c>
      <c r="AE10" s="401">
        <v>4.4862390731174395</v>
      </c>
      <c r="AF10" s="69">
        <v>12.751640586720571</v>
      </c>
      <c r="AG10" s="68">
        <v>8.231938153688187</v>
      </c>
      <c r="AH10" s="68">
        <v>4.3583526076716703</v>
      </c>
      <c r="AI10" s="68">
        <v>0.65383225135295198</v>
      </c>
      <c r="AJ10" s="69">
        <v>398.36520781517032</v>
      </c>
      <c r="AK10" s="69">
        <v>1237.7962146123252</v>
      </c>
      <c r="AL10" s="69">
        <v>2861.4220678965253</v>
      </c>
      <c r="AM10" s="69">
        <v>547.20851869583134</v>
      </c>
      <c r="AN10" s="69">
        <v>3172.0607500712076</v>
      </c>
      <c r="AO10" s="69">
        <v>2401.7278888702394</v>
      </c>
      <c r="AP10" s="69">
        <v>644.82733154296875</v>
      </c>
      <c r="AQ10" s="69">
        <v>1069.4271240234375</v>
      </c>
      <c r="AR10" s="69">
        <v>386.09736646016444</v>
      </c>
      <c r="AS10" s="69">
        <v>662.93476327260316</v>
      </c>
    </row>
    <row r="11" spans="1:49" x14ac:dyDescent="0.25">
      <c r="A11" s="11">
        <v>42859</v>
      </c>
      <c r="B11" s="59"/>
      <c r="C11" s="60">
        <v>55.559602069854328</v>
      </c>
      <c r="D11" s="60">
        <v>590.26248868306436</v>
      </c>
      <c r="E11" s="60">
        <v>16.288233510653164</v>
      </c>
      <c r="F11" s="60">
        <v>0</v>
      </c>
      <c r="G11" s="60">
        <v>1129.338643360137</v>
      </c>
      <c r="H11" s="61">
        <v>22.797477551301316</v>
      </c>
      <c r="I11" s="59">
        <v>105.32293647925057</v>
      </c>
      <c r="J11" s="60">
        <v>417.14538002014166</v>
      </c>
      <c r="K11" s="60">
        <v>22.617158987124775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225.99972855228918</v>
      </c>
      <c r="V11" s="62">
        <v>119.60327007526831</v>
      </c>
      <c r="W11" s="62">
        <v>29.348672884698775</v>
      </c>
      <c r="X11" s="62">
        <v>15.531864891453546</v>
      </c>
      <c r="Y11" s="66">
        <v>139.91106160374332</v>
      </c>
      <c r="Z11" s="66">
        <v>74.043542417965071</v>
      </c>
      <c r="AA11" s="67">
        <v>0</v>
      </c>
      <c r="AB11" s="68">
        <v>67.420403207673772</v>
      </c>
      <c r="AC11" s="69">
        <v>0</v>
      </c>
      <c r="AD11" s="401">
        <v>9.0521655847569669</v>
      </c>
      <c r="AE11" s="401">
        <v>4.5409923275567943</v>
      </c>
      <c r="AF11" s="69">
        <v>12.830823259883468</v>
      </c>
      <c r="AG11" s="68">
        <v>8.2817081544167728</v>
      </c>
      <c r="AH11" s="68">
        <v>4.3828343663168896</v>
      </c>
      <c r="AI11" s="68">
        <v>0.65392872587844653</v>
      </c>
      <c r="AJ11" s="69">
        <v>327.45077230135598</v>
      </c>
      <c r="AK11" s="69">
        <v>1157.207884724935</v>
      </c>
      <c r="AL11" s="69">
        <v>2853.5678133646647</v>
      </c>
      <c r="AM11" s="69">
        <v>555.47800525029493</v>
      </c>
      <c r="AN11" s="69">
        <v>3105.9545263926188</v>
      </c>
      <c r="AO11" s="69">
        <v>2577.445699564616</v>
      </c>
      <c r="AP11" s="69">
        <v>644.82733154296875</v>
      </c>
      <c r="AQ11" s="69">
        <v>1069.4271240234375</v>
      </c>
      <c r="AR11" s="69">
        <v>383.09987802505492</v>
      </c>
      <c r="AS11" s="69">
        <v>744.19221261342364</v>
      </c>
    </row>
    <row r="12" spans="1:49" x14ac:dyDescent="0.25">
      <c r="A12" s="11">
        <v>42860</v>
      </c>
      <c r="B12" s="59"/>
      <c r="C12" s="60">
        <v>57.6510284821196</v>
      </c>
      <c r="D12" s="60">
        <v>609.24899816513175</v>
      </c>
      <c r="E12" s="60">
        <v>16.347468989590755</v>
      </c>
      <c r="F12" s="60">
        <v>0</v>
      </c>
      <c r="G12" s="60">
        <v>1251.1894179026322</v>
      </c>
      <c r="H12" s="61">
        <v>23.62299608588221</v>
      </c>
      <c r="I12" s="59">
        <v>112.78103433450059</v>
      </c>
      <c r="J12" s="60">
        <v>482.98654877344728</v>
      </c>
      <c r="K12" s="60">
        <v>26.603051761786134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264.34191226159481</v>
      </c>
      <c r="V12" s="62">
        <v>119.91626401217786</v>
      </c>
      <c r="W12" s="62">
        <v>32.658021892379665</v>
      </c>
      <c r="X12" s="62">
        <v>14.815009628463891</v>
      </c>
      <c r="Y12" s="66">
        <v>164.69937848224549</v>
      </c>
      <c r="Z12" s="66">
        <v>74.714350001272848</v>
      </c>
      <c r="AA12" s="67">
        <v>0</v>
      </c>
      <c r="AB12" s="68">
        <v>75.357782623503255</v>
      </c>
      <c r="AC12" s="69">
        <v>0</v>
      </c>
      <c r="AD12" s="401">
        <v>10.513696120111486</v>
      </c>
      <c r="AE12" s="401">
        <v>4.6570440759559171</v>
      </c>
      <c r="AF12" s="69">
        <v>14.258462809854077</v>
      </c>
      <c r="AG12" s="68">
        <v>9.6920869212840977</v>
      </c>
      <c r="AH12" s="68">
        <v>4.3967256048731294</v>
      </c>
      <c r="AI12" s="68">
        <v>0.68792787918000986</v>
      </c>
      <c r="AJ12" s="69">
        <v>328.50618352890012</v>
      </c>
      <c r="AK12" s="69">
        <v>1155.6958219528199</v>
      </c>
      <c r="AL12" s="69">
        <v>2883.6463907877605</v>
      </c>
      <c r="AM12" s="69">
        <v>567.88680410385132</v>
      </c>
      <c r="AN12" s="69">
        <v>3444.8240374247239</v>
      </c>
      <c r="AO12" s="69">
        <v>2436.8322397867837</v>
      </c>
      <c r="AP12" s="69">
        <v>644.82733154296875</v>
      </c>
      <c r="AQ12" s="69">
        <v>1069.4271240234375</v>
      </c>
      <c r="AR12" s="69">
        <v>390.07620881398509</v>
      </c>
      <c r="AS12" s="69">
        <v>798.89120918909703</v>
      </c>
    </row>
    <row r="13" spans="1:49" x14ac:dyDescent="0.25">
      <c r="A13" s="11">
        <v>42861</v>
      </c>
      <c r="B13" s="59"/>
      <c r="C13" s="60">
        <v>57.022831149896554</v>
      </c>
      <c r="D13" s="60">
        <v>627.62019303639806</v>
      </c>
      <c r="E13" s="60">
        <v>16.190332620839243</v>
      </c>
      <c r="F13" s="60">
        <v>0</v>
      </c>
      <c r="G13" s="60">
        <v>1356.4344397226942</v>
      </c>
      <c r="H13" s="61">
        <v>22.924270808696775</v>
      </c>
      <c r="I13" s="59">
        <v>116.06501017411551</v>
      </c>
      <c r="J13" s="60">
        <v>523.18259588877311</v>
      </c>
      <c r="K13" s="60">
        <v>28.873183933893863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305.63209099529871</v>
      </c>
      <c r="V13" s="62">
        <v>124.99305968524627</v>
      </c>
      <c r="W13" s="62">
        <v>37.116729067260998</v>
      </c>
      <c r="X13" s="62">
        <v>15.179471228028316</v>
      </c>
      <c r="Y13" s="66">
        <v>184.46627369837304</v>
      </c>
      <c r="Z13" s="66">
        <v>75.440389401551357</v>
      </c>
      <c r="AA13" s="67">
        <v>0</v>
      </c>
      <c r="AB13" s="68">
        <v>79.710206206639882</v>
      </c>
      <c r="AC13" s="69">
        <v>0</v>
      </c>
      <c r="AD13" s="401">
        <v>11.388593701264131</v>
      </c>
      <c r="AE13" s="401">
        <v>4.6135282523568968</v>
      </c>
      <c r="AF13" s="69">
        <v>15.688671506775759</v>
      </c>
      <c r="AG13" s="68">
        <v>11.00365082263848</v>
      </c>
      <c r="AH13" s="68">
        <v>4.5001163966476829</v>
      </c>
      <c r="AI13" s="68">
        <v>0.7097404564324411</v>
      </c>
      <c r="AJ13" s="69">
        <v>272.69549427032473</v>
      </c>
      <c r="AK13" s="69">
        <v>1107.5629378636679</v>
      </c>
      <c r="AL13" s="69">
        <v>2901.1504744211825</v>
      </c>
      <c r="AM13" s="69">
        <v>561.17441835403451</v>
      </c>
      <c r="AN13" s="69">
        <v>2746.4385279337566</v>
      </c>
      <c r="AO13" s="69">
        <v>2370.3822903951009</v>
      </c>
      <c r="AP13" s="69">
        <v>644.82733154296875</v>
      </c>
      <c r="AQ13" s="69">
        <v>1069.4271240234375</v>
      </c>
      <c r="AR13" s="69">
        <v>393.09362827936798</v>
      </c>
      <c r="AS13" s="69">
        <v>765.72929455439271</v>
      </c>
    </row>
    <row r="14" spans="1:49" x14ac:dyDescent="0.25">
      <c r="A14" s="11">
        <v>42862</v>
      </c>
      <c r="B14" s="59"/>
      <c r="C14" s="60">
        <v>56.033661397297649</v>
      </c>
      <c r="D14" s="60">
        <v>648.62189900080193</v>
      </c>
      <c r="E14" s="60">
        <v>15.844478307167689</v>
      </c>
      <c r="F14" s="60">
        <v>0</v>
      </c>
      <c r="G14" s="60">
        <v>1484.3559247970595</v>
      </c>
      <c r="H14" s="61">
        <v>22.673823607961346</v>
      </c>
      <c r="I14" s="59">
        <v>118.84675197601317</v>
      </c>
      <c r="J14" s="60">
        <v>544.69623568852694</v>
      </c>
      <c r="K14" s="60">
        <v>30.176875907182712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310.25592597718315</v>
      </c>
      <c r="V14" s="62">
        <v>121.40232803163255</v>
      </c>
      <c r="W14" s="62">
        <v>38.004180277559776</v>
      </c>
      <c r="X14" s="62">
        <v>14.870935812419971</v>
      </c>
      <c r="Y14" s="66">
        <v>189.74029090942992</v>
      </c>
      <c r="Z14" s="66">
        <v>74.244876919766014</v>
      </c>
      <c r="AA14" s="67">
        <v>0</v>
      </c>
      <c r="AB14" s="68">
        <v>81.461214934455327</v>
      </c>
      <c r="AC14" s="69">
        <v>0</v>
      </c>
      <c r="AD14" s="401">
        <v>11.857824619337265</v>
      </c>
      <c r="AE14" s="401">
        <v>4.5210129486946</v>
      </c>
      <c r="AF14" s="69">
        <v>16.057884744140839</v>
      </c>
      <c r="AG14" s="68">
        <v>11.41017127920192</v>
      </c>
      <c r="AH14" s="68">
        <v>4.4647700190476165</v>
      </c>
      <c r="AI14" s="68">
        <v>0.71875360449112791</v>
      </c>
      <c r="AJ14" s="69">
        <v>292.47351922988889</v>
      </c>
      <c r="AK14" s="69">
        <v>1119.2378751118977</v>
      </c>
      <c r="AL14" s="69">
        <v>2885.5871278127038</v>
      </c>
      <c r="AM14" s="69">
        <v>551.80261036554987</v>
      </c>
      <c r="AN14" s="69">
        <v>2865.6711269378657</v>
      </c>
      <c r="AO14" s="69">
        <v>2365.2114462534587</v>
      </c>
      <c r="AP14" s="69">
        <v>644.82733154296875</v>
      </c>
      <c r="AQ14" s="69">
        <v>1069.4271240234375</v>
      </c>
      <c r="AR14" s="69">
        <v>394.37225303649899</v>
      </c>
      <c r="AS14" s="69">
        <v>796.85407629013059</v>
      </c>
    </row>
    <row r="15" spans="1:49" x14ac:dyDescent="0.25">
      <c r="A15" s="11">
        <v>42863</v>
      </c>
      <c r="B15" s="59"/>
      <c r="C15" s="60">
        <v>55.441665017605033</v>
      </c>
      <c r="D15" s="60">
        <v>642.632896963755</v>
      </c>
      <c r="E15" s="60">
        <v>16.029855525493581</v>
      </c>
      <c r="F15" s="60">
        <v>0</v>
      </c>
      <c r="G15" s="60">
        <v>1522.7037986755324</v>
      </c>
      <c r="H15" s="61">
        <v>22.474190989136705</v>
      </c>
      <c r="I15" s="59">
        <v>118.87085295518243</v>
      </c>
      <c r="J15" s="60">
        <v>544.68994277318313</v>
      </c>
      <c r="K15" s="60">
        <v>30.190545022487591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304.26925837984265</v>
      </c>
      <c r="V15" s="62">
        <v>116.18722505843387</v>
      </c>
      <c r="W15" s="62">
        <v>37.344747588805809</v>
      </c>
      <c r="X15" s="62">
        <v>14.260338411954525</v>
      </c>
      <c r="Y15" s="66">
        <v>188.14447791051705</v>
      </c>
      <c r="Z15" s="66">
        <v>71.844210995516647</v>
      </c>
      <c r="AA15" s="67">
        <v>0</v>
      </c>
      <c r="AB15" s="68">
        <v>81.448092767927974</v>
      </c>
      <c r="AC15" s="69">
        <v>0</v>
      </c>
      <c r="AD15" s="401">
        <v>11.856481887606968</v>
      </c>
      <c r="AE15" s="401">
        <v>4.500523753706867</v>
      </c>
      <c r="AF15" s="69">
        <v>15.788753313488423</v>
      </c>
      <c r="AG15" s="68">
        <v>11.291144130236443</v>
      </c>
      <c r="AH15" s="68">
        <v>4.311597928796564</v>
      </c>
      <c r="AI15" s="68">
        <v>0.72366408978091001</v>
      </c>
      <c r="AJ15" s="69">
        <v>357.55674457550049</v>
      </c>
      <c r="AK15" s="69">
        <v>1180.5242956161496</v>
      </c>
      <c r="AL15" s="69">
        <v>2861.992885971069</v>
      </c>
      <c r="AM15" s="69">
        <v>550.21148567199714</v>
      </c>
      <c r="AN15" s="69">
        <v>2774.1059844970705</v>
      </c>
      <c r="AO15" s="69">
        <v>2375.2791653951008</v>
      </c>
      <c r="AP15" s="69">
        <v>644.82733154296875</v>
      </c>
      <c r="AQ15" s="69">
        <v>1069.4271240234375</v>
      </c>
      <c r="AR15" s="69">
        <v>380.6793742974599</v>
      </c>
      <c r="AS15" s="69">
        <v>700.47572046915673</v>
      </c>
    </row>
    <row r="16" spans="1:49" x14ac:dyDescent="0.25">
      <c r="A16" s="11">
        <v>42864</v>
      </c>
      <c r="B16" s="49"/>
      <c r="C16" s="50">
        <v>56.104930375019556</v>
      </c>
      <c r="D16" s="50">
        <v>635.20923604964969</v>
      </c>
      <c r="E16" s="50">
        <v>16.341219441592628</v>
      </c>
      <c r="F16" s="50">
        <v>0</v>
      </c>
      <c r="G16" s="50">
        <v>1396.7530045827243</v>
      </c>
      <c r="H16" s="51">
        <v>22.857744120558085</v>
      </c>
      <c r="I16" s="49">
        <v>117.49411269823699</v>
      </c>
      <c r="J16" s="50">
        <v>538.72464033762606</v>
      </c>
      <c r="K16" s="50">
        <v>29.673286020755722</v>
      </c>
      <c r="L16" s="6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299.06148761658119</v>
      </c>
      <c r="V16" s="66">
        <v>121.07642358659149</v>
      </c>
      <c r="W16" s="62">
        <v>36.259429548314813</v>
      </c>
      <c r="X16" s="62">
        <v>14.679797408847394</v>
      </c>
      <c r="Y16" s="66">
        <v>184.03680768530489</v>
      </c>
      <c r="Z16" s="66">
        <v>74.508151017418456</v>
      </c>
      <c r="AA16" s="67">
        <v>0</v>
      </c>
      <c r="AB16" s="68">
        <v>80.684831100040853</v>
      </c>
      <c r="AC16" s="69">
        <v>0</v>
      </c>
      <c r="AD16" s="401">
        <v>11.722428831137528</v>
      </c>
      <c r="AE16" s="401">
        <v>4.4963551000761672</v>
      </c>
      <c r="AF16" s="69">
        <v>15.552786324421568</v>
      </c>
      <c r="AG16" s="68">
        <v>10.941695008566263</v>
      </c>
      <c r="AH16" s="68">
        <v>4.4297957258573177</v>
      </c>
      <c r="AI16" s="68">
        <v>0.71181742861562269</v>
      </c>
      <c r="AJ16" s="69">
        <v>380.9553069114686</v>
      </c>
      <c r="AK16" s="69">
        <v>1200.3416924794517</v>
      </c>
      <c r="AL16" s="69">
        <v>2875.790451558431</v>
      </c>
      <c r="AM16" s="69">
        <v>554.54793144861867</v>
      </c>
      <c r="AN16" s="69">
        <v>3084.4128499348953</v>
      </c>
      <c r="AO16" s="69">
        <v>2399.0096825917562</v>
      </c>
      <c r="AP16" s="69">
        <v>644.82733154296875</v>
      </c>
      <c r="AQ16" s="69">
        <v>1069.4271240234375</v>
      </c>
      <c r="AR16" s="69">
        <v>386.89333969751993</v>
      </c>
      <c r="AS16" s="69">
        <v>771.84437640508031</v>
      </c>
    </row>
    <row r="17" spans="1:45" x14ac:dyDescent="0.25">
      <c r="A17" s="11">
        <v>42865</v>
      </c>
      <c r="B17" s="59"/>
      <c r="C17" s="60">
        <v>55.6269076784452</v>
      </c>
      <c r="D17" s="60">
        <v>634.407861646014</v>
      </c>
      <c r="E17" s="60">
        <v>16.308805154760652</v>
      </c>
      <c r="F17" s="60">
        <v>0</v>
      </c>
      <c r="G17" s="60">
        <v>1290.2932994842561</v>
      </c>
      <c r="H17" s="61">
        <v>22.714203768968559</v>
      </c>
      <c r="I17" s="59">
        <v>113.20835820039113</v>
      </c>
      <c r="J17" s="60">
        <v>504.27442935307846</v>
      </c>
      <c r="K17" s="60">
        <v>27.966047269105893</v>
      </c>
      <c r="L17" s="60">
        <v>0</v>
      </c>
      <c r="M17" s="6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284.3908687129433</v>
      </c>
      <c r="V17" s="62">
        <v>121.69643073994308</v>
      </c>
      <c r="W17" s="62">
        <v>34.783271905011979</v>
      </c>
      <c r="X17" s="62">
        <v>14.88444428421356</v>
      </c>
      <c r="Y17" s="66">
        <v>180.19384996501114</v>
      </c>
      <c r="Z17" s="66">
        <v>77.108482706472472</v>
      </c>
      <c r="AA17" s="67">
        <v>0</v>
      </c>
      <c r="AB17" s="68">
        <v>76.937648937436819</v>
      </c>
      <c r="AC17" s="69">
        <v>0</v>
      </c>
      <c r="AD17" s="401">
        <v>10.97662515293724</v>
      </c>
      <c r="AE17" s="401">
        <v>4.4886423925126628</v>
      </c>
      <c r="AF17" s="69">
        <v>15.021122999323719</v>
      </c>
      <c r="AG17" s="68">
        <v>10.403178790647724</v>
      </c>
      <c r="AH17" s="68">
        <v>4.4517242515588746</v>
      </c>
      <c r="AI17" s="68">
        <v>0.70031953497707922</v>
      </c>
      <c r="AJ17" s="69">
        <v>469.93187548319486</v>
      </c>
      <c r="AK17" s="69">
        <v>1309.9601858139035</v>
      </c>
      <c r="AL17" s="69">
        <v>2873.8489391326902</v>
      </c>
      <c r="AM17" s="69">
        <v>551.09137550989783</v>
      </c>
      <c r="AN17" s="69">
        <v>2815.1363023122149</v>
      </c>
      <c r="AO17" s="69">
        <v>2353.5547302246091</v>
      </c>
      <c r="AP17" s="69">
        <v>644.82733154296875</v>
      </c>
      <c r="AQ17" s="69">
        <v>1069.4271240234375</v>
      </c>
      <c r="AR17" s="69">
        <v>388.11261334419254</v>
      </c>
      <c r="AS17" s="69">
        <v>615.58245439529423</v>
      </c>
    </row>
    <row r="18" spans="1:45" x14ac:dyDescent="0.25">
      <c r="A18" s="11">
        <v>42866</v>
      </c>
      <c r="B18" s="59"/>
      <c r="C18" s="60">
        <v>55.46321300665528</v>
      </c>
      <c r="D18" s="60">
        <v>634.25070009231479</v>
      </c>
      <c r="E18" s="60">
        <v>16.260696958998814</v>
      </c>
      <c r="F18" s="60">
        <v>0</v>
      </c>
      <c r="G18" s="60">
        <v>1219.4604155222598</v>
      </c>
      <c r="H18" s="61">
        <v>22.474083329240493</v>
      </c>
      <c r="I18" s="59">
        <v>112.51791066328678</v>
      </c>
      <c r="J18" s="60">
        <v>498.89641663233482</v>
      </c>
      <c r="K18" s="60">
        <v>27.362144865592313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286.9885417019957</v>
      </c>
      <c r="V18" s="62">
        <v>123.00544536024468</v>
      </c>
      <c r="W18" s="62">
        <v>34.314450164201638</v>
      </c>
      <c r="X18" s="62">
        <v>14.70743117375892</v>
      </c>
      <c r="Y18" s="66">
        <v>179.30736006156806</v>
      </c>
      <c r="Z18" s="66">
        <v>76.852481809692932</v>
      </c>
      <c r="AA18" s="67">
        <v>0</v>
      </c>
      <c r="AB18" s="68">
        <v>76.265177117454044</v>
      </c>
      <c r="AC18" s="69">
        <v>0</v>
      </c>
      <c r="AD18" s="401">
        <v>10.859560076431265</v>
      </c>
      <c r="AE18" s="401">
        <v>4.4890433176095694</v>
      </c>
      <c r="AF18" s="69">
        <v>14.978636236323236</v>
      </c>
      <c r="AG18" s="68">
        <v>10.370173404317244</v>
      </c>
      <c r="AH18" s="68">
        <v>4.4447342409424726</v>
      </c>
      <c r="AI18" s="68">
        <v>0.69998231866368454</v>
      </c>
      <c r="AJ18" s="69">
        <v>387.16456236839292</v>
      </c>
      <c r="AK18" s="69">
        <v>1219.7462265650433</v>
      </c>
      <c r="AL18" s="69">
        <v>2880.5312381744384</v>
      </c>
      <c r="AM18" s="69">
        <v>552.72041753133158</v>
      </c>
      <c r="AN18" s="69">
        <v>2920.0420796712237</v>
      </c>
      <c r="AO18" s="69">
        <v>2476.132902526856</v>
      </c>
      <c r="AP18" s="69">
        <v>644.82733154296875</v>
      </c>
      <c r="AQ18" s="69">
        <v>1069.4271240234375</v>
      </c>
      <c r="AR18" s="69">
        <v>389.99101576805117</v>
      </c>
      <c r="AS18" s="69">
        <v>611.61028626759844</v>
      </c>
    </row>
    <row r="19" spans="1:45" x14ac:dyDescent="0.25">
      <c r="A19" s="11">
        <v>42867</v>
      </c>
      <c r="B19" s="59"/>
      <c r="C19" s="60">
        <v>54.364010508854996</v>
      </c>
      <c r="D19" s="60">
        <v>667.44644517898769</v>
      </c>
      <c r="E19" s="60">
        <v>16.312905513743544</v>
      </c>
      <c r="F19" s="60">
        <v>0</v>
      </c>
      <c r="G19" s="60">
        <v>1345.3652914683003</v>
      </c>
      <c r="H19" s="61">
        <v>22.650334486365331</v>
      </c>
      <c r="I19" s="59">
        <v>113.4241804122926</v>
      </c>
      <c r="J19" s="60">
        <v>511.50189005533878</v>
      </c>
      <c r="K19" s="60">
        <v>27.898432832956388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297.3099343098616</v>
      </c>
      <c r="V19" s="62">
        <v>123.74410091929099</v>
      </c>
      <c r="W19" s="62">
        <v>36.122459316112106</v>
      </c>
      <c r="X19" s="62">
        <v>15.034617869200794</v>
      </c>
      <c r="Y19" s="66">
        <v>184.17535957944798</v>
      </c>
      <c r="Z19" s="66">
        <v>76.656080583210993</v>
      </c>
      <c r="AA19" s="67">
        <v>0</v>
      </c>
      <c r="AB19" s="68">
        <v>77.615296872457023</v>
      </c>
      <c r="AC19" s="69">
        <v>0</v>
      </c>
      <c r="AD19" s="401">
        <v>11.134814979342917</v>
      </c>
      <c r="AE19" s="401">
        <v>4.4887025789109334</v>
      </c>
      <c r="AF19" s="69">
        <v>15.474261890517372</v>
      </c>
      <c r="AG19" s="68">
        <v>10.811310674298696</v>
      </c>
      <c r="AH19" s="68">
        <v>4.4998022762196372</v>
      </c>
      <c r="AI19" s="68">
        <v>0.70610874005293633</v>
      </c>
      <c r="AJ19" s="69">
        <v>357.08433136940005</v>
      </c>
      <c r="AK19" s="69">
        <v>1167.0380685170494</v>
      </c>
      <c r="AL19" s="69">
        <v>2900.9243865966801</v>
      </c>
      <c r="AM19" s="69">
        <v>546.98754418690999</v>
      </c>
      <c r="AN19" s="69">
        <v>3186.1061353047689</v>
      </c>
      <c r="AO19" s="69">
        <v>2380.6819895426434</v>
      </c>
      <c r="AP19" s="69">
        <v>654.66015033721919</v>
      </c>
      <c r="AQ19" s="69">
        <v>1212.0786062876382</v>
      </c>
      <c r="AR19" s="69">
        <v>394.51440348625181</v>
      </c>
      <c r="AS19" s="69">
        <v>707.42446835835767</v>
      </c>
    </row>
    <row r="20" spans="1:45" x14ac:dyDescent="0.25">
      <c r="A20" s="11">
        <v>42868</v>
      </c>
      <c r="B20" s="59"/>
      <c r="C20" s="60">
        <v>55.16268281936614</v>
      </c>
      <c r="D20" s="60">
        <v>679.54579811095948</v>
      </c>
      <c r="E20" s="60">
        <v>16.335212406019341</v>
      </c>
      <c r="F20" s="60">
        <v>0</v>
      </c>
      <c r="G20" s="60">
        <v>1455.9897359212218</v>
      </c>
      <c r="H20" s="61">
        <v>22.925127087036788</v>
      </c>
      <c r="I20" s="59">
        <v>119.7115478515625</v>
      </c>
      <c r="J20" s="60">
        <v>566.54713513056458</v>
      </c>
      <c r="K20" s="60">
        <v>30.967794990539534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332.90151120620317</v>
      </c>
      <c r="V20" s="62">
        <v>124.85152221986789</v>
      </c>
      <c r="W20" s="62">
        <v>37.957236267949632</v>
      </c>
      <c r="X20" s="62">
        <v>14.235497790748338</v>
      </c>
      <c r="Y20" s="66">
        <v>205.68475274042711</v>
      </c>
      <c r="Z20" s="66">
        <v>77.140095831985974</v>
      </c>
      <c r="AA20" s="67">
        <v>0</v>
      </c>
      <c r="AB20" s="68">
        <v>83.913118807474163</v>
      </c>
      <c r="AC20" s="69">
        <v>0</v>
      </c>
      <c r="AD20" s="401">
        <v>12.330451816811149</v>
      </c>
      <c r="AE20" s="401">
        <v>4.5168342560502968</v>
      </c>
      <c r="AF20" s="69">
        <v>16.666451183954887</v>
      </c>
      <c r="AG20" s="68">
        <v>11.999021842806524</v>
      </c>
      <c r="AH20" s="68">
        <v>4.5001181784840281</v>
      </c>
      <c r="AI20" s="68">
        <v>0.72725134930202073</v>
      </c>
      <c r="AJ20" s="69">
        <v>296.35751978556317</v>
      </c>
      <c r="AK20" s="69">
        <v>1113.8206585566204</v>
      </c>
      <c r="AL20" s="69">
        <v>2941.8972651163735</v>
      </c>
      <c r="AM20" s="69">
        <v>559.19951953887937</v>
      </c>
      <c r="AN20" s="69">
        <v>2910.8262198130287</v>
      </c>
      <c r="AO20" s="69">
        <v>2423.8164281209311</v>
      </c>
      <c r="AP20" s="69">
        <v>691.29286193847656</v>
      </c>
      <c r="AQ20" s="69">
        <v>2129.9441528320312</v>
      </c>
      <c r="AR20" s="69">
        <v>400.31609371503197</v>
      </c>
      <c r="AS20" s="69">
        <v>766.46434262593584</v>
      </c>
    </row>
    <row r="21" spans="1:45" x14ac:dyDescent="0.25">
      <c r="A21" s="11">
        <v>42869</v>
      </c>
      <c r="B21" s="59"/>
      <c r="C21" s="60">
        <v>55.387879101435395</v>
      </c>
      <c r="D21" s="60">
        <v>673.76084728241165</v>
      </c>
      <c r="E21" s="60">
        <v>16.324529272317836</v>
      </c>
      <c r="F21" s="60">
        <v>0</v>
      </c>
      <c r="G21" s="60">
        <v>1438.4705206553115</v>
      </c>
      <c r="H21" s="61">
        <v>22.686059028903671</v>
      </c>
      <c r="I21" s="59">
        <v>129.85790113608044</v>
      </c>
      <c r="J21" s="60">
        <v>648.04600486755339</v>
      </c>
      <c r="K21" s="60">
        <v>35.492790013551797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366.92317060562453</v>
      </c>
      <c r="V21" s="62">
        <v>123.83948768311818</v>
      </c>
      <c r="W21" s="62">
        <v>41.858222042689313</v>
      </c>
      <c r="X21" s="62">
        <v>14.127482776672018</v>
      </c>
      <c r="Y21" s="66">
        <v>225.58789943914931</v>
      </c>
      <c r="Z21" s="66">
        <v>76.137709831581816</v>
      </c>
      <c r="AA21" s="67">
        <v>0</v>
      </c>
      <c r="AB21" s="68">
        <v>92.593380218081137</v>
      </c>
      <c r="AC21" s="69">
        <v>0</v>
      </c>
      <c r="AD21" s="401">
        <v>14.110197773735944</v>
      </c>
      <c r="AE21" s="401">
        <v>4.4920114178640125</v>
      </c>
      <c r="AF21" s="69">
        <v>17.613075437810661</v>
      </c>
      <c r="AG21" s="68">
        <v>13.02921804862503</v>
      </c>
      <c r="AH21" s="68">
        <v>4.3974646937399688</v>
      </c>
      <c r="AI21" s="68">
        <v>0.74765910651201872</v>
      </c>
      <c r="AJ21" s="69">
        <v>311.34306340217591</v>
      </c>
      <c r="AK21" s="69">
        <v>1130.0800294876099</v>
      </c>
      <c r="AL21" s="69">
        <v>2957.2716106414787</v>
      </c>
      <c r="AM21" s="69">
        <v>563.67900387446082</v>
      </c>
      <c r="AN21" s="69">
        <v>3218.9370277404782</v>
      </c>
      <c r="AO21" s="69">
        <v>2372.3928332010905</v>
      </c>
      <c r="AP21" s="69">
        <v>691.29286193847656</v>
      </c>
      <c r="AQ21" s="69">
        <v>2129.9441528320312</v>
      </c>
      <c r="AR21" s="69">
        <v>398.54767619768774</v>
      </c>
      <c r="AS21" s="69">
        <v>707.34059759775778</v>
      </c>
    </row>
    <row r="22" spans="1:45" x14ac:dyDescent="0.25">
      <c r="A22" s="11">
        <v>42870</v>
      </c>
      <c r="B22" s="59"/>
      <c r="C22" s="60">
        <v>56.226005494594659</v>
      </c>
      <c r="D22" s="60">
        <v>683.39447746277028</v>
      </c>
      <c r="E22" s="60">
        <v>16.329763665795294</v>
      </c>
      <c r="F22" s="60">
        <v>0</v>
      </c>
      <c r="G22" s="60">
        <v>1409.7356660207108</v>
      </c>
      <c r="H22" s="61">
        <v>23.176411793629317</v>
      </c>
      <c r="I22" s="59">
        <v>135.6794206460317</v>
      </c>
      <c r="J22" s="60">
        <v>687.81948178609309</v>
      </c>
      <c r="K22" s="60">
        <v>37.555200395981537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414.74306849379724</v>
      </c>
      <c r="V22" s="62">
        <v>128.39743600414823</v>
      </c>
      <c r="W22" s="62">
        <v>45.628562891962567</v>
      </c>
      <c r="X22" s="62">
        <v>14.125830975689075</v>
      </c>
      <c r="Y22" s="66">
        <v>263.86049381040351</v>
      </c>
      <c r="Z22" s="66">
        <v>81.686744014989898</v>
      </c>
      <c r="AA22" s="67">
        <v>0</v>
      </c>
      <c r="AB22" s="68">
        <v>97.282949177424356</v>
      </c>
      <c r="AC22" s="69">
        <v>0</v>
      </c>
      <c r="AD22" s="401">
        <v>14.965645610569506</v>
      </c>
      <c r="AE22" s="401">
        <v>4.5620500184050385</v>
      </c>
      <c r="AF22" s="69">
        <v>19.160952181286252</v>
      </c>
      <c r="AG22" s="68">
        <v>14.408332320487219</v>
      </c>
      <c r="AH22" s="68">
        <v>4.4605758783740255</v>
      </c>
      <c r="AI22" s="68">
        <v>0.76360180295735258</v>
      </c>
      <c r="AJ22" s="69">
        <v>308.1196135838826</v>
      </c>
      <c r="AK22" s="69">
        <v>1116.8276122411091</v>
      </c>
      <c r="AL22" s="69">
        <v>2926.0387926737458</v>
      </c>
      <c r="AM22" s="69">
        <v>560.99918060302741</v>
      </c>
      <c r="AN22" s="69">
        <v>3191.1812709808351</v>
      </c>
      <c r="AO22" s="69">
        <v>2440.4014363606775</v>
      </c>
      <c r="AP22" s="69">
        <v>691.29286193847656</v>
      </c>
      <c r="AQ22" s="69">
        <v>2129.9441528320312</v>
      </c>
      <c r="AR22" s="69">
        <v>397.64479665756215</v>
      </c>
      <c r="AS22" s="69">
        <v>755.4302931149798</v>
      </c>
    </row>
    <row r="23" spans="1:45" x14ac:dyDescent="0.25">
      <c r="A23" s="11">
        <v>42871</v>
      </c>
      <c r="B23" s="59"/>
      <c r="C23" s="60">
        <v>55.243551731109491</v>
      </c>
      <c r="D23" s="60">
        <v>672.74493624369313</v>
      </c>
      <c r="E23" s="60">
        <v>16.396757432818369</v>
      </c>
      <c r="F23" s="60">
        <v>0</v>
      </c>
      <c r="G23" s="60">
        <v>1416.7257273356136</v>
      </c>
      <c r="H23" s="61">
        <v>22.690036693215323</v>
      </c>
      <c r="I23" s="59">
        <v>131.82587347030653</v>
      </c>
      <c r="J23" s="60">
        <v>692.85715014139998</v>
      </c>
      <c r="K23" s="60">
        <v>38.161881679296513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420.54277750504536</v>
      </c>
      <c r="V23" s="62">
        <v>130.40873211900796</v>
      </c>
      <c r="W23" s="62">
        <v>45.448168464353891</v>
      </c>
      <c r="X23" s="62">
        <v>14.093305945544069</v>
      </c>
      <c r="Y23" s="66">
        <v>255.94848338806028</v>
      </c>
      <c r="Z23" s="66">
        <v>79.368661148911229</v>
      </c>
      <c r="AA23" s="67">
        <v>0</v>
      </c>
      <c r="AB23" s="68">
        <v>97.547143273884032</v>
      </c>
      <c r="AC23" s="69">
        <v>0</v>
      </c>
      <c r="AD23" s="401">
        <v>15.082036034035209</v>
      </c>
      <c r="AE23" s="401">
        <v>4.4910196989516926</v>
      </c>
      <c r="AF23" s="69">
        <v>19.163514113426196</v>
      </c>
      <c r="AG23" s="68">
        <v>14.39234725429241</v>
      </c>
      <c r="AH23" s="68">
        <v>4.4630127017845211</v>
      </c>
      <c r="AI23" s="68">
        <v>0.76330270479158224</v>
      </c>
      <c r="AJ23" s="69">
        <v>361.82992483774819</v>
      </c>
      <c r="AK23" s="69">
        <v>1166.8484879811604</v>
      </c>
      <c r="AL23" s="69">
        <v>2901.0435394287106</v>
      </c>
      <c r="AM23" s="69">
        <v>552.78224719365437</v>
      </c>
      <c r="AN23" s="69">
        <v>2938.6563925425203</v>
      </c>
      <c r="AO23" s="69">
        <v>2479.1718518575035</v>
      </c>
      <c r="AP23" s="69">
        <v>732.60963681538897</v>
      </c>
      <c r="AQ23" s="69">
        <v>2129.9441528320312</v>
      </c>
      <c r="AR23" s="69">
        <v>394.13945314089455</v>
      </c>
      <c r="AS23" s="69">
        <v>706.82003714243581</v>
      </c>
    </row>
    <row r="24" spans="1:45" x14ac:dyDescent="0.25">
      <c r="A24" s="11">
        <v>42872</v>
      </c>
      <c r="B24" s="59"/>
      <c r="C24" s="60">
        <v>56.058454688389737</v>
      </c>
      <c r="D24" s="60">
        <v>666.31471713383837</v>
      </c>
      <c r="E24" s="60">
        <v>16.351778079569325</v>
      </c>
      <c r="F24" s="60">
        <v>0</v>
      </c>
      <c r="G24" s="60">
        <v>1439.8800657272325</v>
      </c>
      <c r="H24" s="61">
        <v>22.623438659310342</v>
      </c>
      <c r="I24" s="59">
        <v>130.756812310219</v>
      </c>
      <c r="J24" s="60">
        <v>662.800219472251</v>
      </c>
      <c r="K24" s="60">
        <v>36.624802633126656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416.73627801542096</v>
      </c>
      <c r="V24" s="62">
        <v>133.93177169093116</v>
      </c>
      <c r="W24" s="62">
        <v>45.040219470003912</v>
      </c>
      <c r="X24" s="62">
        <v>14.47514101650343</v>
      </c>
      <c r="Y24" s="66">
        <v>247.57332482921183</v>
      </c>
      <c r="Z24" s="66">
        <v>79.565748812882944</v>
      </c>
      <c r="AA24" s="67">
        <v>0</v>
      </c>
      <c r="AB24" s="68">
        <v>94.098167562485841</v>
      </c>
      <c r="AC24" s="69">
        <v>0</v>
      </c>
      <c r="AD24" s="401">
        <v>14.427641890476135</v>
      </c>
      <c r="AE24" s="401">
        <v>4.4881508020462979</v>
      </c>
      <c r="AF24" s="69">
        <v>18.475628769397751</v>
      </c>
      <c r="AG24" s="68">
        <v>13.761632375346977</v>
      </c>
      <c r="AH24" s="68">
        <v>4.4227486365400983</v>
      </c>
      <c r="AI24" s="68">
        <v>0.75678310778634916</v>
      </c>
      <c r="AJ24" s="69">
        <v>405.07723555564883</v>
      </c>
      <c r="AK24" s="69">
        <v>1206.2667421340943</v>
      </c>
      <c r="AL24" s="69">
        <v>2867.9404257456463</v>
      </c>
      <c r="AM24" s="69">
        <v>548.85755119323733</v>
      </c>
      <c r="AN24" s="69">
        <v>3236.8113905588789</v>
      </c>
      <c r="AO24" s="69">
        <v>2397.9762882232667</v>
      </c>
      <c r="AP24" s="69">
        <v>739.94311621983843</v>
      </c>
      <c r="AQ24" s="69">
        <v>2129.9441528320312</v>
      </c>
      <c r="AR24" s="69">
        <v>392.43460741043089</v>
      </c>
      <c r="AS24" s="69">
        <v>704.3802839597065</v>
      </c>
    </row>
    <row r="25" spans="1:45" x14ac:dyDescent="0.25">
      <c r="A25" s="11">
        <v>42873</v>
      </c>
      <c r="B25" s="59"/>
      <c r="C25" s="60">
        <v>55.607860442003435</v>
      </c>
      <c r="D25" s="60">
        <v>662.82723973592192</v>
      </c>
      <c r="E25" s="60">
        <v>15.985502069195091</v>
      </c>
      <c r="F25" s="60">
        <v>0</v>
      </c>
      <c r="G25" s="60">
        <v>1430.1249042510979</v>
      </c>
      <c r="H25" s="61">
        <v>22.51219838857649</v>
      </c>
      <c r="I25" s="59">
        <v>123.61954571406025</v>
      </c>
      <c r="J25" s="60">
        <v>627.68181854883915</v>
      </c>
      <c r="K25" s="60">
        <v>34.455896244446393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397.22834441786421</v>
      </c>
      <c r="V25" s="62">
        <v>125.52347892266033</v>
      </c>
      <c r="W25" s="62">
        <v>44.120194728482971</v>
      </c>
      <c r="X25" s="62">
        <v>13.94190623828842</v>
      </c>
      <c r="Y25" s="66">
        <v>228.89468118588607</v>
      </c>
      <c r="Z25" s="66">
        <v>72.330328621064794</v>
      </c>
      <c r="AA25" s="67">
        <v>0</v>
      </c>
      <c r="AB25" s="68">
        <v>90.269943475723366</v>
      </c>
      <c r="AC25" s="69">
        <v>0</v>
      </c>
      <c r="AD25" s="401">
        <v>13.661995406980122</v>
      </c>
      <c r="AE25" s="401">
        <v>4.4838249756157476</v>
      </c>
      <c r="AF25" s="69">
        <v>17.557523207532018</v>
      </c>
      <c r="AG25" s="68">
        <v>13.120124377032257</v>
      </c>
      <c r="AH25" s="68">
        <v>4.1459369122225871</v>
      </c>
      <c r="AI25" s="68">
        <v>0.75987940487604311</v>
      </c>
      <c r="AJ25" s="69">
        <v>390.73654193878173</v>
      </c>
      <c r="AK25" s="69">
        <v>1210.5107208887734</v>
      </c>
      <c r="AL25" s="69">
        <v>2884.0595781962074</v>
      </c>
      <c r="AM25" s="69">
        <v>550.3719445228578</v>
      </c>
      <c r="AN25" s="69">
        <v>2772.4124974568686</v>
      </c>
      <c r="AO25" s="69">
        <v>2355.8674925486243</v>
      </c>
      <c r="AP25" s="69">
        <v>605.26231384277344</v>
      </c>
      <c r="AQ25" s="69">
        <v>2129.9441528320312</v>
      </c>
      <c r="AR25" s="69">
        <v>389.79562311172492</v>
      </c>
      <c r="AS25" s="69">
        <v>620.43140157063795</v>
      </c>
    </row>
    <row r="26" spans="1:45" x14ac:dyDescent="0.25">
      <c r="A26" s="11">
        <v>42874</v>
      </c>
      <c r="B26" s="59"/>
      <c r="C26" s="60">
        <v>55.479372743765772</v>
      </c>
      <c r="D26" s="60">
        <v>654.89539521535073</v>
      </c>
      <c r="E26" s="60">
        <v>15.932985212405507</v>
      </c>
      <c r="F26" s="60">
        <v>0</v>
      </c>
      <c r="G26" s="60">
        <v>1412.8856061935417</v>
      </c>
      <c r="H26" s="61">
        <v>22.489921523133908</v>
      </c>
      <c r="I26" s="59">
        <v>107.2789747953414</v>
      </c>
      <c r="J26" s="60">
        <v>512.81583922704044</v>
      </c>
      <c r="K26" s="60">
        <v>28.073385208845067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307.02349287896192</v>
      </c>
      <c r="V26" s="62">
        <v>129.48629442623357</v>
      </c>
      <c r="W26" s="62">
        <v>34.276264983831155</v>
      </c>
      <c r="X26" s="62">
        <v>14.455918333512276</v>
      </c>
      <c r="Y26" s="62">
        <v>188.74599063709132</v>
      </c>
      <c r="Z26" s="62">
        <v>79.603090585125145</v>
      </c>
      <c r="AA26" s="72">
        <v>0</v>
      </c>
      <c r="AB26" s="69">
        <v>80.745074404611302</v>
      </c>
      <c r="AC26" s="69">
        <v>0</v>
      </c>
      <c r="AD26" s="401">
        <v>11.160381536678418</v>
      </c>
      <c r="AE26" s="401">
        <v>4.4876614487266133</v>
      </c>
      <c r="AF26" s="69">
        <v>14.938133436772564</v>
      </c>
      <c r="AG26" s="69">
        <v>10.347782579323153</v>
      </c>
      <c r="AH26" s="69">
        <v>4.364148193223496</v>
      </c>
      <c r="AI26" s="69">
        <v>0.70335992870716468</v>
      </c>
      <c r="AJ26" s="69">
        <v>380.39748950004582</v>
      </c>
      <c r="AK26" s="69">
        <v>1249.1371887842815</v>
      </c>
      <c r="AL26" s="69">
        <v>2924.1485758463546</v>
      </c>
      <c r="AM26" s="69">
        <v>545.2862135569253</v>
      </c>
      <c r="AN26" s="69">
        <v>3648.676830546061</v>
      </c>
      <c r="AO26" s="69">
        <v>2360.7048689524331</v>
      </c>
      <c r="AP26" s="69">
        <v>605.26231384277344</v>
      </c>
      <c r="AQ26" s="69">
        <v>2129.9441528320312</v>
      </c>
      <c r="AR26" s="69">
        <v>396.99657230377198</v>
      </c>
      <c r="AS26" s="69">
        <v>650.06143805185957</v>
      </c>
    </row>
    <row r="27" spans="1:45" x14ac:dyDescent="0.25">
      <c r="A27" s="11">
        <v>42875</v>
      </c>
      <c r="B27" s="59"/>
      <c r="C27" s="60">
        <v>54.85513044198369</v>
      </c>
      <c r="D27" s="60">
        <v>629.75122076670482</v>
      </c>
      <c r="E27" s="60">
        <v>15.673595982789946</v>
      </c>
      <c r="F27" s="60">
        <v>0</v>
      </c>
      <c r="G27" s="60">
        <v>1266.4164787928273</v>
      </c>
      <c r="H27" s="61">
        <v>22.352202435334512</v>
      </c>
      <c r="I27" s="59">
        <v>109.96207751433069</v>
      </c>
      <c r="J27" s="60">
        <v>471.60800379117273</v>
      </c>
      <c r="K27" s="60">
        <v>25.933569711446797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290.65684714719106</v>
      </c>
      <c r="V27" s="62">
        <v>130.78361863158196</v>
      </c>
      <c r="W27" s="62">
        <v>31.470942156870887</v>
      </c>
      <c r="X27" s="62">
        <v>14.160628718773859</v>
      </c>
      <c r="Y27" s="66">
        <v>181.15240738581582</v>
      </c>
      <c r="Z27" s="66">
        <v>81.51112762102521</v>
      </c>
      <c r="AA27" s="67">
        <v>0</v>
      </c>
      <c r="AB27" s="68">
        <v>82.51803396013085</v>
      </c>
      <c r="AC27" s="69">
        <v>0</v>
      </c>
      <c r="AD27" s="401">
        <v>10.364380091325131</v>
      </c>
      <c r="AE27" s="401">
        <v>4.4883715149776355</v>
      </c>
      <c r="AF27" s="69">
        <v>14.671184540457185</v>
      </c>
      <c r="AG27" s="68">
        <v>9.9998821525151094</v>
      </c>
      <c r="AH27" s="68">
        <v>4.4995354027665746</v>
      </c>
      <c r="AI27" s="68">
        <v>0.68967474827100661</v>
      </c>
      <c r="AJ27" s="69">
        <v>376.5659499168396</v>
      </c>
      <c r="AK27" s="69">
        <v>1205.3011802037554</v>
      </c>
      <c r="AL27" s="69">
        <v>2878.8483515421549</v>
      </c>
      <c r="AM27" s="69">
        <v>537.86681823730476</v>
      </c>
      <c r="AN27" s="69">
        <v>2949.6497559865315</v>
      </c>
      <c r="AO27" s="69">
        <v>2309.4645682017003</v>
      </c>
      <c r="AP27" s="69">
        <v>692.01128279368083</v>
      </c>
      <c r="AQ27" s="69">
        <v>2129.9441528320312</v>
      </c>
      <c r="AR27" s="69">
        <v>396.16219906806941</v>
      </c>
      <c r="AS27" s="69">
        <v>560.26894585291529</v>
      </c>
    </row>
    <row r="28" spans="1:45" x14ac:dyDescent="0.25">
      <c r="A28" s="11">
        <v>42876</v>
      </c>
      <c r="B28" s="59"/>
      <c r="C28" s="60">
        <v>54.816073727607069</v>
      </c>
      <c r="D28" s="60">
        <v>633.54655885696468</v>
      </c>
      <c r="E28" s="60">
        <v>15.902768354117836</v>
      </c>
      <c r="F28" s="60">
        <v>0</v>
      </c>
      <c r="G28" s="60">
        <v>1265.9894351959235</v>
      </c>
      <c r="H28" s="61">
        <v>22.520920162399669</v>
      </c>
      <c r="I28" s="59">
        <v>113.17021768093097</v>
      </c>
      <c r="J28" s="60">
        <v>487.30067831675194</v>
      </c>
      <c r="K28" s="60">
        <v>26.67584770520536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274.38178279705863</v>
      </c>
      <c r="V28" s="62">
        <v>122.86661373733172</v>
      </c>
      <c r="W28" s="62">
        <v>31.225325446905163</v>
      </c>
      <c r="X28" s="62">
        <v>13.982524500706392</v>
      </c>
      <c r="Y28" s="66">
        <v>182.56098023547023</v>
      </c>
      <c r="Z28" s="66">
        <v>81.749776582983216</v>
      </c>
      <c r="AA28" s="67">
        <v>0</v>
      </c>
      <c r="AB28" s="68">
        <v>83.772289742363924</v>
      </c>
      <c r="AC28" s="69">
        <v>0</v>
      </c>
      <c r="AD28" s="401">
        <v>10.605186785757972</v>
      </c>
      <c r="AE28" s="401">
        <v>4.4879449527625423</v>
      </c>
      <c r="AF28" s="69">
        <v>14.417893076605269</v>
      </c>
      <c r="AG28" s="68">
        <v>9.8389235613513684</v>
      </c>
      <c r="AH28" s="68">
        <v>4.405814440304197</v>
      </c>
      <c r="AI28" s="68">
        <v>0.69070582837029781</v>
      </c>
      <c r="AJ28" s="69">
        <v>394.70179030100508</v>
      </c>
      <c r="AK28" s="69">
        <v>1196.1236860911054</v>
      </c>
      <c r="AL28" s="69">
        <v>2845.0351839701334</v>
      </c>
      <c r="AM28" s="69">
        <v>536.37122367223105</v>
      </c>
      <c r="AN28" s="69">
        <v>2932.9109059651687</v>
      </c>
      <c r="AO28" s="69">
        <v>2337.1969641367591</v>
      </c>
      <c r="AP28" s="69">
        <v>659.07275390625</v>
      </c>
      <c r="AQ28" s="69">
        <v>2129.9441528320312</v>
      </c>
      <c r="AR28" s="69">
        <v>391.49165585835777</v>
      </c>
      <c r="AS28" s="69">
        <v>628.73866767883305</v>
      </c>
    </row>
    <row r="29" spans="1:45" x14ac:dyDescent="0.25">
      <c r="A29" s="11">
        <v>42877</v>
      </c>
      <c r="B29" s="59"/>
      <c r="C29" s="60">
        <v>54.430561641851938</v>
      </c>
      <c r="D29" s="60">
        <v>636.71146602630756</v>
      </c>
      <c r="E29" s="60">
        <v>15.908925072352057</v>
      </c>
      <c r="F29" s="60">
        <v>0</v>
      </c>
      <c r="G29" s="60">
        <v>1266.0155069351274</v>
      </c>
      <c r="H29" s="61">
        <v>22.6977417866389</v>
      </c>
      <c r="I29" s="59">
        <v>110.51898869673414</v>
      </c>
      <c r="J29" s="60">
        <v>475.03966102600032</v>
      </c>
      <c r="K29" s="60">
        <v>26.325725398461056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272.93927241489638</v>
      </c>
      <c r="V29" s="62">
        <v>122.80626368994285</v>
      </c>
      <c r="W29" s="62">
        <v>33.358649291131321</v>
      </c>
      <c r="X29" s="62">
        <v>15.009386684960671</v>
      </c>
      <c r="Y29" s="66">
        <v>188.53621021947203</v>
      </c>
      <c r="Z29" s="66">
        <v>84.829959948450878</v>
      </c>
      <c r="AA29" s="67">
        <v>0</v>
      </c>
      <c r="AB29" s="68">
        <v>82.332774702707695</v>
      </c>
      <c r="AC29" s="69">
        <v>0</v>
      </c>
      <c r="AD29" s="401">
        <v>10.341055487093932</v>
      </c>
      <c r="AE29" s="401">
        <v>4.4855185956572887</v>
      </c>
      <c r="AF29" s="69">
        <v>14.67441592878766</v>
      </c>
      <c r="AG29" s="68">
        <v>10.002250903755572</v>
      </c>
      <c r="AH29" s="68">
        <v>4.500411579145605</v>
      </c>
      <c r="AI29" s="68">
        <v>0.68968376775977192</v>
      </c>
      <c r="AJ29" s="69">
        <v>457.89562055269886</v>
      </c>
      <c r="AK29" s="69">
        <v>1259.6789990743</v>
      </c>
      <c r="AL29" s="69">
        <v>2856.9604234059652</v>
      </c>
      <c r="AM29" s="69">
        <v>533.36982431411741</v>
      </c>
      <c r="AN29" s="69">
        <v>2936.641104507446</v>
      </c>
      <c r="AO29" s="69">
        <v>2436.5640270233157</v>
      </c>
      <c r="AP29" s="69">
        <v>659.07275390625</v>
      </c>
      <c r="AQ29" s="69">
        <v>2129.9441528320312</v>
      </c>
      <c r="AR29" s="69">
        <v>355.32587238947553</v>
      </c>
      <c r="AS29" s="69">
        <v>621.11066713333128</v>
      </c>
    </row>
    <row r="30" spans="1:45" x14ac:dyDescent="0.25">
      <c r="A30" s="11">
        <v>42878</v>
      </c>
      <c r="B30" s="59"/>
      <c r="C30" s="60">
        <v>54.895299998918567</v>
      </c>
      <c r="D30" s="60">
        <v>636.62682507832722</v>
      </c>
      <c r="E30" s="60">
        <v>15.880249252915352</v>
      </c>
      <c r="F30" s="60">
        <v>0</v>
      </c>
      <c r="G30" s="60">
        <v>1303.8339797973654</v>
      </c>
      <c r="H30" s="61">
        <v>22.601518555482212</v>
      </c>
      <c r="I30" s="59">
        <v>104.15155601501471</v>
      </c>
      <c r="J30" s="60">
        <v>475.55542157490976</v>
      </c>
      <c r="K30" s="60">
        <v>26.429142872492488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272.50485733008469</v>
      </c>
      <c r="V30" s="62">
        <v>122.64372394162322</v>
      </c>
      <c r="W30" s="62">
        <v>34.179456820424591</v>
      </c>
      <c r="X30" s="62">
        <v>15.38282989826177</v>
      </c>
      <c r="Y30" s="66">
        <v>183.81052774213367</v>
      </c>
      <c r="Z30" s="66">
        <v>82.725892825696576</v>
      </c>
      <c r="AA30" s="67">
        <v>0</v>
      </c>
      <c r="AB30" s="68">
        <v>82.276715940898598</v>
      </c>
      <c r="AC30" s="69">
        <v>0</v>
      </c>
      <c r="AD30" s="401">
        <v>10.351167634146252</v>
      </c>
      <c r="AE30" s="401">
        <v>4.4849679280942061</v>
      </c>
      <c r="AF30" s="69">
        <v>14.677612231175095</v>
      </c>
      <c r="AG30" s="68">
        <v>9.9989364321996099</v>
      </c>
      <c r="AH30" s="68">
        <v>4.5001282234580655</v>
      </c>
      <c r="AI30" s="68">
        <v>0.68962630829416482</v>
      </c>
      <c r="AJ30" s="69">
        <v>386.91638213793436</v>
      </c>
      <c r="AK30" s="69">
        <v>1185.9350828170775</v>
      </c>
      <c r="AL30" s="69">
        <v>2852.8238524119065</v>
      </c>
      <c r="AM30" s="69">
        <v>533.5229285558064</v>
      </c>
      <c r="AN30" s="69">
        <v>2898.1154624938963</v>
      </c>
      <c r="AO30" s="69">
        <v>2324.4420050303138</v>
      </c>
      <c r="AP30" s="69">
        <v>659.07275390625</v>
      </c>
      <c r="AQ30" s="69">
        <v>2129.9441528320312</v>
      </c>
      <c r="AR30" s="69">
        <v>397.36848980585734</v>
      </c>
      <c r="AS30" s="69">
        <v>647.18599360783901</v>
      </c>
    </row>
    <row r="31" spans="1:45" x14ac:dyDescent="0.25">
      <c r="A31" s="11">
        <v>42879</v>
      </c>
      <c r="B31" s="59"/>
      <c r="C31" s="60">
        <v>56.240482687949921</v>
      </c>
      <c r="D31" s="60">
        <v>645.59885295232129</v>
      </c>
      <c r="E31" s="60">
        <v>15.929275877277014</v>
      </c>
      <c r="F31" s="60">
        <v>0</v>
      </c>
      <c r="G31" s="60">
        <v>1315.5076521555579</v>
      </c>
      <c r="H31" s="61">
        <v>23.338715287049631</v>
      </c>
      <c r="I31" s="59">
        <v>116.01929636001563</v>
      </c>
      <c r="J31" s="60">
        <v>499.58601077397651</v>
      </c>
      <c r="K31" s="60">
        <v>27.516349087158904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273.25278271942119</v>
      </c>
      <c r="V31" s="62">
        <v>121.83087761824308</v>
      </c>
      <c r="W31" s="62">
        <v>31.879162501622357</v>
      </c>
      <c r="X31" s="62">
        <v>14.213455784987307</v>
      </c>
      <c r="Y31" s="66">
        <v>179.75574188398824</v>
      </c>
      <c r="Z31" s="66">
        <v>80.144837218845836</v>
      </c>
      <c r="AA31" s="67">
        <v>0</v>
      </c>
      <c r="AB31" s="68">
        <v>85.819430383047077</v>
      </c>
      <c r="AC31" s="69">
        <v>0</v>
      </c>
      <c r="AD31" s="401">
        <v>10.877493280008093</v>
      </c>
      <c r="AE31" s="401">
        <v>4.5614086970622232</v>
      </c>
      <c r="AF31" s="69">
        <v>14.432685970597808</v>
      </c>
      <c r="AG31" s="68">
        <v>9.8703402139682712</v>
      </c>
      <c r="AH31" s="68">
        <v>4.4007318011218342</v>
      </c>
      <c r="AI31" s="68">
        <v>0.69163271010975635</v>
      </c>
      <c r="AJ31" s="69">
        <v>347.96918903986608</v>
      </c>
      <c r="AK31" s="69">
        <v>1146.4455512364707</v>
      </c>
      <c r="AL31" s="69">
        <v>2940.2511352539063</v>
      </c>
      <c r="AM31" s="69">
        <v>546.22540912628165</v>
      </c>
      <c r="AN31" s="69">
        <v>3450.1425567626957</v>
      </c>
      <c r="AO31" s="69">
        <v>2374.4744097391763</v>
      </c>
      <c r="AP31" s="69">
        <v>659.07275390625</v>
      </c>
      <c r="AQ31" s="69">
        <v>2129.9441528320312</v>
      </c>
      <c r="AR31" s="69">
        <v>401.73057203292842</v>
      </c>
      <c r="AS31" s="69">
        <v>874.74823869069405</v>
      </c>
    </row>
    <row r="32" spans="1:45" x14ac:dyDescent="0.25">
      <c r="A32" s="11">
        <v>42880</v>
      </c>
      <c r="B32" s="59"/>
      <c r="C32" s="60">
        <v>45.925959821542122</v>
      </c>
      <c r="D32" s="60">
        <v>524.51283388137733</v>
      </c>
      <c r="E32" s="60">
        <v>13.211985720197349</v>
      </c>
      <c r="F32" s="60">
        <v>0</v>
      </c>
      <c r="G32" s="60">
        <v>1051.5550565719602</v>
      </c>
      <c r="H32" s="61">
        <v>18.412809682885797</v>
      </c>
      <c r="I32" s="59">
        <v>138.80395140647909</v>
      </c>
      <c r="J32" s="60">
        <v>714.41521952946903</v>
      </c>
      <c r="K32" s="60">
        <v>39.158265356222742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452.71942865794705</v>
      </c>
      <c r="V32" s="62">
        <v>86.600736658319022</v>
      </c>
      <c r="W32" s="62">
        <v>49.806300810063526</v>
      </c>
      <c r="X32" s="62">
        <v>9.5274513690823426</v>
      </c>
      <c r="Y32" s="66">
        <v>275.08673550620392</v>
      </c>
      <c r="Z32" s="66">
        <v>52.621364208711086</v>
      </c>
      <c r="AA32" s="67">
        <v>0</v>
      </c>
      <c r="AB32" s="68">
        <v>109.15629538430123</v>
      </c>
      <c r="AC32" s="69">
        <v>0</v>
      </c>
      <c r="AD32" s="401">
        <v>15.550389115088308</v>
      </c>
      <c r="AE32" s="401">
        <v>3.6966005454592294</v>
      </c>
      <c r="AF32" s="69">
        <v>18.142846457163508</v>
      </c>
      <c r="AG32" s="68">
        <v>15.047405014990179</v>
      </c>
      <c r="AH32" s="68">
        <v>2.8784193401136431</v>
      </c>
      <c r="AI32" s="68">
        <v>0.83942611044863313</v>
      </c>
      <c r="AJ32" s="69">
        <v>310.06813629468292</v>
      </c>
      <c r="AK32" s="69">
        <v>1118.7715115865074</v>
      </c>
      <c r="AL32" s="69">
        <v>2531.1057900746664</v>
      </c>
      <c r="AM32" s="69">
        <v>560.49952125549316</v>
      </c>
      <c r="AN32" s="69">
        <v>2334.1079810460405</v>
      </c>
      <c r="AO32" s="69">
        <v>2296.3428745269771</v>
      </c>
      <c r="AP32" s="69">
        <v>659.07275390625</v>
      </c>
      <c r="AQ32" s="69">
        <v>2129.9441528320312</v>
      </c>
      <c r="AR32" s="69">
        <v>333.16019257307056</v>
      </c>
      <c r="AS32" s="69">
        <v>813.38946034113565</v>
      </c>
    </row>
    <row r="33" spans="1:45" x14ac:dyDescent="0.25">
      <c r="A33" s="11">
        <v>42881</v>
      </c>
      <c r="B33" s="59"/>
      <c r="C33" s="60">
        <v>55.293134828409109</v>
      </c>
      <c r="D33" s="60">
        <v>637.14444284439014</v>
      </c>
      <c r="E33" s="60">
        <v>15.929427410165445</v>
      </c>
      <c r="F33" s="60">
        <v>0</v>
      </c>
      <c r="G33" s="60">
        <v>1310.5329314549788</v>
      </c>
      <c r="H33" s="61">
        <v>22.547048951188717</v>
      </c>
      <c r="I33" s="59">
        <v>128.55152821540833</v>
      </c>
      <c r="J33" s="60">
        <v>588.89950208663913</v>
      </c>
      <c r="K33" s="60">
        <v>31.918280490239479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371.11252036342324</v>
      </c>
      <c r="V33" s="62">
        <v>133.60000744148147</v>
      </c>
      <c r="W33" s="62">
        <v>41.233997706317979</v>
      </c>
      <c r="X33" s="62">
        <v>14.844183631992234</v>
      </c>
      <c r="Y33" s="66">
        <v>235.49745152368027</v>
      </c>
      <c r="Z33" s="66">
        <v>84.77876533295894</v>
      </c>
      <c r="AA33" s="67">
        <v>0</v>
      </c>
      <c r="AB33" s="68">
        <v>98.733414835401106</v>
      </c>
      <c r="AC33" s="69">
        <v>0</v>
      </c>
      <c r="AD33" s="401">
        <v>12.820082300623332</v>
      </c>
      <c r="AE33" s="401">
        <v>4.4888969202671181</v>
      </c>
      <c r="AF33" s="69">
        <v>17.064335152175715</v>
      </c>
      <c r="AG33" s="68">
        <v>12.411938264671141</v>
      </c>
      <c r="AH33" s="68">
        <v>4.4682810563744821</v>
      </c>
      <c r="AI33" s="68">
        <v>0.73529484591449612</v>
      </c>
      <c r="AJ33" s="69">
        <v>401.54796830813098</v>
      </c>
      <c r="AK33" s="69">
        <v>1191.2914641698201</v>
      </c>
      <c r="AL33" s="69">
        <v>2882.8748077392579</v>
      </c>
      <c r="AM33" s="69">
        <v>540.5661467552186</v>
      </c>
      <c r="AN33" s="69">
        <v>2805.209284718831</v>
      </c>
      <c r="AO33" s="69">
        <v>2404.9067412058512</v>
      </c>
      <c r="AP33" s="69">
        <v>659.07275390625</v>
      </c>
      <c r="AQ33" s="69">
        <v>2129.9441528320312</v>
      </c>
      <c r="AR33" s="69">
        <v>393.89200719197584</v>
      </c>
      <c r="AS33" s="69">
        <v>574.02821102142332</v>
      </c>
    </row>
    <row r="34" spans="1:45" x14ac:dyDescent="0.25">
      <c r="A34" s="11">
        <v>42882</v>
      </c>
      <c r="B34" s="59"/>
      <c r="C34" s="60">
        <v>54.672520732879846</v>
      </c>
      <c r="D34" s="60">
        <v>636.66053276062189</v>
      </c>
      <c r="E34" s="60">
        <v>15.941887057324248</v>
      </c>
      <c r="F34" s="60">
        <v>0</v>
      </c>
      <c r="G34" s="60">
        <v>1313.5761294047074</v>
      </c>
      <c r="H34" s="61">
        <v>22.592083735267359</v>
      </c>
      <c r="I34" s="59">
        <v>127.43906250000016</v>
      </c>
      <c r="J34" s="60">
        <v>568.15032628377048</v>
      </c>
      <c r="K34" s="60">
        <v>30.965235231319951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360.91649126934703</v>
      </c>
      <c r="V34" s="62">
        <v>134.75627376309748</v>
      </c>
      <c r="W34" s="62">
        <v>40.715328844179716</v>
      </c>
      <c r="X34" s="62">
        <v>15.20198198975123</v>
      </c>
      <c r="Y34" s="66">
        <v>232.26184528169836</v>
      </c>
      <c r="Z34" s="66">
        <v>86.720173681797519</v>
      </c>
      <c r="AA34" s="67">
        <v>0</v>
      </c>
      <c r="AB34" s="68">
        <v>96.169484572939851</v>
      </c>
      <c r="AC34" s="69">
        <v>0</v>
      </c>
      <c r="AD34" s="401">
        <v>12.36660353665896</v>
      </c>
      <c r="AE34" s="401">
        <v>4.4853339254239515</v>
      </c>
      <c r="AF34" s="69">
        <v>16.72976502776147</v>
      </c>
      <c r="AG34" s="68">
        <v>12.052653876150693</v>
      </c>
      <c r="AH34" s="68">
        <v>4.5001288791049543</v>
      </c>
      <c r="AI34" s="68">
        <v>0.7281346015565795</v>
      </c>
      <c r="AJ34" s="69">
        <v>462.39380539258326</v>
      </c>
      <c r="AK34" s="69">
        <v>1257.0267347335814</v>
      </c>
      <c r="AL34" s="69">
        <v>2861.7188627878822</v>
      </c>
      <c r="AM34" s="69">
        <v>534.38006916046152</v>
      </c>
      <c r="AN34" s="69">
        <v>2864.7538669586179</v>
      </c>
      <c r="AO34" s="69">
        <v>2320.2698191324871</v>
      </c>
      <c r="AP34" s="69">
        <v>659.07275390625</v>
      </c>
      <c r="AQ34" s="69">
        <v>2129.9441528320312</v>
      </c>
      <c r="AR34" s="69">
        <v>399.11684568723041</v>
      </c>
      <c r="AS34" s="69">
        <v>463.44969140688568</v>
      </c>
    </row>
    <row r="35" spans="1:45" x14ac:dyDescent="0.25">
      <c r="A35" s="11">
        <v>42883</v>
      </c>
      <c r="B35" s="59"/>
      <c r="C35" s="60">
        <v>56.423241782188732</v>
      </c>
      <c r="D35" s="60">
        <v>653.52710526784028</v>
      </c>
      <c r="E35" s="60">
        <v>16.234363037844442</v>
      </c>
      <c r="F35" s="60">
        <v>0</v>
      </c>
      <c r="G35" s="60">
        <v>1315.0260221481319</v>
      </c>
      <c r="H35" s="61">
        <v>23.042413502931641</v>
      </c>
      <c r="I35" s="59">
        <v>126.29085001150779</v>
      </c>
      <c r="J35" s="60">
        <v>543.15370426177935</v>
      </c>
      <c r="K35" s="60">
        <v>29.743966579437117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336.75169400458549</v>
      </c>
      <c r="V35" s="62">
        <v>121.07723969004266</v>
      </c>
      <c r="W35" s="62">
        <v>38.590176408631407</v>
      </c>
      <c r="X35" s="62">
        <v>13.874888001737183</v>
      </c>
      <c r="Y35" s="66">
        <v>213.63612437046172</v>
      </c>
      <c r="Z35" s="66">
        <v>76.811706362201519</v>
      </c>
      <c r="AA35" s="67">
        <v>0</v>
      </c>
      <c r="AB35" s="68">
        <v>93.497266991933259</v>
      </c>
      <c r="AC35" s="69">
        <v>0</v>
      </c>
      <c r="AD35" s="401">
        <v>11.823963127742264</v>
      </c>
      <c r="AE35" s="401">
        <v>4.6046632973611894</v>
      </c>
      <c r="AF35" s="69">
        <v>15.485442216859916</v>
      </c>
      <c r="AG35" s="68">
        <v>11.268501095612178</v>
      </c>
      <c r="AH35" s="68">
        <v>4.0515282696168571</v>
      </c>
      <c r="AI35" s="68">
        <v>0.73554043709522043</v>
      </c>
      <c r="AJ35" s="69">
        <v>344.26826839447028</v>
      </c>
      <c r="AK35" s="69">
        <v>1146.9731094996134</v>
      </c>
      <c r="AL35" s="69">
        <v>2902.9997985839841</v>
      </c>
      <c r="AM35" s="69">
        <v>540.97054036458337</v>
      </c>
      <c r="AN35" s="69">
        <v>2869.2780010223387</v>
      </c>
      <c r="AO35" s="69">
        <v>2421.9641063690183</v>
      </c>
      <c r="AP35" s="69">
        <v>659.07275390625</v>
      </c>
      <c r="AQ35" s="69">
        <v>2129.9441528320312</v>
      </c>
      <c r="AR35" s="69">
        <v>400.48906402587886</v>
      </c>
      <c r="AS35" s="69">
        <v>624.6593954086303</v>
      </c>
    </row>
    <row r="36" spans="1:45" x14ac:dyDescent="0.25">
      <c r="A36" s="11">
        <v>42884</v>
      </c>
      <c r="B36" s="65"/>
      <c r="C36" s="66">
        <v>57.310727926095595</v>
      </c>
      <c r="D36" s="66">
        <v>657.46149562199901</v>
      </c>
      <c r="E36" s="66">
        <v>16.344201524555654</v>
      </c>
      <c r="F36" s="66">
        <v>0</v>
      </c>
      <c r="G36" s="66">
        <v>1297.6445947647069</v>
      </c>
      <c r="H36" s="67">
        <v>23.199634117881477</v>
      </c>
      <c r="I36" s="71">
        <v>136.2529288053513</v>
      </c>
      <c r="J36" s="66">
        <v>586.36594072977664</v>
      </c>
      <c r="K36" s="66">
        <v>32.188235970338191</v>
      </c>
      <c r="L36" s="66">
        <v>0</v>
      </c>
      <c r="M36" s="66">
        <v>0</v>
      </c>
      <c r="N36" s="67">
        <v>0</v>
      </c>
      <c r="O36" s="71">
        <v>0</v>
      </c>
      <c r="P36" s="66">
        <v>0</v>
      </c>
      <c r="Q36" s="66">
        <v>0</v>
      </c>
      <c r="R36" s="391">
        <v>0</v>
      </c>
      <c r="S36" s="66">
        <v>0</v>
      </c>
      <c r="T36" s="67">
        <v>0</v>
      </c>
      <c r="U36" s="71">
        <v>344.7817381796936</v>
      </c>
      <c r="V36" s="66">
        <v>129.68809326578676</v>
      </c>
      <c r="W36" s="62">
        <v>39.210229482966341</v>
      </c>
      <c r="X36" s="62">
        <v>14.748750687919511</v>
      </c>
      <c r="Y36" s="66">
        <v>230.98260529494507</v>
      </c>
      <c r="Z36" s="66">
        <v>86.883063518442256</v>
      </c>
      <c r="AA36" s="67">
        <v>0</v>
      </c>
      <c r="AB36" s="68">
        <v>99.369809913635464</v>
      </c>
      <c r="AC36" s="392">
        <v>0</v>
      </c>
      <c r="AD36" s="401">
        <v>12.763139976300026</v>
      </c>
      <c r="AE36" s="401">
        <v>4.6313852273791101</v>
      </c>
      <c r="AF36" s="392">
        <v>16.115251790814916</v>
      </c>
      <c r="AG36" s="68">
        <v>11.556273729744976</v>
      </c>
      <c r="AH36" s="68">
        <v>4.346840158010421</v>
      </c>
      <c r="AI36" s="68">
        <v>0.72666735655101655</v>
      </c>
      <c r="AJ36" s="392">
        <v>383.70769861539213</v>
      </c>
      <c r="AK36" s="392">
        <v>1182.0946375528972</v>
      </c>
      <c r="AL36" s="392">
        <v>2906.6393717447922</v>
      </c>
      <c r="AM36" s="392">
        <v>547.08621775309246</v>
      </c>
      <c r="AN36" s="392">
        <v>2980.665477879842</v>
      </c>
      <c r="AO36" s="392">
        <v>2342.8084433237714</v>
      </c>
      <c r="AP36" s="392">
        <v>659.07275390625</v>
      </c>
      <c r="AQ36" s="392">
        <v>2129.9441528320312</v>
      </c>
      <c r="AR36" s="392">
        <v>369.590388250351</v>
      </c>
      <c r="AS36" s="392">
        <v>711.48797855377177</v>
      </c>
    </row>
    <row r="37" spans="1:45" x14ac:dyDescent="0.25">
      <c r="A37" s="11">
        <v>42885</v>
      </c>
      <c r="B37" s="65"/>
      <c r="C37" s="66">
        <v>54.951729879776799</v>
      </c>
      <c r="D37" s="66">
        <v>636.50561745961454</v>
      </c>
      <c r="E37" s="66">
        <v>15.58658363719781</v>
      </c>
      <c r="F37" s="66">
        <v>0</v>
      </c>
      <c r="G37" s="66">
        <v>1291.355906677247</v>
      </c>
      <c r="H37" s="67">
        <v>22.4312537183364</v>
      </c>
      <c r="I37" s="71">
        <v>148.46951368649806</v>
      </c>
      <c r="J37" s="66">
        <v>638.73637024561674</v>
      </c>
      <c r="K37" s="66">
        <v>35.012339621782303</v>
      </c>
      <c r="L37" s="66">
        <v>0</v>
      </c>
      <c r="M37" s="66">
        <v>0</v>
      </c>
      <c r="N37" s="67">
        <v>0</v>
      </c>
      <c r="O37" s="71">
        <v>0</v>
      </c>
      <c r="P37" s="66">
        <v>0</v>
      </c>
      <c r="Q37" s="66">
        <v>0</v>
      </c>
      <c r="R37" s="391">
        <v>0</v>
      </c>
      <c r="S37" s="66">
        <v>0</v>
      </c>
      <c r="T37" s="67">
        <v>0</v>
      </c>
      <c r="U37" s="71">
        <v>400.73127481968055</v>
      </c>
      <c r="V37" s="66">
        <v>135.73521613778988</v>
      </c>
      <c r="W37" s="62">
        <v>44.011233868676847</v>
      </c>
      <c r="X37" s="62">
        <v>14.90743227950893</v>
      </c>
      <c r="Y37" s="66">
        <v>274.70200812449798</v>
      </c>
      <c r="Z37" s="66">
        <v>93.046734281075956</v>
      </c>
      <c r="AA37" s="67">
        <v>0</v>
      </c>
      <c r="AB37" s="68">
        <v>105.00124105877244</v>
      </c>
      <c r="AC37" s="392">
        <v>0</v>
      </c>
      <c r="AD37" s="401">
        <v>13.904040234283858</v>
      </c>
      <c r="AE37" s="401">
        <v>4.4845075639702463</v>
      </c>
      <c r="AF37" s="392">
        <v>17.911146568589743</v>
      </c>
      <c r="AG37" s="68">
        <v>13.162042408978026</v>
      </c>
      <c r="AH37" s="68">
        <v>4.4582311974559357</v>
      </c>
      <c r="AI37" s="68">
        <v>0.74698286206929077</v>
      </c>
      <c r="AJ37" s="392">
        <v>342.49479751586921</v>
      </c>
      <c r="AK37" s="392">
        <v>1145.0504623413087</v>
      </c>
      <c r="AL37" s="392">
        <v>2949.56098353068</v>
      </c>
      <c r="AM37" s="392">
        <v>559.82568165461214</v>
      </c>
      <c r="AN37" s="392">
        <v>3009.3206277211507</v>
      </c>
      <c r="AO37" s="392">
        <v>2427.5533634185786</v>
      </c>
      <c r="AP37" s="392">
        <v>659.07275390625</v>
      </c>
      <c r="AQ37" s="392">
        <v>2129.9441528320312</v>
      </c>
      <c r="AR37" s="392">
        <v>345.97715233167008</v>
      </c>
      <c r="AS37" s="392">
        <v>721.44893630345666</v>
      </c>
    </row>
    <row r="38" spans="1:45" ht="15.75" thickBot="1" x14ac:dyDescent="0.3">
      <c r="A38" s="11">
        <v>42886</v>
      </c>
      <c r="B38" s="383"/>
      <c r="C38" s="385">
        <v>56.412569153308844</v>
      </c>
      <c r="D38" s="385">
        <v>650.30870110193871</v>
      </c>
      <c r="E38" s="385">
        <v>16.115510726471697</v>
      </c>
      <c r="F38" s="385">
        <v>0</v>
      </c>
      <c r="G38" s="385">
        <v>1228.5439948399869</v>
      </c>
      <c r="H38" s="386">
        <v>20.874896443883603</v>
      </c>
      <c r="I38" s="387">
        <v>148.816062561671</v>
      </c>
      <c r="J38" s="385">
        <v>639.95297978719225</v>
      </c>
      <c r="K38" s="385">
        <v>34.957127573092805</v>
      </c>
      <c r="L38" s="385">
        <v>0</v>
      </c>
      <c r="M38" s="385">
        <v>0</v>
      </c>
      <c r="N38" s="386">
        <v>0</v>
      </c>
      <c r="O38" s="387">
        <v>0</v>
      </c>
      <c r="P38" s="385">
        <v>0</v>
      </c>
      <c r="Q38" s="385">
        <v>0</v>
      </c>
      <c r="R38" s="388">
        <v>0</v>
      </c>
      <c r="S38" s="385">
        <v>0</v>
      </c>
      <c r="T38" s="389">
        <v>0</v>
      </c>
      <c r="U38" s="387">
        <v>423.61374581536359</v>
      </c>
      <c r="V38" s="385">
        <v>141.17563531782389</v>
      </c>
      <c r="W38" s="384">
        <v>45.773889144421922</v>
      </c>
      <c r="X38" s="384">
        <v>15.25483520014954</v>
      </c>
      <c r="Y38" s="385">
        <v>272.34297925936016</v>
      </c>
      <c r="Z38" s="385">
        <v>90.762383187742813</v>
      </c>
      <c r="AA38" s="386">
        <v>0</v>
      </c>
      <c r="AB38" s="390">
        <v>104.83785664770187</v>
      </c>
      <c r="AC38" s="85">
        <v>0</v>
      </c>
      <c r="AD38" s="401">
        <v>13.929208021547714</v>
      </c>
      <c r="AE38" s="401">
        <v>4.5820721484250875</v>
      </c>
      <c r="AF38" s="85">
        <v>18.291474950313546</v>
      </c>
      <c r="AG38" s="390">
        <v>13.500985931691645</v>
      </c>
      <c r="AH38" s="390">
        <v>4.4994060866814376</v>
      </c>
      <c r="AI38" s="390">
        <v>0.75003843904683443</v>
      </c>
      <c r="AJ38" s="85">
        <v>313.13878409067797</v>
      </c>
      <c r="AK38" s="85">
        <v>1124.4715829213458</v>
      </c>
      <c r="AL38" s="85">
        <v>2946.6957884470621</v>
      </c>
      <c r="AM38" s="85">
        <v>582.69874976476035</v>
      </c>
      <c r="AN38" s="85">
        <v>2722.9176765441894</v>
      </c>
      <c r="AO38" s="85">
        <v>2500.2755367279046</v>
      </c>
      <c r="AP38" s="85">
        <v>659.07275390625</v>
      </c>
      <c r="AQ38" s="85">
        <v>2129.9441528320312</v>
      </c>
      <c r="AR38" s="85">
        <v>357.34354513486227</v>
      </c>
      <c r="AS38" s="85">
        <v>777.5278109868367</v>
      </c>
    </row>
    <row r="39" spans="1:45" ht="15.75" thickTop="1" x14ac:dyDescent="0.25">
      <c r="A39" s="46" t="s">
        <v>173</v>
      </c>
      <c r="B39" s="29">
        <f t="shared" ref="B39:AC39" si="0">SUM(B8:B36)</f>
        <v>0</v>
      </c>
      <c r="C39" s="30">
        <f t="shared" si="0"/>
        <v>1603.4320893347265</v>
      </c>
      <c r="D39" s="30">
        <f t="shared" si="0"/>
        <v>18385.275708166751</v>
      </c>
      <c r="E39" s="30">
        <f t="shared" si="0"/>
        <v>464.94481500039416</v>
      </c>
      <c r="F39" s="30">
        <f t="shared" si="0"/>
        <v>0</v>
      </c>
      <c r="G39" s="30">
        <f t="shared" si="0"/>
        <v>37933.711246140803</v>
      </c>
      <c r="H39" s="31">
        <f t="shared" si="0"/>
        <v>655.58524028261525</v>
      </c>
      <c r="I39" s="29">
        <f t="shared" si="0"/>
        <v>3428.0523894389471</v>
      </c>
      <c r="J39" s="30">
        <f t="shared" si="0"/>
        <v>15596.035118468595</v>
      </c>
      <c r="K39" s="30">
        <f t="shared" si="0"/>
        <v>857.11785814563427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9164.3563944371163</v>
      </c>
      <c r="V39" s="262">
        <f t="shared" si="0"/>
        <v>3574.7068778483404</v>
      </c>
      <c r="W39" s="262">
        <f t="shared" si="0"/>
        <v>1070.868081418831</v>
      </c>
      <c r="X39" s="262">
        <f t="shared" si="0"/>
        <v>421.43843091710471</v>
      </c>
      <c r="Y39" s="262">
        <f t="shared" si="0"/>
        <v>5733.3730229922285</v>
      </c>
      <c r="Z39" s="262">
        <f t="shared" si="0"/>
        <v>2241.9061431340201</v>
      </c>
      <c r="AA39" s="270">
        <f t="shared" si="0"/>
        <v>0</v>
      </c>
      <c r="AB39" s="273">
        <f t="shared" si="0"/>
        <v>2450.2910647153885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SUM(AJ8:AJ36)</f>
        <v>10663.0294059515</v>
      </c>
      <c r="AK39" s="273">
        <f t="shared" si="1"/>
        <v>34375.905895233154</v>
      </c>
      <c r="AL39" s="273">
        <f t="shared" si="1"/>
        <v>83338.782121149692</v>
      </c>
      <c r="AM39" s="273">
        <f t="shared" si="1"/>
        <v>15913.155385367076</v>
      </c>
      <c r="AN39" s="273">
        <f t="shared" si="1"/>
        <v>87284.586569404593</v>
      </c>
      <c r="AO39" s="273">
        <f t="shared" si="1"/>
        <v>69398.917737579337</v>
      </c>
      <c r="AP39" s="273">
        <f t="shared" si="1"/>
        <v>19128.382831796007</v>
      </c>
      <c r="AQ39" s="273">
        <f t="shared" si="1"/>
        <v>49184.82756868998</v>
      </c>
      <c r="AR39" s="273">
        <f t="shared" si="1"/>
        <v>11258.792963985603</v>
      </c>
      <c r="AS39" s="273">
        <f t="shared" si="1"/>
        <v>19920.420010042191</v>
      </c>
    </row>
    <row r="40" spans="1:45" ht="15.75" thickBot="1" x14ac:dyDescent="0.3">
      <c r="A40" s="47" t="s">
        <v>174</v>
      </c>
      <c r="B40" s="32">
        <f>Projection!$AB$30</f>
        <v>0.82128400199999985</v>
      </c>
      <c r="C40" s="33">
        <f>Projection!$AB$28</f>
        <v>1.0959093599999998</v>
      </c>
      <c r="D40" s="33">
        <f>Projection!$AB$31</f>
        <v>2.504502</v>
      </c>
      <c r="E40" s="33">
        <f>Projection!$AB$26</f>
        <v>3.9898560000000005</v>
      </c>
      <c r="F40" s="33">
        <f>Projection!$AB$23</f>
        <v>0</v>
      </c>
      <c r="G40" s="33">
        <f>Projection!$AB$24</f>
        <v>5.5265000000000002E-2</v>
      </c>
      <c r="H40" s="34">
        <f>Projection!$AB$29</f>
        <v>3.1332129000000002</v>
      </c>
      <c r="I40" s="32">
        <f>Projection!$AB$30</f>
        <v>0.82128400199999985</v>
      </c>
      <c r="J40" s="33">
        <f>Projection!$AB$28</f>
        <v>1.0959093599999998</v>
      </c>
      <c r="K40" s="33">
        <f>Projection!$AB$26</f>
        <v>3.9898560000000005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1.0959093599999998</v>
      </c>
      <c r="T40" s="38">
        <f>Projection!$AB$28</f>
        <v>1.0959093599999998</v>
      </c>
      <c r="U40" s="26">
        <f>Projection!$AB$27</f>
        <v>0.23200000000000001</v>
      </c>
      <c r="V40" s="27">
        <f>Projection!$AB$27</f>
        <v>0.23200000000000001</v>
      </c>
      <c r="W40" s="27">
        <f>Projection!$AB$22</f>
        <v>0.74349432000000004</v>
      </c>
      <c r="X40" s="27">
        <f>Projection!$AB$22</f>
        <v>0.74349432000000004</v>
      </c>
      <c r="Y40" s="27">
        <f>Projection!$AB$31</f>
        <v>2.504502</v>
      </c>
      <c r="Z40" s="27">
        <f>Projection!$AB$31</f>
        <v>2.504502</v>
      </c>
      <c r="AA40" s="28">
        <v>0</v>
      </c>
      <c r="AB40" s="41">
        <f>Projection!$AB$27</f>
        <v>0.23200000000000001</v>
      </c>
      <c r="AC40" s="41">
        <f>Projection!$AB$30</f>
        <v>0.82128400199999985</v>
      </c>
      <c r="AD40" s="403">
        <f>SUM(AD8:AD38)</f>
        <v>367.38229714160997</v>
      </c>
      <c r="AE40" s="403">
        <f>SUM(AE8:AE38)</f>
        <v>139.29345116750775</v>
      </c>
      <c r="AF40" s="277">
        <f>SUM(AF8:AF36)</f>
        <v>454.23196273346736</v>
      </c>
      <c r="AG40" s="277">
        <f>SUM(AG8:AG36)</f>
        <v>322.22499662118696</v>
      </c>
      <c r="AH40" s="277">
        <f>SUM(AH8:AH36)</f>
        <v>126.37765647091601</v>
      </c>
      <c r="AI40" s="277">
        <f>IF(SUM(AG40:AH40)&gt;0, AG40/(AG40+AH40), 0)</f>
        <v>0.7182859807006774</v>
      </c>
      <c r="AJ40" s="313">
        <v>6.5000000000000002E-2</v>
      </c>
      <c r="AK40" s="313">
        <f t="shared" ref="AK40:AS40" si="2">$AJ$40</f>
        <v>6.5000000000000002E-2</v>
      </c>
      <c r="AL40" s="313">
        <f t="shared" si="2"/>
        <v>6.5000000000000002E-2</v>
      </c>
      <c r="AM40" s="313">
        <f t="shared" si="2"/>
        <v>6.5000000000000002E-2</v>
      </c>
      <c r="AN40" s="313">
        <f t="shared" si="2"/>
        <v>6.5000000000000002E-2</v>
      </c>
      <c r="AO40" s="313">
        <f t="shared" si="2"/>
        <v>6.5000000000000002E-2</v>
      </c>
      <c r="AP40" s="313">
        <f t="shared" si="2"/>
        <v>6.5000000000000002E-2</v>
      </c>
      <c r="AQ40" s="313">
        <f t="shared" si="2"/>
        <v>6.5000000000000002E-2</v>
      </c>
      <c r="AR40" s="313">
        <f t="shared" si="2"/>
        <v>6.5000000000000002E-2</v>
      </c>
      <c r="AS40" s="313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1757.2162348262827</v>
      </c>
      <c r="D41" s="36">
        <f t="shared" si="3"/>
        <v>46045.959781655045</v>
      </c>
      <c r="E41" s="36">
        <f t="shared" si="3"/>
        <v>1855.0628597982129</v>
      </c>
      <c r="F41" s="36">
        <f t="shared" si="3"/>
        <v>0</v>
      </c>
      <c r="G41" s="36">
        <f t="shared" si="3"/>
        <v>2096.4065520179715</v>
      </c>
      <c r="H41" s="37">
        <f t="shared" si="3"/>
        <v>2054.08813190309</v>
      </c>
      <c r="I41" s="35">
        <f t="shared" si="3"/>
        <v>2815.4045854640804</v>
      </c>
      <c r="J41" s="36">
        <f t="shared" si="3"/>
        <v>17091.840865218441</v>
      </c>
      <c r="K41" s="36">
        <f t="shared" si="3"/>
        <v>3419.776829029508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2126.130683509411</v>
      </c>
      <c r="V41" s="268">
        <f t="shared" si="3"/>
        <v>829.33199566081498</v>
      </c>
      <c r="W41" s="268">
        <f t="shared" si="3"/>
        <v>796.18433600419849</v>
      </c>
      <c r="X41" s="268">
        <f t="shared" si="3"/>
        <v>313.33707961657979</v>
      </c>
      <c r="Y41" s="268">
        <f t="shared" si="3"/>
        <v>14359.244202830083</v>
      </c>
      <c r="Z41" s="268">
        <f t="shared" si="3"/>
        <v>5614.8584192914395</v>
      </c>
      <c r="AA41" s="272">
        <f t="shared" si="3"/>
        <v>0</v>
      </c>
      <c r="AB41" s="275">
        <f t="shared" si="3"/>
        <v>568.4675270139702</v>
      </c>
      <c r="AC41" s="275">
        <f t="shared" si="3"/>
        <v>0</v>
      </c>
      <c r="AJ41" s="278">
        <f t="shared" ref="AJ41:AS41" si="4">AJ40*AJ39</f>
        <v>693.09691138684752</v>
      </c>
      <c r="AK41" s="278">
        <f t="shared" si="4"/>
        <v>2234.433883190155</v>
      </c>
      <c r="AL41" s="278">
        <f t="shared" si="4"/>
        <v>5417.0208378747302</v>
      </c>
      <c r="AM41" s="278">
        <f t="shared" si="4"/>
        <v>1034.3551000488599</v>
      </c>
      <c r="AN41" s="278">
        <f t="shared" si="4"/>
        <v>5673.4981270112985</v>
      </c>
      <c r="AO41" s="278">
        <f t="shared" si="4"/>
        <v>4510.9296529426574</v>
      </c>
      <c r="AP41" s="278">
        <f t="shared" si="4"/>
        <v>1243.3448840667404</v>
      </c>
      <c r="AQ41" s="278">
        <f t="shared" si="4"/>
        <v>3197.0137919648487</v>
      </c>
      <c r="AR41" s="278">
        <f t="shared" si="4"/>
        <v>731.82154265906422</v>
      </c>
      <c r="AS41" s="278">
        <f t="shared" si="4"/>
        <v>1294.8273006527425</v>
      </c>
    </row>
    <row r="42" spans="1:45" ht="49.5" customHeight="1" thickTop="1" thickBot="1" x14ac:dyDescent="0.3">
      <c r="A42" s="620" t="s">
        <v>228</v>
      </c>
      <c r="B42" s="621"/>
      <c r="C42" s="621"/>
      <c r="D42" s="621"/>
      <c r="E42" s="621"/>
      <c r="F42" s="621"/>
      <c r="G42" s="621"/>
      <c r="H42" s="621"/>
      <c r="I42" s="621"/>
      <c r="J42" s="621"/>
      <c r="K42" s="614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186</v>
      </c>
      <c r="AJ42" s="295"/>
      <c r="AK42" s="278" t="s">
        <v>199</v>
      </c>
      <c r="AL42" s="278">
        <v>1150.45</v>
      </c>
      <c r="AM42" s="278">
        <v>773.37</v>
      </c>
      <c r="AN42" s="278">
        <v>465.52</v>
      </c>
      <c r="AO42" s="278">
        <v>4472</v>
      </c>
      <c r="AP42" s="278">
        <v>982.45</v>
      </c>
      <c r="AQ42" s="278" t="s">
        <v>199</v>
      </c>
      <c r="AR42" s="278">
        <v>143.72</v>
      </c>
      <c r="AS42" s="278">
        <v>262.02999999999997</v>
      </c>
    </row>
    <row r="43" spans="1:45" ht="38.25" customHeight="1" thickTop="1" thickBot="1" x14ac:dyDescent="0.3">
      <c r="A43" s="617" t="s">
        <v>49</v>
      </c>
      <c r="B43" s="613"/>
      <c r="C43" s="289"/>
      <c r="D43" s="613" t="s">
        <v>47</v>
      </c>
      <c r="E43" s="613"/>
      <c r="F43" s="289"/>
      <c r="G43" s="613" t="s">
        <v>48</v>
      </c>
      <c r="H43" s="613"/>
      <c r="I43" s="290"/>
      <c r="J43" s="613" t="s">
        <v>50</v>
      </c>
      <c r="K43" s="614"/>
      <c r="L43" s="44"/>
      <c r="M43" s="44"/>
      <c r="N43" s="44"/>
      <c r="O43" s="45"/>
      <c r="P43" s="45"/>
      <c r="Q43" s="45"/>
      <c r="R43" s="602" t="s">
        <v>168</v>
      </c>
      <c r="S43" s="603"/>
      <c r="T43" s="603"/>
      <c r="U43" s="604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101743.31008383914</v>
      </c>
      <c r="C44" s="12"/>
      <c r="D44" s="282" t="s">
        <v>135</v>
      </c>
      <c r="E44" s="283">
        <f>SUM(B41:H41)+P41+R41+T41+V41+X41+Z41</f>
        <v>60566.261054769442</v>
      </c>
      <c r="F44" s="12"/>
      <c r="G44" s="282" t="s">
        <v>135</v>
      </c>
      <c r="H44" s="283">
        <f>SUM(I41:N41)+O41+Q41+S41+U41+W41+Y41</f>
        <v>40608.58150205572</v>
      </c>
      <c r="I44" s="12"/>
      <c r="J44" s="282" t="s">
        <v>200</v>
      </c>
      <c r="K44" s="283">
        <v>139032.22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5" ht="24" thickBot="1" x14ac:dyDescent="0.4">
      <c r="A45" s="284" t="s">
        <v>185</v>
      </c>
      <c r="B45" s="285">
        <f>SUM(AJ41:AS41)</f>
        <v>26030.342031797947</v>
      </c>
      <c r="C45" s="12"/>
      <c r="D45" s="284" t="s">
        <v>185</v>
      </c>
      <c r="E45" s="285">
        <f>AJ41*(1-$AI$40)+AK41+AL41*0.5+AN41+AO41*(1-$AI$40)+AP41*(1-$AI$40)+AQ41*(1-$AI$40)+AR41*0.5+AS41*0.5</f>
        <v>14346.725380527911</v>
      </c>
      <c r="F45" s="24"/>
      <c r="G45" s="284" t="s">
        <v>185</v>
      </c>
      <c r="H45" s="285">
        <f>AJ41*AI40+AL41*0.5+AM41+AO41*AI40+AP41*AI40+AQ41*AI40+AR41*0.5+AS41*0.5</f>
        <v>11683.616651270035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1492.3065123359356</v>
      </c>
      <c r="U45" s="256">
        <f>(T45*8.34*0.895)/27000</f>
        <v>0.41255642592700464</v>
      </c>
    </row>
    <row r="46" spans="1:45" ht="32.25" thickBot="1" x14ac:dyDescent="0.3">
      <c r="A46" s="286" t="s">
        <v>186</v>
      </c>
      <c r="B46" s="287">
        <f>SUM(AJ42:AS42)</f>
        <v>8249.5400000000009</v>
      </c>
      <c r="C46" s="12"/>
      <c r="D46" s="286" t="s">
        <v>186</v>
      </c>
      <c r="E46" s="287">
        <f>AJ42*(1-$AI$40)+AL42*0.5+AN42+AO42*(1-$AI$40)+AP42*(1-$AI$40)+AR42*0.5+AS42*0.5</f>
        <v>2780.2150325671901</v>
      </c>
      <c r="F46" s="23"/>
      <c r="G46" s="286" t="s">
        <v>186</v>
      </c>
      <c r="H46" s="287">
        <f>AJ42*AI40+AL42*0.5+AM42+AO42*AI40+AP42*AI40+AR42*0.5+AS42*0.5</f>
        <v>5469.3249674328108</v>
      </c>
      <c r="I46" s="12"/>
      <c r="J46" s="615" t="s">
        <v>201</v>
      </c>
      <c r="K46" s="616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187</v>
      </c>
      <c r="B47" s="287">
        <f>K44</f>
        <v>139032.22</v>
      </c>
      <c r="C47" s="12"/>
      <c r="D47" s="286" t="s">
        <v>189</v>
      </c>
      <c r="E47" s="287">
        <f>K44*0.5</f>
        <v>69516.11</v>
      </c>
      <c r="F47" s="24"/>
      <c r="G47" s="286" t="s">
        <v>187</v>
      </c>
      <c r="H47" s="287">
        <f>K44*0.5</f>
        <v>69516.11</v>
      </c>
      <c r="I47" s="12"/>
      <c r="J47" s="282" t="s">
        <v>200</v>
      </c>
      <c r="K47" s="283">
        <v>101867.13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37933.711246140803</v>
      </c>
      <c r="U47" s="256">
        <f>T47/40000</f>
        <v>0.94834278115352011</v>
      </c>
    </row>
    <row r="48" spans="1:45" ht="24" thickBot="1" x14ac:dyDescent="0.3">
      <c r="A48" s="286" t="s">
        <v>188</v>
      </c>
      <c r="B48" s="287">
        <f>K47</f>
        <v>101867.13</v>
      </c>
      <c r="C48" s="12"/>
      <c r="D48" s="286" t="s">
        <v>188</v>
      </c>
      <c r="E48" s="287">
        <f>K47*0.5</f>
        <v>50933.565000000002</v>
      </c>
      <c r="F48" s="23"/>
      <c r="G48" s="286" t="s">
        <v>188</v>
      </c>
      <c r="H48" s="287">
        <f>K47*0.5</f>
        <v>50933.565000000002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196</v>
      </c>
      <c r="B49" s="292">
        <f>AF40</f>
        <v>454.23196273346736</v>
      </c>
      <c r="C49" s="12"/>
      <c r="D49" s="291" t="s">
        <v>197</v>
      </c>
      <c r="E49" s="292">
        <f>AH40</f>
        <v>126.37765647091601</v>
      </c>
      <c r="F49" s="23"/>
      <c r="G49" s="291" t="s">
        <v>198</v>
      </c>
      <c r="H49" s="292">
        <f>AG40</f>
        <v>322.22499662118696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1322.0626731460284</v>
      </c>
      <c r="U49" s="256">
        <f>(T49*8.34*1.04)/45000</f>
        <v>0.25482317337331978</v>
      </c>
    </row>
    <row r="50" spans="1:25" ht="48" customHeight="1" thickTop="1" thickBot="1" x14ac:dyDescent="0.3">
      <c r="A50" s="291" t="s">
        <v>238</v>
      </c>
      <c r="B50" s="292">
        <f>SUM(E50+H50)</f>
        <v>506.67574830911769</v>
      </c>
      <c r="C50" s="12"/>
      <c r="D50" s="291" t="s">
        <v>241</v>
      </c>
      <c r="E50" s="292">
        <f>AE40</f>
        <v>139.29345116750775</v>
      </c>
      <c r="F50" s="23"/>
      <c r="G50" s="291" t="s">
        <v>242</v>
      </c>
      <c r="H50" s="292">
        <f>AD40</f>
        <v>367.38229714160997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192</v>
      </c>
      <c r="B51" s="293">
        <f>(SUM(B44:B48)/B50)</f>
        <v>743.91273585425392</v>
      </c>
      <c r="C51" s="12"/>
      <c r="D51" s="291" t="s">
        <v>190</v>
      </c>
      <c r="E51" s="294">
        <f>SUM(E44:E48)/E50</f>
        <v>1422.4852267432677</v>
      </c>
      <c r="F51" s="375">
        <f>E44/E49</f>
        <v>479.24817365724687</v>
      </c>
      <c r="G51" s="291" t="s">
        <v>191</v>
      </c>
      <c r="H51" s="294">
        <f>SUM(H44:H48)/H50</f>
        <v>485.08379284281591</v>
      </c>
      <c r="I51" s="365">
        <f>H44/H49</f>
        <v>126.02554714212889</v>
      </c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15189.354337000845</v>
      </c>
      <c r="U51" s="256">
        <f>T51/2000/8</f>
        <v>0.9493346460625528</v>
      </c>
    </row>
    <row r="52" spans="1:25" ht="57" customHeight="1" thickTop="1" thickBot="1" x14ac:dyDescent="0.3">
      <c r="A52" s="281" t="s">
        <v>193</v>
      </c>
      <c r="B52" s="294">
        <f>B51/1000</f>
        <v>0.74391273585425388</v>
      </c>
      <c r="C52" s="12"/>
      <c r="D52" s="281" t="s">
        <v>194</v>
      </c>
      <c r="E52" s="294">
        <f>E51/1000</f>
        <v>1.4224852267432677</v>
      </c>
      <c r="F52" s="12"/>
      <c r="G52" s="281" t="s">
        <v>195</v>
      </c>
      <c r="H52" s="294">
        <f>H51/1000</f>
        <v>0.48508379284281589</v>
      </c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17199.467207803322</v>
      </c>
      <c r="U52" s="256">
        <f>(T52*8.34*1.4)/45000</f>
        <v>4.4626884248513683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655.58524028261525</v>
      </c>
      <c r="U53" s="256">
        <f>(T53*8.34*1.135)/45000</f>
        <v>0.13790454057758239</v>
      </c>
    </row>
    <row r="54" spans="1:25" ht="48" customHeight="1" thickTop="1" thickBot="1" x14ac:dyDescent="0.3">
      <c r="A54" s="605" t="s">
        <v>51</v>
      </c>
      <c r="B54" s="606"/>
      <c r="C54" s="606"/>
      <c r="D54" s="606"/>
      <c r="E54" s="607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3428.0523894389471</v>
      </c>
      <c r="U54" s="256">
        <f>(T54*8.34*1.029*0.03)/3300</f>
        <v>0.26744605162573198</v>
      </c>
    </row>
    <row r="55" spans="1:25" ht="45.75" customHeight="1" thickBot="1" x14ac:dyDescent="0.3">
      <c r="A55" s="610" t="s">
        <v>202</v>
      </c>
      <c r="B55" s="611"/>
      <c r="C55" s="611"/>
      <c r="D55" s="611"/>
      <c r="E55" s="612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18" t="s">
        <v>158</v>
      </c>
      <c r="S55" s="619"/>
      <c r="T55" s="258">
        <f>$D$39+$Y$39+$Z$39</f>
        <v>26360.554874293</v>
      </c>
      <c r="U55" s="259">
        <f>(T55*1.54*8.34)/45000</f>
        <v>7.5236538351882132</v>
      </c>
    </row>
    <row r="56" spans="1:25" ht="24" thickTop="1" x14ac:dyDescent="0.25">
      <c r="A56" s="647"/>
      <c r="B56" s="64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49"/>
      <c r="B57" s="65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45"/>
      <c r="B58" s="64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46"/>
      <c r="B59" s="64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45"/>
      <c r="B60" s="64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46"/>
      <c r="B61" s="646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  <row r="65" spans="1:3" x14ac:dyDescent="0.25">
      <c r="A65" s="12"/>
      <c r="B65" s="12"/>
      <c r="C65" s="12"/>
    </row>
  </sheetData>
  <sheetProtection algorithmName="SHA-512" hashValue="N/cc3m/vC4a3TZWebflJkfykcWq8HnA9eMnW9BZVZ3Ds900Xqn4MX+WlFQvUJkUzYyB4R+W8VjRPhUTv/jWBlg==" saltValue="XFtMjWTYc5X6DhF2oBW+5A==" spinCount="100000" sheet="1" objects="1" scenarios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Instructions</vt:lpstr>
      <vt:lpstr>Yearly Summary </vt:lpstr>
      <vt:lpstr>Projection Instructions</vt:lpstr>
      <vt:lpstr>Projection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>City of Aurora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Bong</dc:creator>
  <cp:lastModifiedBy>Conte, Chris</cp:lastModifiedBy>
  <cp:lastPrinted>2017-01-18T15:43:36Z</cp:lastPrinted>
  <dcterms:created xsi:type="dcterms:W3CDTF">2010-10-11T23:47:50Z</dcterms:created>
  <dcterms:modified xsi:type="dcterms:W3CDTF">2018-01-19T17:22:11Z</dcterms:modified>
</cp:coreProperties>
</file>