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"/>
    </mc:Choice>
  </mc:AlternateContent>
  <xr:revisionPtr revIDLastSave="0" documentId="10_ncr:100000_{9146C346-492A-407D-90C3-8B30B676401D}" xr6:coauthVersionLast="31" xr6:coauthVersionMax="31" xr10:uidLastSave="{00000000-0000-0000-0000-000000000000}"/>
  <workbookProtection workbookAlgorithmName="SHA-512" workbookHashValue="ASG4qAVzMNwbKr50B967C9xiXAvy1xBhk7Hbou5z7bPRZnsYgNEX9yVmtv3Px/rDMUG7TXauCO1sDlvdFScjVg==" workbookSaltValue="JRuaQf31r9wOQEW/lWfLfg==" workbookSpinCount="100000" lockStructure="1"/>
  <bookViews>
    <workbookView xWindow="7065" yWindow="1140" windowWidth="19320" windowHeight="12120" tabRatio="875" firstSheet="3" activeTab="15" xr2:uid="{00000000-000D-0000-FFFF-FFFF00000000}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APRIL!$A$42:$K$55</definedName>
    <definedName name="_xlnm.Print_Area" localSheetId="11">AUGUST!$A$42:$K$55</definedName>
    <definedName name="_xlnm.Print_Area" localSheetId="15">DECEMBER!$A$42:$K$55</definedName>
    <definedName name="_xlnm.Print_Area" localSheetId="5">FEBRUARY!$A$42:$K$55</definedName>
    <definedName name="_xlnm.Print_Area" localSheetId="4">JANUARY!$A$42:$K$55</definedName>
    <definedName name="_xlnm.Print_Area" localSheetId="10">JULY!$A$42:$K$55</definedName>
    <definedName name="_xlnm.Print_Area" localSheetId="9">JUNE!$A$42:$K$55</definedName>
    <definedName name="_xlnm.Print_Area" localSheetId="6">MARCH!$A$42:$K$55</definedName>
    <definedName name="_xlnm.Print_Area" localSheetId="8">MAY!$A$42:$K$55</definedName>
    <definedName name="_xlnm.Print_Area" localSheetId="14">NOVEMBER!$A$42:$K$55</definedName>
    <definedName name="_xlnm.Print_Area" localSheetId="13">OCTOBER!$A$42:$K$55</definedName>
    <definedName name="_xlnm.Print_Area" localSheetId="12">SEPTEMBER!$A$42:$K$55</definedName>
  </definedNames>
  <calcPr calcId="179017"/>
</workbook>
</file>

<file path=xl/calcChain.xml><?xml version="1.0" encoding="utf-8"?>
<calcChain xmlns="http://schemas.openxmlformats.org/spreadsheetml/2006/main">
  <c r="F51" i="26" l="1"/>
  <c r="I51" i="26"/>
  <c r="H48" i="26" l="1"/>
  <c r="E48" i="26"/>
  <c r="B48" i="26"/>
  <c r="H47" i="26"/>
  <c r="E47" i="26"/>
  <c r="B47" i="26"/>
  <c r="B46" i="26"/>
  <c r="AS40" i="26"/>
  <c r="AR40" i="26"/>
  <c r="AQ40" i="26"/>
  <c r="AP40" i="26"/>
  <c r="AO40" i="26"/>
  <c r="AN40" i="26"/>
  <c r="AM40" i="26"/>
  <c r="AL40" i="26"/>
  <c r="AK40" i="26"/>
  <c r="AH40" i="26"/>
  <c r="E49" i="26" s="1"/>
  <c r="AG40" i="26"/>
  <c r="AI15" i="27" s="1"/>
  <c r="AF40" i="26"/>
  <c r="B49" i="26" s="1"/>
  <c r="AE40" i="26"/>
  <c r="E50" i="26" s="1"/>
  <c r="AD40" i="26"/>
  <c r="H50" i="26" s="1"/>
  <c r="AS39" i="26"/>
  <c r="AR39" i="26"/>
  <c r="AQ39" i="26"/>
  <c r="AP39" i="26"/>
  <c r="AO39" i="26"/>
  <c r="AN39" i="26"/>
  <c r="AM39" i="26"/>
  <c r="AL39" i="26"/>
  <c r="AK39" i="26"/>
  <c r="AJ39" i="26"/>
  <c r="AJ41" i="26" s="1"/>
  <c r="AC39" i="26"/>
  <c r="AD15" i="27" s="1"/>
  <c r="AB39" i="26"/>
  <c r="AC15" i="27" s="1"/>
  <c r="AA39" i="26"/>
  <c r="AA41" i="26" s="1"/>
  <c r="AB29" i="27" s="1"/>
  <c r="Z39" i="26"/>
  <c r="AA15" i="27" s="1"/>
  <c r="Y39" i="26"/>
  <c r="Z15" i="27" s="1"/>
  <c r="X39" i="26"/>
  <c r="Y15" i="27" s="1"/>
  <c r="W39" i="26"/>
  <c r="X15" i="27" s="1"/>
  <c r="V39" i="26"/>
  <c r="W15" i="27" s="1"/>
  <c r="U39" i="26"/>
  <c r="V15" i="27" s="1"/>
  <c r="T39" i="26"/>
  <c r="U15" i="27" s="1"/>
  <c r="S39" i="26"/>
  <c r="T15" i="27" s="1"/>
  <c r="R39" i="26"/>
  <c r="R41" i="26" s="1"/>
  <c r="S29" i="27" s="1"/>
  <c r="Q39" i="26"/>
  <c r="Q41" i="26" s="1"/>
  <c r="R29" i="27" s="1"/>
  <c r="P39" i="26"/>
  <c r="P41" i="26" s="1"/>
  <c r="Q29" i="27" s="1"/>
  <c r="O39" i="26"/>
  <c r="O41" i="26" s="1"/>
  <c r="P29" i="27" s="1"/>
  <c r="N39" i="26"/>
  <c r="O15" i="27" s="1"/>
  <c r="M39" i="26"/>
  <c r="N15" i="27" s="1"/>
  <c r="L39" i="26"/>
  <c r="T48" i="26" s="1"/>
  <c r="U48" i="26" s="1"/>
  <c r="K39" i="26"/>
  <c r="L15" i="27" s="1"/>
  <c r="J39" i="26"/>
  <c r="I39" i="26"/>
  <c r="J15" i="27" s="1"/>
  <c r="H39" i="26"/>
  <c r="T53" i="26" s="1"/>
  <c r="U53" i="26" s="1"/>
  <c r="G39" i="26"/>
  <c r="T47" i="26" s="1"/>
  <c r="U47" i="26" s="1"/>
  <c r="F39" i="26"/>
  <c r="G15" i="27" s="1"/>
  <c r="E39" i="26"/>
  <c r="F15" i="27" s="1"/>
  <c r="D39" i="26"/>
  <c r="E15" i="27" s="1"/>
  <c r="C39" i="26"/>
  <c r="D15" i="27" s="1"/>
  <c r="B39" i="26"/>
  <c r="H48" i="25"/>
  <c r="E48" i="25"/>
  <c r="B48" i="25"/>
  <c r="H47" i="25"/>
  <c r="E47" i="25"/>
  <c r="B47" i="25"/>
  <c r="B46" i="25"/>
  <c r="AS40" i="25"/>
  <c r="AR40" i="25"/>
  <c r="AQ40" i="25"/>
  <c r="AP40" i="25"/>
  <c r="AO40" i="25"/>
  <c r="AN40" i="25"/>
  <c r="AM40" i="25"/>
  <c r="AL40" i="25"/>
  <c r="AK40" i="25"/>
  <c r="AH40" i="25"/>
  <c r="E49" i="25" s="1"/>
  <c r="AG40" i="25"/>
  <c r="AF40" i="25"/>
  <c r="B49" i="25" s="1"/>
  <c r="AE40" i="25"/>
  <c r="E50" i="25" s="1"/>
  <c r="AD40" i="25"/>
  <c r="H50" i="25" s="1"/>
  <c r="AS39" i="25"/>
  <c r="AR39" i="25"/>
  <c r="AQ39" i="25"/>
  <c r="AP39" i="25"/>
  <c r="AP41" i="25" s="1"/>
  <c r="AO39" i="25"/>
  <c r="AN39" i="25"/>
  <c r="AM39" i="25"/>
  <c r="AL39" i="25"/>
  <c r="AL41" i="25" s="1"/>
  <c r="AK39" i="25"/>
  <c r="AJ39" i="25"/>
  <c r="AJ41" i="25" s="1"/>
  <c r="AC39" i="25"/>
  <c r="AB39" i="25"/>
  <c r="AC14" i="27" s="1"/>
  <c r="AA39" i="25"/>
  <c r="AA41" i="25" s="1"/>
  <c r="AB28" i="27" s="1"/>
  <c r="Z39" i="25"/>
  <c r="AA14" i="27" s="1"/>
  <c r="Y39" i="25"/>
  <c r="Z14" i="27" s="1"/>
  <c r="X39" i="25"/>
  <c r="W39" i="25"/>
  <c r="X14" i="27" s="1"/>
  <c r="V39" i="25"/>
  <c r="W14" i="27" s="1"/>
  <c r="U39" i="25"/>
  <c r="V14" i="27" s="1"/>
  <c r="T39" i="25"/>
  <c r="S39" i="25"/>
  <c r="R39" i="25"/>
  <c r="R41" i="25" s="1"/>
  <c r="S28" i="27" s="1"/>
  <c r="Q39" i="25"/>
  <c r="Q41" i="25" s="1"/>
  <c r="R28" i="27" s="1"/>
  <c r="O39" i="25"/>
  <c r="O41" i="25" s="1"/>
  <c r="P28" i="27" s="1"/>
  <c r="N39" i="25"/>
  <c r="M39" i="25"/>
  <c r="N14" i="27" s="1"/>
  <c r="L39" i="25"/>
  <c r="K39" i="25"/>
  <c r="J39" i="25"/>
  <c r="I39" i="25"/>
  <c r="H39" i="25"/>
  <c r="T53" i="25" s="1"/>
  <c r="U53" i="25" s="1"/>
  <c r="G39" i="25"/>
  <c r="T47" i="25" s="1"/>
  <c r="U47" i="25" s="1"/>
  <c r="F39" i="25"/>
  <c r="E39" i="25"/>
  <c r="D39" i="25"/>
  <c r="E14" i="27" s="1"/>
  <c r="C39" i="25"/>
  <c r="D14" i="27" s="1"/>
  <c r="B39" i="25"/>
  <c r="H48" i="6"/>
  <c r="E48" i="6"/>
  <c r="B48" i="6"/>
  <c r="H47" i="6"/>
  <c r="E47" i="6"/>
  <c r="B47" i="6"/>
  <c r="B46" i="6"/>
  <c r="AS40" i="6"/>
  <c r="AR40" i="6"/>
  <c r="AQ40" i="6"/>
  <c r="AP40" i="6"/>
  <c r="AO40" i="6"/>
  <c r="AN40" i="6"/>
  <c r="AM40" i="6"/>
  <c r="AL40" i="6"/>
  <c r="AK40" i="6"/>
  <c r="AH40" i="6"/>
  <c r="AG40" i="6"/>
  <c r="H49" i="6" s="1"/>
  <c r="AF40" i="6"/>
  <c r="B49" i="6" s="1"/>
  <c r="AE40" i="6"/>
  <c r="E50" i="6" s="1"/>
  <c r="AD40" i="6"/>
  <c r="H50" i="6" s="1"/>
  <c r="AS39" i="6"/>
  <c r="AR39" i="6"/>
  <c r="AQ39" i="6"/>
  <c r="AP39" i="6"/>
  <c r="AO39" i="6"/>
  <c r="AN39" i="6"/>
  <c r="AM39" i="6"/>
  <c r="AL39" i="6"/>
  <c r="AK39" i="6"/>
  <c r="AJ39" i="6"/>
  <c r="AJ41" i="6" s="1"/>
  <c r="AC39" i="6"/>
  <c r="AB39" i="6"/>
  <c r="AC13" i="27" s="1"/>
  <c r="AA39" i="6"/>
  <c r="AA41" i="6" s="1"/>
  <c r="AB27" i="27" s="1"/>
  <c r="Z39" i="6"/>
  <c r="AA13" i="27" s="1"/>
  <c r="Y39" i="6"/>
  <c r="Z13" i="27" s="1"/>
  <c r="X39" i="6"/>
  <c r="Y13" i="27" s="1"/>
  <c r="W39" i="6"/>
  <c r="X13" i="27" s="1"/>
  <c r="V39" i="6"/>
  <c r="U39" i="6"/>
  <c r="V13" i="27" s="1"/>
  <c r="T39" i="6"/>
  <c r="S39" i="6"/>
  <c r="R39" i="6"/>
  <c r="R41" i="6" s="1"/>
  <c r="S27" i="27" s="1"/>
  <c r="Q39" i="6"/>
  <c r="Q41" i="6" s="1"/>
  <c r="R27" i="27" s="1"/>
  <c r="P39" i="6"/>
  <c r="P41" i="6" s="1"/>
  <c r="Q27" i="27" s="1"/>
  <c r="O39" i="6"/>
  <c r="O41" i="6" s="1"/>
  <c r="P27" i="27" s="1"/>
  <c r="N39" i="6"/>
  <c r="O13" i="27" s="1"/>
  <c r="M39" i="6"/>
  <c r="N13" i="27" s="1"/>
  <c r="L39" i="6"/>
  <c r="K39" i="6"/>
  <c r="J39" i="6"/>
  <c r="I39" i="6"/>
  <c r="J13" i="27" s="1"/>
  <c r="H39" i="6"/>
  <c r="T53" i="6" s="1"/>
  <c r="U53" i="6" s="1"/>
  <c r="G39" i="6"/>
  <c r="T47" i="6" s="1"/>
  <c r="U47" i="6" s="1"/>
  <c r="F39" i="6"/>
  <c r="G13" i="27" s="1"/>
  <c r="E39" i="6"/>
  <c r="F13" i="27" s="1"/>
  <c r="D39" i="6"/>
  <c r="E13" i="27" s="1"/>
  <c r="C39" i="6"/>
  <c r="D13" i="27" s="1"/>
  <c r="B39" i="6"/>
  <c r="H48" i="16"/>
  <c r="E48" i="16"/>
  <c r="B48" i="16"/>
  <c r="H47" i="16"/>
  <c r="E47" i="16"/>
  <c r="B47" i="16"/>
  <c r="B46" i="16"/>
  <c r="AS40" i="16"/>
  <c r="AR40" i="16"/>
  <c r="AQ40" i="16"/>
  <c r="AP40" i="16"/>
  <c r="AO40" i="16"/>
  <c r="AN40" i="16"/>
  <c r="AM40" i="16"/>
  <c r="AL40" i="16"/>
  <c r="AK40" i="16"/>
  <c r="AH40" i="16"/>
  <c r="AJ12" i="27" s="1"/>
  <c r="AG40" i="16"/>
  <c r="H49" i="16" s="1"/>
  <c r="AF40" i="16"/>
  <c r="B49" i="16" s="1"/>
  <c r="AE40" i="16"/>
  <c r="AF12" i="27" s="1"/>
  <c r="AD40" i="16"/>
  <c r="H50" i="16" s="1"/>
  <c r="AS39" i="16"/>
  <c r="AR39" i="16"/>
  <c r="AQ39" i="16"/>
  <c r="AP39" i="16"/>
  <c r="AO39" i="16"/>
  <c r="AN39" i="16"/>
  <c r="AM39" i="16"/>
  <c r="AL39" i="16"/>
  <c r="AK39" i="16"/>
  <c r="AJ39" i="16"/>
  <c r="AJ41" i="16" s="1"/>
  <c r="AC39" i="16"/>
  <c r="AB39" i="16"/>
  <c r="AC12" i="27" s="1"/>
  <c r="AA39" i="16"/>
  <c r="AA41" i="16" s="1"/>
  <c r="AB26" i="27" s="1"/>
  <c r="Z39" i="16"/>
  <c r="AA12" i="27" s="1"/>
  <c r="Y39" i="16"/>
  <c r="Z12" i="27" s="1"/>
  <c r="X39" i="16"/>
  <c r="W39" i="16"/>
  <c r="V39" i="16"/>
  <c r="W12" i="27" s="1"/>
  <c r="U39" i="16"/>
  <c r="T39" i="16"/>
  <c r="S39" i="16"/>
  <c r="R39" i="16"/>
  <c r="R41" i="16" s="1"/>
  <c r="S26" i="27" s="1"/>
  <c r="Q39" i="16"/>
  <c r="R12" i="27" s="1"/>
  <c r="P39" i="16"/>
  <c r="P41" i="16" s="1"/>
  <c r="Q26" i="27" s="1"/>
  <c r="O39" i="16"/>
  <c r="O41" i="16" s="1"/>
  <c r="P26" i="27" s="1"/>
  <c r="N39" i="16"/>
  <c r="M39" i="16"/>
  <c r="L39" i="16"/>
  <c r="K39" i="16"/>
  <c r="J39" i="16"/>
  <c r="I39" i="16"/>
  <c r="H39" i="16"/>
  <c r="T53" i="16" s="1"/>
  <c r="U53" i="16" s="1"/>
  <c r="G39" i="16"/>
  <c r="F39" i="16"/>
  <c r="E39" i="16"/>
  <c r="D39" i="16"/>
  <c r="E12" i="27" s="1"/>
  <c r="C39" i="16"/>
  <c r="B39" i="16"/>
  <c r="H48" i="23"/>
  <c r="E48" i="23"/>
  <c r="B48" i="23"/>
  <c r="H47" i="23"/>
  <c r="E47" i="23"/>
  <c r="B47" i="23"/>
  <c r="B46" i="23"/>
  <c r="AS40" i="23"/>
  <c r="AR40" i="23"/>
  <c r="AQ40" i="23"/>
  <c r="AP40" i="23"/>
  <c r="AO40" i="23"/>
  <c r="AN40" i="23"/>
  <c r="AM40" i="23"/>
  <c r="AL40" i="23"/>
  <c r="AK40" i="23"/>
  <c r="AH40" i="23"/>
  <c r="E49" i="23" s="1"/>
  <c r="AG40" i="23"/>
  <c r="H49" i="23" s="1"/>
  <c r="AF40" i="23"/>
  <c r="B49" i="23" s="1"/>
  <c r="AE40" i="23"/>
  <c r="E50" i="23" s="1"/>
  <c r="AD40" i="23"/>
  <c r="H50" i="23" s="1"/>
  <c r="AS39" i="23"/>
  <c r="AR39" i="23"/>
  <c r="AQ39" i="23"/>
  <c r="AQ41" i="23" s="1"/>
  <c r="AP39" i="23"/>
  <c r="AP41" i="23" s="1"/>
  <c r="AO39" i="23"/>
  <c r="AN39" i="23"/>
  <c r="AM39" i="23"/>
  <c r="AM41" i="23" s="1"/>
  <c r="AL39" i="23"/>
  <c r="AL41" i="23" s="1"/>
  <c r="AK39" i="23"/>
  <c r="AJ39" i="23"/>
  <c r="AJ41" i="23" s="1"/>
  <c r="AC39" i="23"/>
  <c r="AB39" i="23"/>
  <c r="AC11" i="27" s="1"/>
  <c r="AA39" i="23"/>
  <c r="AA41" i="23" s="1"/>
  <c r="AB25" i="27" s="1"/>
  <c r="Z39" i="23"/>
  <c r="AA11" i="27" s="1"/>
  <c r="Y39" i="23"/>
  <c r="Z11" i="27" s="1"/>
  <c r="X39" i="23"/>
  <c r="W39" i="23"/>
  <c r="X11" i="27" s="1"/>
  <c r="V39" i="23"/>
  <c r="W11" i="27" s="1"/>
  <c r="U39" i="23"/>
  <c r="V11" i="27" s="1"/>
  <c r="T39" i="23"/>
  <c r="S39" i="23"/>
  <c r="R39" i="23"/>
  <c r="R41" i="23" s="1"/>
  <c r="S25" i="27" s="1"/>
  <c r="Q39" i="23"/>
  <c r="Q41" i="23" s="1"/>
  <c r="R25" i="27" s="1"/>
  <c r="P39" i="23"/>
  <c r="P41" i="23" s="1"/>
  <c r="Q25" i="27" s="1"/>
  <c r="O39" i="23"/>
  <c r="O41" i="23" s="1"/>
  <c r="P25" i="27" s="1"/>
  <c r="N39" i="23"/>
  <c r="M39" i="23"/>
  <c r="L39" i="23"/>
  <c r="K39" i="23"/>
  <c r="J39" i="23"/>
  <c r="I39" i="23"/>
  <c r="H39" i="23"/>
  <c r="T53" i="23" s="1"/>
  <c r="U53" i="23" s="1"/>
  <c r="G39" i="23"/>
  <c r="T47" i="23" s="1"/>
  <c r="U47" i="23" s="1"/>
  <c r="F39" i="23"/>
  <c r="E39" i="23"/>
  <c r="F11" i="27" s="1"/>
  <c r="D39" i="23"/>
  <c r="E11" i="27" s="1"/>
  <c r="C39" i="23"/>
  <c r="B39" i="23"/>
  <c r="H48" i="24"/>
  <c r="E48" i="24"/>
  <c r="B48" i="24"/>
  <c r="H47" i="24"/>
  <c r="E47" i="24"/>
  <c r="B47" i="24"/>
  <c r="B46" i="24"/>
  <c r="AS40" i="24"/>
  <c r="AR40" i="24"/>
  <c r="AQ40" i="24"/>
  <c r="AP40" i="24"/>
  <c r="AO40" i="24"/>
  <c r="AN40" i="24"/>
  <c r="AM40" i="24"/>
  <c r="AL40" i="24"/>
  <c r="AK40" i="24"/>
  <c r="AH40" i="24"/>
  <c r="AJ10" i="27" s="1"/>
  <c r="AG40" i="24"/>
  <c r="H49" i="24" s="1"/>
  <c r="AF40" i="24"/>
  <c r="B49" i="24" s="1"/>
  <c r="AE40" i="24"/>
  <c r="E50" i="24" s="1"/>
  <c r="AD40" i="24"/>
  <c r="H50" i="24" s="1"/>
  <c r="AS39" i="24"/>
  <c r="AS41" i="24" s="1"/>
  <c r="AR39" i="24"/>
  <c r="AQ39" i="24"/>
  <c r="AP39" i="24"/>
  <c r="AP41" i="24" s="1"/>
  <c r="AO39" i="24"/>
  <c r="AO41" i="24" s="1"/>
  <c r="AN39" i="24"/>
  <c r="AM39" i="24"/>
  <c r="AL39" i="24"/>
  <c r="AL41" i="24" s="1"/>
  <c r="AK39" i="24"/>
  <c r="AK41" i="24" s="1"/>
  <c r="AJ39" i="24"/>
  <c r="AJ41" i="24" s="1"/>
  <c r="AC39" i="24"/>
  <c r="AB39" i="24"/>
  <c r="AC10" i="27" s="1"/>
  <c r="AA39" i="24"/>
  <c r="AA41" i="24" s="1"/>
  <c r="AB24" i="27" s="1"/>
  <c r="Z39" i="24"/>
  <c r="AA10" i="27" s="1"/>
  <c r="Y39" i="24"/>
  <c r="Z10" i="27" s="1"/>
  <c r="X39" i="24"/>
  <c r="Y10" i="27" s="1"/>
  <c r="W39" i="24"/>
  <c r="V39" i="24"/>
  <c r="W10" i="27" s="1"/>
  <c r="U39" i="24"/>
  <c r="V10" i="27" s="1"/>
  <c r="T39" i="24"/>
  <c r="S39" i="24"/>
  <c r="R39" i="24"/>
  <c r="R41" i="24" s="1"/>
  <c r="S24" i="27" s="1"/>
  <c r="Q39" i="24"/>
  <c r="Q41" i="24" s="1"/>
  <c r="R24" i="27" s="1"/>
  <c r="P39" i="24"/>
  <c r="P41" i="24" s="1"/>
  <c r="Q24" i="27" s="1"/>
  <c r="O39" i="24"/>
  <c r="O41" i="24" s="1"/>
  <c r="P24" i="27" s="1"/>
  <c r="N39" i="24"/>
  <c r="M39" i="24"/>
  <c r="L39" i="24"/>
  <c r="T48" i="24" s="1"/>
  <c r="U48" i="24" s="1"/>
  <c r="K39" i="24"/>
  <c r="J39" i="24"/>
  <c r="I39" i="24"/>
  <c r="H39" i="24"/>
  <c r="T53" i="24" s="1"/>
  <c r="U53" i="24" s="1"/>
  <c r="G39" i="24"/>
  <c r="T47" i="24" s="1"/>
  <c r="U47" i="24" s="1"/>
  <c r="F39" i="24"/>
  <c r="E39" i="24"/>
  <c r="D39" i="24"/>
  <c r="E10" i="27" s="1"/>
  <c r="C39" i="24"/>
  <c r="D10" i="27" s="1"/>
  <c r="B39" i="24"/>
  <c r="H48" i="17"/>
  <c r="E48" i="17"/>
  <c r="B48" i="17"/>
  <c r="H47" i="17"/>
  <c r="E47" i="17"/>
  <c r="B47" i="17"/>
  <c r="B46" i="17"/>
  <c r="AS40" i="17"/>
  <c r="AR40" i="17"/>
  <c r="AQ40" i="17"/>
  <c r="AP40" i="17"/>
  <c r="AO40" i="17"/>
  <c r="AN40" i="17"/>
  <c r="AM40" i="17"/>
  <c r="AL40" i="17"/>
  <c r="AK40" i="17"/>
  <c r="AH40" i="17"/>
  <c r="E49" i="17" s="1"/>
  <c r="AG40" i="17"/>
  <c r="AI9" i="27" s="1"/>
  <c r="AF40" i="17"/>
  <c r="B49" i="17" s="1"/>
  <c r="AE40" i="17"/>
  <c r="E50" i="17" s="1"/>
  <c r="AD40" i="17"/>
  <c r="H50" i="17" s="1"/>
  <c r="AS39" i="17"/>
  <c r="AR39" i="17"/>
  <c r="AR41" i="17" s="1"/>
  <c r="AQ39" i="17"/>
  <c r="AP39" i="17"/>
  <c r="AO39" i="17"/>
  <c r="AO41" i="17" s="1"/>
  <c r="AN39" i="17"/>
  <c r="AN41" i="17" s="1"/>
  <c r="AM39" i="17"/>
  <c r="AL39" i="17"/>
  <c r="AK39" i="17"/>
  <c r="AK41" i="17" s="1"/>
  <c r="AJ39" i="17"/>
  <c r="AJ41" i="17" s="1"/>
  <c r="AC39" i="17"/>
  <c r="AD9" i="27" s="1"/>
  <c r="AB39" i="17"/>
  <c r="AC9" i="27" s="1"/>
  <c r="AA39" i="17"/>
  <c r="AA41" i="17" s="1"/>
  <c r="AB23" i="27" s="1"/>
  <c r="Z39" i="17"/>
  <c r="AA9" i="27" s="1"/>
  <c r="Y39" i="17"/>
  <c r="Z9" i="27" s="1"/>
  <c r="X39" i="17"/>
  <c r="W39" i="17"/>
  <c r="X9" i="27" s="1"/>
  <c r="V39" i="17"/>
  <c r="W9" i="27" s="1"/>
  <c r="U39" i="17"/>
  <c r="T39" i="17"/>
  <c r="S39" i="17"/>
  <c r="R39" i="17"/>
  <c r="R41" i="17" s="1"/>
  <c r="S23" i="27" s="1"/>
  <c r="Q39" i="17"/>
  <c r="Q41" i="17" s="1"/>
  <c r="R23" i="27" s="1"/>
  <c r="P39" i="17"/>
  <c r="Q9" i="27" s="1"/>
  <c r="O39" i="17"/>
  <c r="O41" i="17" s="1"/>
  <c r="P23" i="27" s="1"/>
  <c r="N39" i="17"/>
  <c r="M39" i="17"/>
  <c r="L39" i="17"/>
  <c r="T48" i="17" s="1"/>
  <c r="U48" i="17" s="1"/>
  <c r="K39" i="17"/>
  <c r="J39" i="17"/>
  <c r="I39" i="17"/>
  <c r="H39" i="17"/>
  <c r="T53" i="17" s="1"/>
  <c r="U53" i="17" s="1"/>
  <c r="G39" i="17"/>
  <c r="T47" i="17" s="1"/>
  <c r="U47" i="17" s="1"/>
  <c r="F39" i="17"/>
  <c r="E39" i="17"/>
  <c r="D39" i="17"/>
  <c r="C39" i="17"/>
  <c r="D9" i="27" s="1"/>
  <c r="B39" i="17"/>
  <c r="C9" i="27" s="1"/>
  <c r="H48" i="18"/>
  <c r="E48" i="18"/>
  <c r="B48" i="18"/>
  <c r="H47" i="18"/>
  <c r="E47" i="18"/>
  <c r="B47" i="18"/>
  <c r="B46" i="18"/>
  <c r="AS40" i="18"/>
  <c r="AR40" i="18"/>
  <c r="AQ40" i="18"/>
  <c r="AP40" i="18"/>
  <c r="AO40" i="18"/>
  <c r="AN40" i="18"/>
  <c r="AM40" i="18"/>
  <c r="AL40" i="18"/>
  <c r="AK40" i="18"/>
  <c r="AH40" i="18"/>
  <c r="E49" i="18" s="1"/>
  <c r="AG40" i="18"/>
  <c r="H49" i="18" s="1"/>
  <c r="AF40" i="18"/>
  <c r="B49" i="18" s="1"/>
  <c r="AE40" i="18"/>
  <c r="AF8" i="27" s="1"/>
  <c r="AD40" i="18"/>
  <c r="H50" i="18" s="1"/>
  <c r="AS39" i="18"/>
  <c r="AR39" i="18"/>
  <c r="AQ39" i="18"/>
  <c r="AQ41" i="18" s="1"/>
  <c r="AP39" i="18"/>
  <c r="AO39" i="18"/>
  <c r="AN39" i="18"/>
  <c r="AM39" i="18"/>
  <c r="AM41" i="18" s="1"/>
  <c r="AL39" i="18"/>
  <c r="AK39" i="18"/>
  <c r="AJ39" i="18"/>
  <c r="AJ41" i="18" s="1"/>
  <c r="AC39" i="18"/>
  <c r="AB39" i="18"/>
  <c r="AA39" i="18"/>
  <c r="AA41" i="18" s="1"/>
  <c r="AB22" i="27" s="1"/>
  <c r="Z39" i="18"/>
  <c r="AA8" i="27" s="1"/>
  <c r="Y39" i="18"/>
  <c r="Z8" i="27" s="1"/>
  <c r="X39" i="18"/>
  <c r="W39" i="18"/>
  <c r="V39" i="18"/>
  <c r="W8" i="27" s="1"/>
  <c r="U39" i="18"/>
  <c r="V8" i="27" s="1"/>
  <c r="T39" i="18"/>
  <c r="S39" i="18"/>
  <c r="R39" i="18"/>
  <c r="R41" i="18" s="1"/>
  <c r="S22" i="27" s="1"/>
  <c r="Q39" i="18"/>
  <c r="Q41" i="18" s="1"/>
  <c r="R22" i="27" s="1"/>
  <c r="P39" i="18"/>
  <c r="P41" i="18" s="1"/>
  <c r="Q22" i="27" s="1"/>
  <c r="O39" i="18"/>
  <c r="O41" i="18" s="1"/>
  <c r="P22" i="27" s="1"/>
  <c r="N39" i="18"/>
  <c r="M39" i="18"/>
  <c r="L39" i="18"/>
  <c r="K39" i="18"/>
  <c r="J39" i="18"/>
  <c r="I39" i="18"/>
  <c r="H39" i="18"/>
  <c r="T53" i="18" s="1"/>
  <c r="U53" i="18" s="1"/>
  <c r="G39" i="18"/>
  <c r="T47" i="18" s="1"/>
  <c r="U47" i="18" s="1"/>
  <c r="F39" i="18"/>
  <c r="E39" i="18"/>
  <c r="F8" i="27" s="1"/>
  <c r="D39" i="18"/>
  <c r="E8" i="27" s="1"/>
  <c r="C39" i="18"/>
  <c r="B39" i="18"/>
  <c r="H48" i="19"/>
  <c r="E48" i="19"/>
  <c r="B48" i="19"/>
  <c r="H47" i="19"/>
  <c r="E47" i="19"/>
  <c r="B47" i="19"/>
  <c r="B46" i="19"/>
  <c r="AS40" i="19"/>
  <c r="AR40" i="19"/>
  <c r="AQ40" i="19"/>
  <c r="AP40" i="19"/>
  <c r="AO40" i="19"/>
  <c r="AN40" i="19"/>
  <c r="AM40" i="19"/>
  <c r="AL40" i="19"/>
  <c r="AK40" i="19"/>
  <c r="AH40" i="19"/>
  <c r="E49" i="19" s="1"/>
  <c r="AG40" i="19"/>
  <c r="H49" i="19" s="1"/>
  <c r="AF40" i="19"/>
  <c r="AH7" i="27" s="1"/>
  <c r="AE40" i="19"/>
  <c r="E50" i="19" s="1"/>
  <c r="AD40" i="19"/>
  <c r="H50" i="19" s="1"/>
  <c r="AS39" i="19"/>
  <c r="AR39" i="19"/>
  <c r="AQ39" i="19"/>
  <c r="AP39" i="19"/>
  <c r="AO39" i="19"/>
  <c r="AN39" i="19"/>
  <c r="AM39" i="19"/>
  <c r="AL39" i="19"/>
  <c r="AK39" i="19"/>
  <c r="AJ39" i="19"/>
  <c r="AJ41" i="19" s="1"/>
  <c r="AC39" i="19"/>
  <c r="AB39" i="19"/>
  <c r="AC7" i="27" s="1"/>
  <c r="AA39" i="19"/>
  <c r="AA41" i="19" s="1"/>
  <c r="AB21" i="27" s="1"/>
  <c r="Z39" i="19"/>
  <c r="Y39" i="19"/>
  <c r="X39" i="19"/>
  <c r="Y7" i="27" s="1"/>
  <c r="W39" i="19"/>
  <c r="X7" i="27" s="1"/>
  <c r="V39" i="19"/>
  <c r="U39" i="19"/>
  <c r="T39" i="19"/>
  <c r="U7" i="27" s="1"/>
  <c r="S39" i="19"/>
  <c r="R39" i="19"/>
  <c r="R41" i="19" s="1"/>
  <c r="S21" i="27" s="1"/>
  <c r="Q39" i="19"/>
  <c r="Q41" i="19" s="1"/>
  <c r="R21" i="27" s="1"/>
  <c r="P39" i="19"/>
  <c r="Q7" i="27" s="1"/>
  <c r="O39" i="19"/>
  <c r="O41" i="19" s="1"/>
  <c r="N39" i="19"/>
  <c r="M39" i="19"/>
  <c r="L39" i="19"/>
  <c r="M7" i="27" s="1"/>
  <c r="K39" i="19"/>
  <c r="J39" i="19"/>
  <c r="I39" i="19"/>
  <c r="H39" i="19"/>
  <c r="I7" i="27" s="1"/>
  <c r="G39" i="19"/>
  <c r="F39" i="19"/>
  <c r="E39" i="19"/>
  <c r="D39" i="19"/>
  <c r="E7" i="27" s="1"/>
  <c r="C39" i="19"/>
  <c r="B39" i="19"/>
  <c r="C7" i="27" s="1"/>
  <c r="H48" i="20"/>
  <c r="E48" i="20"/>
  <c r="B48" i="20"/>
  <c r="H47" i="20"/>
  <c r="E47" i="20"/>
  <c r="B47" i="20"/>
  <c r="B46" i="20"/>
  <c r="AS40" i="20"/>
  <c r="AR40" i="20"/>
  <c r="AQ40" i="20"/>
  <c r="AP40" i="20"/>
  <c r="AO40" i="20"/>
  <c r="AN40" i="20"/>
  <c r="AM40" i="20"/>
  <c r="AL40" i="20"/>
  <c r="AK40" i="20"/>
  <c r="AH40" i="20"/>
  <c r="AJ6" i="27" s="1"/>
  <c r="AG40" i="20"/>
  <c r="H49" i="20" s="1"/>
  <c r="AF40" i="20"/>
  <c r="B49" i="20" s="1"/>
  <c r="AE40" i="20"/>
  <c r="E50" i="20" s="1"/>
  <c r="AD40" i="20"/>
  <c r="H50" i="20" s="1"/>
  <c r="AS39" i="20"/>
  <c r="AS41" i="20" s="1"/>
  <c r="AR39" i="20"/>
  <c r="AQ39" i="20"/>
  <c r="AP39" i="20"/>
  <c r="AO39" i="20"/>
  <c r="AO41" i="20" s="1"/>
  <c r="AN39" i="20"/>
  <c r="AM39" i="20"/>
  <c r="AL39" i="20"/>
  <c r="AK39" i="20"/>
  <c r="AK41" i="20" s="1"/>
  <c r="AJ39" i="20"/>
  <c r="AJ41" i="20" s="1"/>
  <c r="AC39" i="20"/>
  <c r="AB39" i="20"/>
  <c r="AA39" i="20"/>
  <c r="AA41" i="20" s="1"/>
  <c r="AB20" i="27" s="1"/>
  <c r="Z39" i="20"/>
  <c r="Y39" i="20"/>
  <c r="X39" i="20"/>
  <c r="W39" i="20"/>
  <c r="X6" i="27" s="1"/>
  <c r="V39" i="20"/>
  <c r="U39" i="20"/>
  <c r="V6" i="27" s="1"/>
  <c r="T39" i="20"/>
  <c r="S39" i="20"/>
  <c r="R39" i="20"/>
  <c r="R41" i="20" s="1"/>
  <c r="Q39" i="20"/>
  <c r="Q41" i="20" s="1"/>
  <c r="R20" i="27" s="1"/>
  <c r="P39" i="20"/>
  <c r="P41" i="20" s="1"/>
  <c r="Q20" i="27" s="1"/>
  <c r="O39" i="20"/>
  <c r="O41" i="20" s="1"/>
  <c r="P20" i="27" s="1"/>
  <c r="N39" i="20"/>
  <c r="M39" i="20"/>
  <c r="N6" i="27" s="1"/>
  <c r="L39" i="20"/>
  <c r="T48" i="20" s="1"/>
  <c r="U48" i="20" s="1"/>
  <c r="K39" i="20"/>
  <c r="J39" i="20"/>
  <c r="I39" i="20"/>
  <c r="H39" i="20"/>
  <c r="T53" i="20" s="1"/>
  <c r="U53" i="20" s="1"/>
  <c r="G39" i="20"/>
  <c r="F39" i="20"/>
  <c r="E39" i="20"/>
  <c r="F6" i="27" s="1"/>
  <c r="D39" i="20"/>
  <c r="E6" i="27" s="1"/>
  <c r="C39" i="20"/>
  <c r="B39" i="20"/>
  <c r="C6" i="27" s="1"/>
  <c r="H48" i="21"/>
  <c r="E48" i="21"/>
  <c r="B48" i="21"/>
  <c r="H47" i="21"/>
  <c r="E47" i="21"/>
  <c r="B47" i="21"/>
  <c r="B46" i="21"/>
  <c r="A42" i="21"/>
  <c r="A42" i="20" s="1"/>
  <c r="A42" i="19" s="1"/>
  <c r="A42" i="18" s="1"/>
  <c r="A42" i="17" s="1"/>
  <c r="A42" i="24" s="1"/>
  <c r="A42" i="23" s="1"/>
  <c r="A42" i="16" s="1"/>
  <c r="A42" i="6" s="1"/>
  <c r="A42" i="25" s="1"/>
  <c r="A42" i="26" s="1"/>
  <c r="AS40" i="21"/>
  <c r="AR40" i="21"/>
  <c r="AQ40" i="21"/>
  <c r="AP40" i="21"/>
  <c r="AO40" i="21"/>
  <c r="AN40" i="21"/>
  <c r="AM40" i="21"/>
  <c r="AL40" i="21"/>
  <c r="AK40" i="21"/>
  <c r="AH40" i="21"/>
  <c r="E49" i="21" s="1"/>
  <c r="AG40" i="21"/>
  <c r="H49" i="21" s="1"/>
  <c r="AF40" i="21"/>
  <c r="B49" i="21" s="1"/>
  <c r="AE40" i="21"/>
  <c r="E50" i="21" s="1"/>
  <c r="AD40" i="21"/>
  <c r="H50" i="21" s="1"/>
  <c r="K40" i="21"/>
  <c r="K41" i="21" s="1"/>
  <c r="L19" i="27" s="1"/>
  <c r="AS39" i="21"/>
  <c r="AR39" i="21"/>
  <c r="AQ39" i="21"/>
  <c r="AQ41" i="21" s="1"/>
  <c r="AP39" i="21"/>
  <c r="AO39" i="21"/>
  <c r="AN39" i="21"/>
  <c r="AM39" i="21"/>
  <c r="AM41" i="21" s="1"/>
  <c r="AL39" i="21"/>
  <c r="AK39" i="21"/>
  <c r="AJ39" i="21"/>
  <c r="AJ41" i="21" s="1"/>
  <c r="AC39" i="21"/>
  <c r="AB39" i="21"/>
  <c r="AA39" i="21"/>
  <c r="AA41" i="21" s="1"/>
  <c r="AB19" i="27" s="1"/>
  <c r="Z39" i="21"/>
  <c r="AA5" i="27" s="1"/>
  <c r="Y39" i="21"/>
  <c r="X39" i="21"/>
  <c r="W39" i="21"/>
  <c r="V39" i="21"/>
  <c r="W5" i="27" s="1"/>
  <c r="U39" i="21"/>
  <c r="T39" i="21"/>
  <c r="S39" i="21"/>
  <c r="R39" i="21"/>
  <c r="R41" i="21" s="1"/>
  <c r="Q39" i="21"/>
  <c r="Q41" i="21" s="1"/>
  <c r="R19" i="27" s="1"/>
  <c r="P39" i="21"/>
  <c r="P41" i="21" s="1"/>
  <c r="Q19" i="27" s="1"/>
  <c r="O39" i="21"/>
  <c r="O41" i="21" s="1"/>
  <c r="N39" i="21"/>
  <c r="M39" i="21"/>
  <c r="L39" i="21"/>
  <c r="T48" i="21" s="1"/>
  <c r="U48" i="21" s="1"/>
  <c r="K39" i="21"/>
  <c r="J39" i="21"/>
  <c r="K5" i="27" s="1"/>
  <c r="I39" i="21"/>
  <c r="H39" i="21"/>
  <c r="T53" i="21" s="1"/>
  <c r="U53" i="21" s="1"/>
  <c r="G39" i="21"/>
  <c r="T47" i="21" s="1"/>
  <c r="U47" i="21" s="1"/>
  <c r="F39" i="21"/>
  <c r="G5" i="27" s="1"/>
  <c r="E39" i="21"/>
  <c r="T49" i="21" s="1"/>
  <c r="U49" i="21" s="1"/>
  <c r="D39" i="21"/>
  <c r="C39" i="21"/>
  <c r="B39" i="21"/>
  <c r="T54" i="21" s="1"/>
  <c r="U54" i="21" s="1"/>
  <c r="H48" i="22"/>
  <c r="E48" i="22"/>
  <c r="B48" i="22"/>
  <c r="H47" i="22"/>
  <c r="E47" i="22"/>
  <c r="B47" i="22"/>
  <c r="B46" i="22"/>
  <c r="AS40" i="22"/>
  <c r="AR40" i="22"/>
  <c r="AQ40" i="22"/>
  <c r="AP40" i="22"/>
  <c r="AO40" i="22"/>
  <c r="AN40" i="22"/>
  <c r="AM40" i="22"/>
  <c r="AL40" i="22"/>
  <c r="AK40" i="22"/>
  <c r="AH40" i="22"/>
  <c r="E49" i="22" s="1"/>
  <c r="AG40" i="22"/>
  <c r="H49" i="22" s="1"/>
  <c r="AF40" i="22"/>
  <c r="B49" i="22" s="1"/>
  <c r="AE40" i="22"/>
  <c r="E50" i="22" s="1"/>
  <c r="AD40" i="22"/>
  <c r="H50" i="22" s="1"/>
  <c r="T40" i="22"/>
  <c r="AS39" i="22"/>
  <c r="AR39" i="22"/>
  <c r="AR41" i="22" s="1"/>
  <c r="AQ39" i="22"/>
  <c r="AQ41" i="22" s="1"/>
  <c r="AP39" i="22"/>
  <c r="AP41" i="22" s="1"/>
  <c r="AO39" i="22"/>
  <c r="AN39" i="22"/>
  <c r="AN41" i="22" s="1"/>
  <c r="AM39" i="22"/>
  <c r="AM41" i="22" s="1"/>
  <c r="AL39" i="22"/>
  <c r="AL41" i="22" s="1"/>
  <c r="AK39" i="22"/>
  <c r="AJ39" i="22"/>
  <c r="AJ41" i="22" s="1"/>
  <c r="AC39" i="22"/>
  <c r="AB39" i="22"/>
  <c r="AA39" i="22"/>
  <c r="AA41" i="22" s="1"/>
  <c r="AB18" i="27" s="1"/>
  <c r="Z39" i="22"/>
  <c r="Y39" i="22"/>
  <c r="Z4" i="27" s="1"/>
  <c r="X39" i="22"/>
  <c r="Y4" i="27" s="1"/>
  <c r="W39" i="22"/>
  <c r="V39" i="22"/>
  <c r="U39" i="22"/>
  <c r="T39" i="22"/>
  <c r="S39" i="22"/>
  <c r="R39" i="22"/>
  <c r="S4" i="27" s="1"/>
  <c r="Q39" i="22"/>
  <c r="Q41" i="22" s="1"/>
  <c r="R18" i="27" s="1"/>
  <c r="P39" i="22"/>
  <c r="Q4" i="27" s="1"/>
  <c r="O39" i="22"/>
  <c r="O41" i="22" s="1"/>
  <c r="N39" i="22"/>
  <c r="M39" i="22"/>
  <c r="N4" i="27" s="1"/>
  <c r="L39" i="22"/>
  <c r="T48" i="22" s="1"/>
  <c r="U48" i="22" s="1"/>
  <c r="K39" i="22"/>
  <c r="J39" i="22"/>
  <c r="I39" i="22"/>
  <c r="H39" i="22"/>
  <c r="I4" i="27" s="1"/>
  <c r="G39" i="22"/>
  <c r="F39" i="22"/>
  <c r="E39" i="22"/>
  <c r="F4" i="27" s="1"/>
  <c r="D39" i="22"/>
  <c r="C39" i="22"/>
  <c r="B39" i="22"/>
  <c r="AI31" i="28"/>
  <c r="AH31" i="28"/>
  <c r="AG31" i="28"/>
  <c r="AF31" i="28"/>
  <c r="AD31" i="28"/>
  <c r="AC31" i="28"/>
  <c r="AB31" i="28"/>
  <c r="AA31" i="28"/>
  <c r="Z40" i="20" s="1"/>
  <c r="AI30" i="28"/>
  <c r="AH30" i="28"/>
  <c r="AG30" i="28"/>
  <c r="AF30" i="28"/>
  <c r="AD30" i="28"/>
  <c r="AC30" i="28"/>
  <c r="AB30" i="28"/>
  <c r="AA30" i="28"/>
  <c r="AC40" i="20" s="1"/>
  <c r="AI29" i="28"/>
  <c r="AH29" i="28"/>
  <c r="AG29" i="28"/>
  <c r="AF29" i="28"/>
  <c r="AD29" i="28"/>
  <c r="H40" i="26" s="1"/>
  <c r="AC29" i="28"/>
  <c r="AB29" i="28"/>
  <c r="H40" i="19" s="1"/>
  <c r="AA29" i="28"/>
  <c r="H40" i="22" s="1"/>
  <c r="AI28" i="28"/>
  <c r="AH28" i="28"/>
  <c r="AG28" i="28"/>
  <c r="AF28" i="28"/>
  <c r="AD28" i="28"/>
  <c r="AC28" i="28"/>
  <c r="AB28" i="28"/>
  <c r="AA28" i="28"/>
  <c r="J40" i="20" s="1"/>
  <c r="AI27" i="28"/>
  <c r="AH27" i="28"/>
  <c r="AG27" i="28"/>
  <c r="AF27" i="28"/>
  <c r="AD27" i="28"/>
  <c r="AC27" i="28"/>
  <c r="AB40" i="16" s="1"/>
  <c r="AB41" i="16" s="1"/>
  <c r="AC26" i="27" s="1"/>
  <c r="AB27" i="28"/>
  <c r="AA27" i="28"/>
  <c r="U40" i="21" s="1"/>
  <c r="U41" i="21" s="1"/>
  <c r="V19" i="27" s="1"/>
  <c r="AI26" i="28"/>
  <c r="AH26" i="28"/>
  <c r="AG26" i="28"/>
  <c r="AF26" i="28"/>
  <c r="AD26" i="28"/>
  <c r="AC26" i="28"/>
  <c r="AB26" i="28"/>
  <c r="AA26" i="28"/>
  <c r="K40" i="20" s="1"/>
  <c r="AI25" i="28"/>
  <c r="AH25" i="28"/>
  <c r="AG25" i="28"/>
  <c r="AF25" i="28"/>
  <c r="AD25" i="28"/>
  <c r="AC25" i="28"/>
  <c r="AB25" i="28"/>
  <c r="AA25" i="28"/>
  <c r="L40" i="20" s="1"/>
  <c r="AI24" i="28"/>
  <c r="AH24" i="28"/>
  <c r="AG24" i="28"/>
  <c r="AF24" i="28"/>
  <c r="AD24" i="28"/>
  <c r="AC24" i="28"/>
  <c r="AB24" i="28"/>
  <c r="AA24" i="28"/>
  <c r="G40" i="20" s="1"/>
  <c r="AI23" i="28"/>
  <c r="AH23" i="28"/>
  <c r="AG23" i="28"/>
  <c r="AF23" i="28"/>
  <c r="AD23" i="28"/>
  <c r="AC23" i="28"/>
  <c r="AB23" i="28"/>
  <c r="AA23" i="28"/>
  <c r="N40" i="20" s="1"/>
  <c r="AI22" i="28"/>
  <c r="AH22" i="28"/>
  <c r="AG22" i="28"/>
  <c r="AF22" i="28"/>
  <c r="AD22" i="28"/>
  <c r="AC22" i="28"/>
  <c r="AB22" i="28"/>
  <c r="AA22" i="28"/>
  <c r="W40" i="22" s="1"/>
  <c r="R20" i="28"/>
  <c r="AH19" i="28"/>
  <c r="AF19" i="28"/>
  <c r="AB18" i="28"/>
  <c r="T18" i="28"/>
  <c r="P18" i="28"/>
  <c r="A12" i="28"/>
  <c r="A20" i="28" s="1"/>
  <c r="AI10" i="28"/>
  <c r="AG10" i="28"/>
  <c r="AE7" i="28"/>
  <c r="AD7" i="28"/>
  <c r="AK30" i="27"/>
  <c r="AJ30" i="27"/>
  <c r="AI30" i="27"/>
  <c r="AH30" i="27"/>
  <c r="S20" i="27"/>
  <c r="AI11" i="27"/>
  <c r="AH11" i="27"/>
  <c r="U9" i="27"/>
  <c r="L9" i="27"/>
  <c r="AI8" i="27"/>
  <c r="AC8" i="27"/>
  <c r="AB8" i="27"/>
  <c r="AI5" i="27"/>
  <c r="AH5" i="27"/>
  <c r="AF5" i="27"/>
  <c r="AD5" i="27"/>
  <c r="AC5" i="27"/>
  <c r="AB5" i="27"/>
  <c r="Z5" i="27"/>
  <c r="Y5" i="27"/>
  <c r="X5" i="27"/>
  <c r="V5" i="27"/>
  <c r="U5" i="27"/>
  <c r="T5" i="27"/>
  <c r="R5" i="27"/>
  <c r="Q5" i="27"/>
  <c r="P5" i="27"/>
  <c r="N5" i="27"/>
  <c r="M5" i="27"/>
  <c r="L5" i="27"/>
  <c r="J5" i="27"/>
  <c r="I5" i="27"/>
  <c r="H5" i="27"/>
  <c r="F5" i="27"/>
  <c r="E5" i="27"/>
  <c r="D5" i="27"/>
  <c r="AJ4" i="27"/>
  <c r="AE4" i="27"/>
  <c r="O4" i="27"/>
  <c r="C40" i="22" l="1"/>
  <c r="X40" i="22"/>
  <c r="S40" i="21"/>
  <c r="S41" i="21" s="1"/>
  <c r="T19" i="27" s="1"/>
  <c r="B50" i="21"/>
  <c r="T46" i="21"/>
  <c r="U46" i="21" s="1"/>
  <c r="AE5" i="27"/>
  <c r="AJ5" i="27"/>
  <c r="AJ11" i="27"/>
  <c r="AC41" i="22"/>
  <c r="AD18" i="27" s="1"/>
  <c r="G40" i="22"/>
  <c r="AC40" i="22"/>
  <c r="B40" i="21"/>
  <c r="B41" i="21" s="1"/>
  <c r="C19" i="27" s="1"/>
  <c r="W40" i="21"/>
  <c r="W41" i="21" s="1"/>
  <c r="X19" i="27" s="1"/>
  <c r="AL41" i="21"/>
  <c r="AM41" i="20"/>
  <c r="AQ41" i="20"/>
  <c r="AK41" i="18"/>
  <c r="AO41" i="18"/>
  <c r="AS41" i="18"/>
  <c r="AL41" i="17"/>
  <c r="AN41" i="23"/>
  <c r="AR41" i="23"/>
  <c r="AL41" i="6"/>
  <c r="AP41" i="6"/>
  <c r="AG5" i="27"/>
  <c r="L40" i="22"/>
  <c r="F40" i="21"/>
  <c r="AB40" i="21"/>
  <c r="AB41" i="21" s="1"/>
  <c r="AC19" i="27" s="1"/>
  <c r="AM41" i="25"/>
  <c r="AQ41" i="25"/>
  <c r="AN41" i="25"/>
  <c r="AR41" i="25"/>
  <c r="AH8" i="27"/>
  <c r="B40" i="22"/>
  <c r="K40" i="22"/>
  <c r="E40" i="21"/>
  <c r="E41" i="21" s="1"/>
  <c r="F19" i="27" s="1"/>
  <c r="N40" i="21"/>
  <c r="N41" i="21" s="1"/>
  <c r="O19" i="27" s="1"/>
  <c r="Z40" i="21"/>
  <c r="Z41" i="21" s="1"/>
  <c r="AA19" i="27" s="1"/>
  <c r="AK41" i="21"/>
  <c r="AO41" i="21"/>
  <c r="B45" i="21" s="1"/>
  <c r="AS41" i="21"/>
  <c r="AN41" i="20"/>
  <c r="AR41" i="20"/>
  <c r="M40" i="20"/>
  <c r="F41" i="21"/>
  <c r="G19" i="27" s="1"/>
  <c r="AN41" i="26"/>
  <c r="AR41" i="26"/>
  <c r="C5" i="27"/>
  <c r="O5" i="27"/>
  <c r="S5" i="27"/>
  <c r="F40" i="22"/>
  <c r="S40" i="22"/>
  <c r="S41" i="22" s="1"/>
  <c r="T18" i="27" s="1"/>
  <c r="AB40" i="22"/>
  <c r="T52" i="21"/>
  <c r="U52" i="21" s="1"/>
  <c r="T45" i="21"/>
  <c r="U45" i="21" s="1"/>
  <c r="J40" i="21"/>
  <c r="J41" i="21" s="1"/>
  <c r="K19" i="27" s="1"/>
  <c r="V40" i="21"/>
  <c r="V41" i="21" s="1"/>
  <c r="W19" i="27" s="1"/>
  <c r="AL41" i="20"/>
  <c r="AP41" i="20"/>
  <c r="B40" i="20"/>
  <c r="AK41" i="22"/>
  <c r="AO41" i="22"/>
  <c r="AS41" i="22"/>
  <c r="T55" i="21"/>
  <c r="U55" i="21" s="1"/>
  <c r="T51" i="21"/>
  <c r="U51" i="21" s="1"/>
  <c r="AP41" i="21"/>
  <c r="AI40" i="21"/>
  <c r="E46" i="21" s="1"/>
  <c r="AN41" i="21"/>
  <c r="AR41" i="21"/>
  <c r="F40" i="20"/>
  <c r="AK41" i="19"/>
  <c r="AO41" i="19"/>
  <c r="AS41" i="19"/>
  <c r="AL41" i="18"/>
  <c r="AP41" i="18"/>
  <c r="AM41" i="17"/>
  <c r="AN41" i="24"/>
  <c r="AR41" i="24"/>
  <c r="AK41" i="23"/>
  <c r="B45" i="23" s="1"/>
  <c r="AM41" i="6"/>
  <c r="AQ41" i="6"/>
  <c r="Q15" i="27"/>
  <c r="P15" i="27"/>
  <c r="AB15" i="27"/>
  <c r="H15" i="27"/>
  <c r="AH15" i="27"/>
  <c r="M15" i="27"/>
  <c r="AJ15" i="27"/>
  <c r="H41" i="26"/>
  <c r="I29" i="27" s="1"/>
  <c r="I15" i="27"/>
  <c r="AE15" i="27"/>
  <c r="T45" i="26"/>
  <c r="U45" i="26" s="1"/>
  <c r="AI40" i="26"/>
  <c r="AK15" i="27" s="1"/>
  <c r="R15" i="27"/>
  <c r="T54" i="26"/>
  <c r="U54" i="26" s="1"/>
  <c r="T52" i="26"/>
  <c r="U52" i="26" s="1"/>
  <c r="AL41" i="26"/>
  <c r="AP41" i="26"/>
  <c r="AF15" i="27"/>
  <c r="AM41" i="26"/>
  <c r="AQ41" i="26"/>
  <c r="T49" i="26"/>
  <c r="U49" i="26" s="1"/>
  <c r="T46" i="26"/>
  <c r="U46" i="26" s="1"/>
  <c r="T51" i="26"/>
  <c r="U51" i="26" s="1"/>
  <c r="AK41" i="26"/>
  <c r="AO41" i="26"/>
  <c r="AS41" i="26"/>
  <c r="H49" i="26"/>
  <c r="C15" i="27"/>
  <c r="K15" i="27"/>
  <c r="S15" i="27"/>
  <c r="T55" i="26"/>
  <c r="U55" i="26" s="1"/>
  <c r="AI13" i="27"/>
  <c r="AN41" i="6"/>
  <c r="AR41" i="6"/>
  <c r="B45" i="6" s="1"/>
  <c r="AK41" i="6"/>
  <c r="AO41" i="6"/>
  <c r="AS41" i="6"/>
  <c r="W40" i="19"/>
  <c r="W41" i="19" s="1"/>
  <c r="X21" i="27" s="1"/>
  <c r="X40" i="17"/>
  <c r="X40" i="18"/>
  <c r="W40" i="17"/>
  <c r="W40" i="18"/>
  <c r="W41" i="18" s="1"/>
  <c r="X22" i="27" s="1"/>
  <c r="X40" i="19"/>
  <c r="F40" i="17"/>
  <c r="M40" i="19"/>
  <c r="N40" i="17"/>
  <c r="N41" i="17" s="1"/>
  <c r="O23" i="27" s="1"/>
  <c r="F40" i="18"/>
  <c r="M40" i="17"/>
  <c r="N40" i="18"/>
  <c r="F40" i="19"/>
  <c r="F41" i="19" s="1"/>
  <c r="G21" i="27" s="1"/>
  <c r="M40" i="18"/>
  <c r="N40" i="19"/>
  <c r="G40" i="18"/>
  <c r="G40" i="19"/>
  <c r="G40" i="17"/>
  <c r="L40" i="18"/>
  <c r="L40" i="19"/>
  <c r="L40" i="17"/>
  <c r="L41" i="17" s="1"/>
  <c r="M23" i="27" s="1"/>
  <c r="K40" i="17"/>
  <c r="E40" i="17"/>
  <c r="K40" i="18"/>
  <c r="E40" i="18"/>
  <c r="E41" i="18" s="1"/>
  <c r="F22" i="27" s="1"/>
  <c r="K40" i="19"/>
  <c r="E40" i="19"/>
  <c r="U40" i="17"/>
  <c r="AB40" i="17"/>
  <c r="AB41" i="17" s="1"/>
  <c r="AC23" i="27" s="1"/>
  <c r="V40" i="18"/>
  <c r="S40" i="17"/>
  <c r="T40" i="18"/>
  <c r="C40" i="18"/>
  <c r="C41" i="18" s="1"/>
  <c r="D22" i="27" s="1"/>
  <c r="C40" i="19"/>
  <c r="J40" i="17"/>
  <c r="S40" i="18"/>
  <c r="T40" i="19"/>
  <c r="T41" i="19" s="1"/>
  <c r="U21" i="27" s="1"/>
  <c r="C40" i="17"/>
  <c r="J40" i="18"/>
  <c r="S40" i="19"/>
  <c r="T40" i="17"/>
  <c r="T41" i="17" s="1"/>
  <c r="U23" i="27" s="1"/>
  <c r="J40" i="19"/>
  <c r="I40" i="19"/>
  <c r="B40" i="18"/>
  <c r="AC40" i="19"/>
  <c r="AC41" i="19" s="1"/>
  <c r="AD21" i="27" s="1"/>
  <c r="B40" i="19"/>
  <c r="AC40" i="17"/>
  <c r="I40" i="17"/>
  <c r="B40" i="17"/>
  <c r="B41" i="17" s="1"/>
  <c r="C23" i="27" s="1"/>
  <c r="AC40" i="18"/>
  <c r="I40" i="18"/>
  <c r="D40" i="17"/>
  <c r="Y40" i="17"/>
  <c r="Z40" i="18"/>
  <c r="Z40" i="19"/>
  <c r="D40" i="18"/>
  <c r="C41" i="22"/>
  <c r="D18" i="27" s="1"/>
  <c r="G41" i="22"/>
  <c r="H18" i="27" s="1"/>
  <c r="K41" i="22"/>
  <c r="L18" i="27" s="1"/>
  <c r="W41" i="22"/>
  <c r="X18" i="27" s="1"/>
  <c r="E40" i="22"/>
  <c r="E41" i="22" s="1"/>
  <c r="F18" i="27" s="1"/>
  <c r="J40" i="22"/>
  <c r="N40" i="22"/>
  <c r="V40" i="22"/>
  <c r="V41" i="22" s="1"/>
  <c r="W18" i="27" s="1"/>
  <c r="Z40" i="22"/>
  <c r="Z41" i="22" s="1"/>
  <c r="AA18" i="27" s="1"/>
  <c r="D40" i="21"/>
  <c r="D41" i="21" s="1"/>
  <c r="E19" i="27" s="1"/>
  <c r="I40" i="21"/>
  <c r="I41" i="21" s="1"/>
  <c r="J19" i="27" s="1"/>
  <c r="M40" i="21"/>
  <c r="M41" i="21" s="1"/>
  <c r="N19" i="27" s="1"/>
  <c r="Y40" i="21"/>
  <c r="Y41" i="21" s="1"/>
  <c r="Z19" i="27" s="1"/>
  <c r="D40" i="20"/>
  <c r="I40" i="20"/>
  <c r="I41" i="20" s="1"/>
  <c r="J20" i="27" s="1"/>
  <c r="Y40" i="20"/>
  <c r="X40" i="16"/>
  <c r="X41" i="16" s="1"/>
  <c r="Y26" i="27" s="1"/>
  <c r="X40" i="23"/>
  <c r="X40" i="24"/>
  <c r="W40" i="16"/>
  <c r="W40" i="23"/>
  <c r="W40" i="24"/>
  <c r="M40" i="26"/>
  <c r="M41" i="26" s="1"/>
  <c r="N29" i="27" s="1"/>
  <c r="F40" i="16"/>
  <c r="F40" i="23"/>
  <c r="F40" i="26"/>
  <c r="F41" i="26" s="1"/>
  <c r="G29" i="27" s="1"/>
  <c r="N40" i="16"/>
  <c r="N41" i="16" s="1"/>
  <c r="O26" i="27" s="1"/>
  <c r="N40" i="23"/>
  <c r="N40" i="24"/>
  <c r="F40" i="24"/>
  <c r="N40" i="26"/>
  <c r="N41" i="26" s="1"/>
  <c r="O29" i="27" s="1"/>
  <c r="M40" i="16"/>
  <c r="M40" i="23"/>
  <c r="M41" i="23" s="1"/>
  <c r="N25" i="27" s="1"/>
  <c r="M40" i="24"/>
  <c r="G40" i="16"/>
  <c r="G41" i="16" s="1"/>
  <c r="H26" i="27" s="1"/>
  <c r="G40" i="23"/>
  <c r="G40" i="24"/>
  <c r="G41" i="24" s="1"/>
  <c r="H24" i="27" s="1"/>
  <c r="L40" i="16"/>
  <c r="L40" i="23"/>
  <c r="L40" i="24"/>
  <c r="K40" i="16"/>
  <c r="K40" i="23"/>
  <c r="K40" i="24"/>
  <c r="K41" i="24" s="1"/>
  <c r="L24" i="27" s="1"/>
  <c r="E40" i="16"/>
  <c r="E40" i="23"/>
  <c r="E41" i="23" s="1"/>
  <c r="F25" i="27" s="1"/>
  <c r="E40" i="24"/>
  <c r="T40" i="16"/>
  <c r="T40" i="23"/>
  <c r="T40" i="24"/>
  <c r="T41" i="24" s="1"/>
  <c r="U24" i="27" s="1"/>
  <c r="S40" i="16"/>
  <c r="S40" i="23"/>
  <c r="S41" i="23" s="1"/>
  <c r="T25" i="27" s="1"/>
  <c r="S40" i="24"/>
  <c r="C40" i="24"/>
  <c r="J40" i="16"/>
  <c r="J40" i="23"/>
  <c r="J41" i="23" s="1"/>
  <c r="K25" i="27" s="1"/>
  <c r="J40" i="24"/>
  <c r="C40" i="16"/>
  <c r="C41" i="16" s="1"/>
  <c r="D26" i="27" s="1"/>
  <c r="C40" i="23"/>
  <c r="H40" i="16"/>
  <c r="H41" i="16" s="1"/>
  <c r="I26" i="27" s="1"/>
  <c r="H40" i="24"/>
  <c r="B40" i="16"/>
  <c r="B41" i="16" s="1"/>
  <c r="C26" i="27" s="1"/>
  <c r="AC40" i="23"/>
  <c r="B40" i="23"/>
  <c r="B41" i="23" s="1"/>
  <c r="C25" i="27" s="1"/>
  <c r="AC40" i="24"/>
  <c r="AC40" i="16"/>
  <c r="B40" i="24"/>
  <c r="I40" i="16"/>
  <c r="I41" i="16" s="1"/>
  <c r="J26" i="27" s="1"/>
  <c r="I40" i="23"/>
  <c r="I40" i="24"/>
  <c r="Z40" i="16"/>
  <c r="D40" i="24"/>
  <c r="D41" i="24" s="1"/>
  <c r="E24" i="27" s="1"/>
  <c r="Y40" i="23"/>
  <c r="Z40" i="24"/>
  <c r="Z41" i="24" s="1"/>
  <c r="AA24" i="27" s="1"/>
  <c r="G41" i="20"/>
  <c r="H20" i="27" s="1"/>
  <c r="K41" i="20"/>
  <c r="L20" i="27" s="1"/>
  <c r="E40" i="20"/>
  <c r="W40" i="25"/>
  <c r="W41" i="25" s="1"/>
  <c r="X28" i="27" s="1"/>
  <c r="X40" i="26"/>
  <c r="X41" i="26" s="1"/>
  <c r="Y29" i="27" s="1"/>
  <c r="X40" i="6"/>
  <c r="W40" i="26"/>
  <c r="W41" i="26" s="1"/>
  <c r="X29" i="27" s="1"/>
  <c r="X40" i="25"/>
  <c r="X41" i="25" s="1"/>
  <c r="Y28" i="27" s="1"/>
  <c r="W40" i="6"/>
  <c r="M40" i="25"/>
  <c r="M41" i="25" s="1"/>
  <c r="N28" i="27" s="1"/>
  <c r="M40" i="6"/>
  <c r="F40" i="25"/>
  <c r="F40" i="6"/>
  <c r="N40" i="25"/>
  <c r="N41" i="25" s="1"/>
  <c r="O28" i="27" s="1"/>
  <c r="N40" i="6"/>
  <c r="G40" i="26"/>
  <c r="G41" i="26" s="1"/>
  <c r="H29" i="27" s="1"/>
  <c r="G40" i="25"/>
  <c r="G40" i="6"/>
  <c r="G41" i="6" s="1"/>
  <c r="H27" i="27" s="1"/>
  <c r="L40" i="26"/>
  <c r="L41" i="26" s="1"/>
  <c r="M29" i="27" s="1"/>
  <c r="L40" i="25"/>
  <c r="L41" i="25" s="1"/>
  <c r="M28" i="27" s="1"/>
  <c r="L40" i="6"/>
  <c r="K40" i="26"/>
  <c r="K41" i="26" s="1"/>
  <c r="L29" i="27" s="1"/>
  <c r="K40" i="25"/>
  <c r="K40" i="6"/>
  <c r="K41" i="6" s="1"/>
  <c r="L27" i="27" s="1"/>
  <c r="E40" i="26"/>
  <c r="E41" i="26" s="1"/>
  <c r="F29" i="27" s="1"/>
  <c r="E40" i="25"/>
  <c r="E40" i="6"/>
  <c r="V40" i="26"/>
  <c r="V41" i="26" s="1"/>
  <c r="W29" i="27" s="1"/>
  <c r="U40" i="26"/>
  <c r="U41" i="26" s="1"/>
  <c r="V29" i="27" s="1"/>
  <c r="V40" i="6"/>
  <c r="AB40" i="25"/>
  <c r="C40" i="26"/>
  <c r="C41" i="26" s="1"/>
  <c r="D29" i="27" s="1"/>
  <c r="C40" i="25"/>
  <c r="C40" i="6"/>
  <c r="C41" i="6" s="1"/>
  <c r="D27" i="27" s="1"/>
  <c r="T40" i="26"/>
  <c r="T41" i="26" s="1"/>
  <c r="U29" i="27" s="1"/>
  <c r="T40" i="25"/>
  <c r="T41" i="25" s="1"/>
  <c r="U28" i="27" s="1"/>
  <c r="T40" i="6"/>
  <c r="S40" i="26"/>
  <c r="S41" i="26" s="1"/>
  <c r="T29" i="27" s="1"/>
  <c r="S40" i="25"/>
  <c r="S40" i="6"/>
  <c r="S41" i="6" s="1"/>
  <c r="T27" i="27" s="1"/>
  <c r="J40" i="26"/>
  <c r="J41" i="26" s="1"/>
  <c r="K29" i="27" s="1"/>
  <c r="J40" i="25"/>
  <c r="J40" i="6"/>
  <c r="AC40" i="26"/>
  <c r="AC41" i="26" s="1"/>
  <c r="AD29" i="27" s="1"/>
  <c r="I40" i="26"/>
  <c r="I41" i="26" s="1"/>
  <c r="J29" i="27" s="1"/>
  <c r="I40" i="25"/>
  <c r="I41" i="25" s="1"/>
  <c r="J28" i="27" s="1"/>
  <c r="AC40" i="6"/>
  <c r="I40" i="6"/>
  <c r="I41" i="6" s="1"/>
  <c r="J27" i="27" s="1"/>
  <c r="B40" i="26"/>
  <c r="B41" i="26" s="1"/>
  <c r="C29" i="27" s="1"/>
  <c r="AC40" i="25"/>
  <c r="AC41" i="25" s="1"/>
  <c r="AD28" i="27" s="1"/>
  <c r="B40" i="25"/>
  <c r="B40" i="6"/>
  <c r="B41" i="6" s="1"/>
  <c r="C27" i="27" s="1"/>
  <c r="Z40" i="25"/>
  <c r="Y40" i="26"/>
  <c r="Y41" i="26" s="1"/>
  <c r="Z29" i="27" s="1"/>
  <c r="Y40" i="6"/>
  <c r="X40" i="20"/>
  <c r="X41" i="20" s="1"/>
  <c r="Y20" i="27" s="1"/>
  <c r="W40" i="20"/>
  <c r="V40" i="20"/>
  <c r="AB40" i="20"/>
  <c r="AB41" i="20" s="1"/>
  <c r="AC20" i="27" s="1"/>
  <c r="T40" i="20"/>
  <c r="T41" i="20" s="1"/>
  <c r="U20" i="27" s="1"/>
  <c r="S40" i="20"/>
  <c r="S41" i="20" s="1"/>
  <c r="T20" i="27" s="1"/>
  <c r="B41" i="22"/>
  <c r="C18" i="27" s="1"/>
  <c r="F41" i="22"/>
  <c r="G18" i="27" s="1"/>
  <c r="J41" i="22"/>
  <c r="K18" i="27" s="1"/>
  <c r="N41" i="22"/>
  <c r="O18" i="27" s="1"/>
  <c r="D40" i="22"/>
  <c r="D41" i="22" s="1"/>
  <c r="E18" i="27" s="1"/>
  <c r="I40" i="22"/>
  <c r="I41" i="22" s="1"/>
  <c r="J18" i="27" s="1"/>
  <c r="M40" i="22"/>
  <c r="U40" i="22"/>
  <c r="U41" i="22" s="1"/>
  <c r="V18" i="27" s="1"/>
  <c r="Y40" i="22"/>
  <c r="Y41" i="22" s="1"/>
  <c r="Z18" i="27" s="1"/>
  <c r="C40" i="21"/>
  <c r="C41" i="21" s="1"/>
  <c r="D19" i="27" s="1"/>
  <c r="G40" i="21"/>
  <c r="G41" i="21" s="1"/>
  <c r="H19" i="27" s="1"/>
  <c r="L40" i="21"/>
  <c r="L41" i="21" s="1"/>
  <c r="M19" i="27" s="1"/>
  <c r="T40" i="21"/>
  <c r="T41" i="21" s="1"/>
  <c r="U19" i="27" s="1"/>
  <c r="X40" i="21"/>
  <c r="X41" i="21" s="1"/>
  <c r="Y19" i="27" s="1"/>
  <c r="AC40" i="21"/>
  <c r="AC41" i="21" s="1"/>
  <c r="AD19" i="27" s="1"/>
  <c r="Y41" i="20"/>
  <c r="Z20" i="27" s="1"/>
  <c r="AC41" i="20"/>
  <c r="AD20" i="27" s="1"/>
  <c r="C40" i="20"/>
  <c r="C41" i="20" s="1"/>
  <c r="D20" i="27" s="1"/>
  <c r="U40" i="20"/>
  <c r="B50" i="26"/>
  <c r="J41" i="19"/>
  <c r="K21" i="27" s="1"/>
  <c r="N41" i="19"/>
  <c r="O21" i="27" s="1"/>
  <c r="B41" i="18"/>
  <c r="C22" i="27" s="1"/>
  <c r="F41" i="18"/>
  <c r="G22" i="27" s="1"/>
  <c r="J41" i="18"/>
  <c r="K22" i="27" s="1"/>
  <c r="N41" i="18"/>
  <c r="O22" i="27" s="1"/>
  <c r="X41" i="17"/>
  <c r="Y23" i="27" s="1"/>
  <c r="S41" i="24"/>
  <c r="T24" i="27" s="1"/>
  <c r="W41" i="24"/>
  <c r="X24" i="27" s="1"/>
  <c r="I41" i="23"/>
  <c r="J25" i="27" s="1"/>
  <c r="AC41" i="23"/>
  <c r="AD25" i="27" s="1"/>
  <c r="AC41" i="16"/>
  <c r="AD26" i="27" s="1"/>
  <c r="J41" i="6"/>
  <c r="K27" i="27" s="1"/>
  <c r="C41" i="19"/>
  <c r="D21" i="27" s="1"/>
  <c r="G41" i="19"/>
  <c r="H21" i="27" s="1"/>
  <c r="K41" i="19"/>
  <c r="L21" i="27" s="1"/>
  <c r="S41" i="19"/>
  <c r="T21" i="27" s="1"/>
  <c r="K41" i="18"/>
  <c r="L22" i="27" s="1"/>
  <c r="S41" i="18"/>
  <c r="T22" i="27" s="1"/>
  <c r="I41" i="17"/>
  <c r="J23" i="27" s="1"/>
  <c r="M41" i="17"/>
  <c r="N23" i="27" s="1"/>
  <c r="F41" i="23"/>
  <c r="G25" i="27" s="1"/>
  <c r="N41" i="23"/>
  <c r="O25" i="27" s="1"/>
  <c r="F41" i="16"/>
  <c r="G26" i="27" s="1"/>
  <c r="J41" i="16"/>
  <c r="K26" i="27" s="1"/>
  <c r="B41" i="25"/>
  <c r="C28" i="27" s="1"/>
  <c r="F41" i="25"/>
  <c r="G28" i="27" s="1"/>
  <c r="J41" i="25"/>
  <c r="K28" i="27" s="1"/>
  <c r="S41" i="25"/>
  <c r="T28" i="27" s="1"/>
  <c r="AK41" i="25"/>
  <c r="AO41" i="25"/>
  <c r="AS41" i="25"/>
  <c r="L41" i="18"/>
  <c r="M22" i="27" s="1"/>
  <c r="T41" i="18"/>
  <c r="U22" i="27" s="1"/>
  <c r="X41" i="18"/>
  <c r="Y22" i="27" s="1"/>
  <c r="F41" i="17"/>
  <c r="G23" i="27" s="1"/>
  <c r="J41" i="17"/>
  <c r="K23" i="27" s="1"/>
  <c r="E41" i="24"/>
  <c r="F24" i="27" s="1"/>
  <c r="I41" i="24"/>
  <c r="J24" i="27" s="1"/>
  <c r="M41" i="24"/>
  <c r="N24" i="27" s="1"/>
  <c r="AC41" i="24"/>
  <c r="AD24" i="27" s="1"/>
  <c r="C41" i="23"/>
  <c r="D25" i="27" s="1"/>
  <c r="K41" i="23"/>
  <c r="L25" i="27" s="1"/>
  <c r="AO41" i="23"/>
  <c r="AS41" i="23"/>
  <c r="K41" i="16"/>
  <c r="L26" i="27" s="1"/>
  <c r="S41" i="16"/>
  <c r="T26" i="27" s="1"/>
  <c r="W41" i="16"/>
  <c r="X26" i="27" s="1"/>
  <c r="AK41" i="16"/>
  <c r="AO41" i="16"/>
  <c r="AS41" i="16"/>
  <c r="L41" i="6"/>
  <c r="M27" i="27" s="1"/>
  <c r="T41" i="6"/>
  <c r="U27" i="27" s="1"/>
  <c r="K41" i="25"/>
  <c r="L28" i="27" s="1"/>
  <c r="I41" i="19"/>
  <c r="J21" i="27" s="1"/>
  <c r="M41" i="19"/>
  <c r="N21" i="27" s="1"/>
  <c r="I41" i="18"/>
  <c r="J22" i="27" s="1"/>
  <c r="M41" i="18"/>
  <c r="N22" i="27" s="1"/>
  <c r="AC41" i="18"/>
  <c r="AD22" i="27" s="1"/>
  <c r="K41" i="17"/>
  <c r="L23" i="27" s="1"/>
  <c r="S41" i="17"/>
  <c r="T23" i="27" s="1"/>
  <c r="F41" i="24"/>
  <c r="G24" i="27" s="1"/>
  <c r="J41" i="24"/>
  <c r="K24" i="27" s="1"/>
  <c r="N41" i="24"/>
  <c r="O24" i="27" s="1"/>
  <c r="L41" i="23"/>
  <c r="M25" i="27" s="1"/>
  <c r="T41" i="23"/>
  <c r="U25" i="27" s="1"/>
  <c r="X41" i="23"/>
  <c r="Y25" i="27" s="1"/>
  <c r="L41" i="16"/>
  <c r="M26" i="27" s="1"/>
  <c r="T41" i="16"/>
  <c r="U26" i="27" s="1"/>
  <c r="AL41" i="16"/>
  <c r="AP41" i="16"/>
  <c r="AC41" i="6"/>
  <c r="AD27" i="27" s="1"/>
  <c r="J14" i="27"/>
  <c r="T14" i="27"/>
  <c r="I14" i="27"/>
  <c r="H14" i="27"/>
  <c r="AH14" i="27"/>
  <c r="L14" i="27"/>
  <c r="T49" i="25"/>
  <c r="U49" i="25" s="1"/>
  <c r="Y14" i="27"/>
  <c r="AD14" i="27"/>
  <c r="F14" i="27"/>
  <c r="R14" i="27"/>
  <c r="AE14" i="27"/>
  <c r="B50" i="25"/>
  <c r="P14" i="27"/>
  <c r="AB14" i="27"/>
  <c r="AJ14" i="27"/>
  <c r="AI40" i="25"/>
  <c r="E46" i="25" s="1"/>
  <c r="M14" i="27"/>
  <c r="AI14" i="27"/>
  <c r="T45" i="25"/>
  <c r="U45" i="25" s="1"/>
  <c r="U14" i="27"/>
  <c r="C14" i="27"/>
  <c r="G14" i="27"/>
  <c r="K14" i="27"/>
  <c r="O14" i="27"/>
  <c r="S14" i="27"/>
  <c r="T52" i="25"/>
  <c r="U52" i="25" s="1"/>
  <c r="AF14" i="27"/>
  <c r="AG14" i="27" s="1"/>
  <c r="T55" i="25"/>
  <c r="U55" i="25" s="1"/>
  <c r="Z41" i="25"/>
  <c r="AA28" i="27" s="1"/>
  <c r="T46" i="25"/>
  <c r="U46" i="25" s="1"/>
  <c r="T51" i="25"/>
  <c r="U51" i="25" s="1"/>
  <c r="C41" i="25"/>
  <c r="D28" i="27" s="1"/>
  <c r="T48" i="25"/>
  <c r="U48" i="25" s="1"/>
  <c r="H49" i="25"/>
  <c r="T54" i="25"/>
  <c r="U54" i="25" s="1"/>
  <c r="E41" i="25"/>
  <c r="F28" i="27" s="1"/>
  <c r="AB41" i="25"/>
  <c r="AC28" i="27" s="1"/>
  <c r="G41" i="25"/>
  <c r="H28" i="27" s="1"/>
  <c r="AM41" i="16"/>
  <c r="AQ41" i="16"/>
  <c r="AN41" i="16"/>
  <c r="AR41" i="16"/>
  <c r="AG19" i="28"/>
  <c r="AI19" i="28"/>
  <c r="R13" i="27"/>
  <c r="M41" i="6"/>
  <c r="N27" i="27" s="1"/>
  <c r="AB13" i="27"/>
  <c r="H13" i="27"/>
  <c r="T13" i="27"/>
  <c r="AF13" i="27"/>
  <c r="L13" i="27"/>
  <c r="P13" i="27"/>
  <c r="AD13" i="27"/>
  <c r="W41" i="6"/>
  <c r="X27" i="27" s="1"/>
  <c r="AI40" i="6"/>
  <c r="AK13" i="27" s="1"/>
  <c r="T51" i="6"/>
  <c r="U51" i="6" s="1"/>
  <c r="E41" i="6"/>
  <c r="F27" i="27" s="1"/>
  <c r="T48" i="6"/>
  <c r="U48" i="6" s="1"/>
  <c r="I13" i="27"/>
  <c r="M13" i="27"/>
  <c r="Q13" i="27"/>
  <c r="U13" i="27"/>
  <c r="C13" i="27"/>
  <c r="K13" i="27"/>
  <c r="S13" i="27"/>
  <c r="W13" i="27"/>
  <c r="AE13" i="27"/>
  <c r="T45" i="6"/>
  <c r="U45" i="6" s="1"/>
  <c r="T55" i="6"/>
  <c r="U55" i="6" s="1"/>
  <c r="X41" i="6"/>
  <c r="Y27" i="27" s="1"/>
  <c r="Y41" i="6"/>
  <c r="Z27" i="27" s="1"/>
  <c r="F41" i="6"/>
  <c r="G27" i="27" s="1"/>
  <c r="T46" i="6"/>
  <c r="U46" i="6" s="1"/>
  <c r="B50" i="6"/>
  <c r="T52" i="6"/>
  <c r="U52" i="6" s="1"/>
  <c r="T54" i="6"/>
  <c r="U54" i="6" s="1"/>
  <c r="AH13" i="27"/>
  <c r="V41" i="6"/>
  <c r="W27" i="27" s="1"/>
  <c r="E49" i="6"/>
  <c r="AJ13" i="27"/>
  <c r="N41" i="6"/>
  <c r="O27" i="27" s="1"/>
  <c r="T49" i="6"/>
  <c r="U49" i="6" s="1"/>
  <c r="AD9" i="28"/>
  <c r="U12" i="27"/>
  <c r="P12" i="27"/>
  <c r="AB12" i="27"/>
  <c r="M12" i="27"/>
  <c r="T54" i="16"/>
  <c r="U54" i="16" s="1"/>
  <c r="T46" i="16"/>
  <c r="U46" i="16" s="1"/>
  <c r="D12" i="27"/>
  <c r="X12" i="27"/>
  <c r="H12" i="27"/>
  <c r="T12" i="27"/>
  <c r="T45" i="16"/>
  <c r="U45" i="16" s="1"/>
  <c r="L12" i="27"/>
  <c r="AI12" i="27"/>
  <c r="T49" i="16"/>
  <c r="U49" i="16" s="1"/>
  <c r="I12" i="27"/>
  <c r="Q12" i="27"/>
  <c r="Y12" i="27"/>
  <c r="T51" i="16"/>
  <c r="U51" i="16" s="1"/>
  <c r="C12" i="27"/>
  <c r="G12" i="27"/>
  <c r="K12" i="27"/>
  <c r="O12" i="27"/>
  <c r="S12" i="27"/>
  <c r="AH12" i="27"/>
  <c r="Z41" i="16"/>
  <c r="AA26" i="27" s="1"/>
  <c r="T55" i="16"/>
  <c r="U55" i="16" s="1"/>
  <c r="T47" i="16"/>
  <c r="U47" i="16" s="1"/>
  <c r="Q41" i="16"/>
  <c r="R26" i="27" s="1"/>
  <c r="M41" i="16"/>
  <c r="N26" i="27" s="1"/>
  <c r="F12" i="27"/>
  <c r="J12" i="27"/>
  <c r="N12" i="27"/>
  <c r="V12" i="27"/>
  <c r="AD12" i="27"/>
  <c r="E49" i="16"/>
  <c r="AI40" i="16"/>
  <c r="E41" i="16"/>
  <c r="F26" i="27" s="1"/>
  <c r="T48" i="16"/>
  <c r="U48" i="16" s="1"/>
  <c r="E50" i="16"/>
  <c r="B50" i="16" s="1"/>
  <c r="T52" i="16"/>
  <c r="U52" i="16" s="1"/>
  <c r="AE12" i="27"/>
  <c r="AG12" i="27" s="1"/>
  <c r="AM41" i="24"/>
  <c r="AQ41" i="24"/>
  <c r="U11" i="27"/>
  <c r="R11" i="27"/>
  <c r="AD11" i="27"/>
  <c r="J11" i="27"/>
  <c r="AB11" i="27"/>
  <c r="H11" i="27"/>
  <c r="N11" i="27"/>
  <c r="AE11" i="27"/>
  <c r="T54" i="23"/>
  <c r="U54" i="23" s="1"/>
  <c r="L11" i="27"/>
  <c r="D11" i="27"/>
  <c r="P11" i="27"/>
  <c r="M11" i="27"/>
  <c r="T11" i="27"/>
  <c r="I11" i="27"/>
  <c r="Y11" i="27"/>
  <c r="Q11" i="27"/>
  <c r="T45" i="23"/>
  <c r="U45" i="23" s="1"/>
  <c r="T52" i="23"/>
  <c r="U52" i="23" s="1"/>
  <c r="AI40" i="23"/>
  <c r="E46" i="23" s="1"/>
  <c r="W41" i="23"/>
  <c r="X25" i="27" s="1"/>
  <c r="T49" i="23"/>
  <c r="U49" i="23" s="1"/>
  <c r="T51" i="23"/>
  <c r="U51" i="23" s="1"/>
  <c r="C11" i="27"/>
  <c r="G11" i="27"/>
  <c r="K11" i="27"/>
  <c r="O11" i="27"/>
  <c r="S11" i="27"/>
  <c r="T55" i="23"/>
  <c r="U55" i="23" s="1"/>
  <c r="T48" i="23"/>
  <c r="U48" i="23" s="1"/>
  <c r="B50" i="23"/>
  <c r="AF11" i="27"/>
  <c r="Y41" i="23"/>
  <c r="Z25" i="27" s="1"/>
  <c r="T46" i="23"/>
  <c r="U46" i="23" s="1"/>
  <c r="G41" i="23"/>
  <c r="H25" i="27" s="1"/>
  <c r="AS41" i="17"/>
  <c r="AP41" i="17"/>
  <c r="AQ41" i="17"/>
  <c r="G10" i="27"/>
  <c r="F10" i="27"/>
  <c r="O10" i="27"/>
  <c r="R10" i="27"/>
  <c r="AD10" i="27"/>
  <c r="T54" i="24"/>
  <c r="U54" i="24" s="1"/>
  <c r="J10" i="27"/>
  <c r="AH10" i="27"/>
  <c r="N10" i="27"/>
  <c r="C10" i="27"/>
  <c r="K10" i="27"/>
  <c r="S10" i="27"/>
  <c r="AE10" i="27"/>
  <c r="H10" i="27"/>
  <c r="L10" i="27"/>
  <c r="P10" i="27"/>
  <c r="T10" i="27"/>
  <c r="X10" i="27"/>
  <c r="AB10" i="27"/>
  <c r="I10" i="27"/>
  <c r="M10" i="27"/>
  <c r="Q10" i="27"/>
  <c r="U10" i="27"/>
  <c r="H41" i="24"/>
  <c r="I24" i="27" s="1"/>
  <c r="T52" i="24"/>
  <c r="U52" i="24" s="1"/>
  <c r="E49" i="24"/>
  <c r="AI10" i="27"/>
  <c r="T55" i="24"/>
  <c r="U55" i="24" s="1"/>
  <c r="T45" i="24"/>
  <c r="U45" i="24" s="1"/>
  <c r="B50" i="24"/>
  <c r="T49" i="24"/>
  <c r="U49" i="24" s="1"/>
  <c r="T46" i="24"/>
  <c r="U46" i="24" s="1"/>
  <c r="T51" i="24"/>
  <c r="U51" i="24" s="1"/>
  <c r="AI40" i="24"/>
  <c r="X41" i="24"/>
  <c r="Y24" i="27" s="1"/>
  <c r="AF10" i="27"/>
  <c r="B41" i="24"/>
  <c r="C24" i="27" s="1"/>
  <c r="L41" i="24"/>
  <c r="M24" i="27" s="1"/>
  <c r="C41" i="24"/>
  <c r="D24" i="27" s="1"/>
  <c r="AN41" i="18"/>
  <c r="AR41" i="18"/>
  <c r="AL41" i="19"/>
  <c r="AP41" i="19"/>
  <c r="AM41" i="19"/>
  <c r="AQ41" i="19"/>
  <c r="AN41" i="19"/>
  <c r="AR41" i="19"/>
  <c r="S9" i="27"/>
  <c r="G9" i="27"/>
  <c r="AE9" i="27"/>
  <c r="O9" i="27"/>
  <c r="K9" i="27"/>
  <c r="AJ9" i="27"/>
  <c r="T55" i="17"/>
  <c r="U55" i="17" s="1"/>
  <c r="T9" i="27"/>
  <c r="T54" i="17"/>
  <c r="U54" i="17" s="1"/>
  <c r="AB9" i="27"/>
  <c r="H9" i="27"/>
  <c r="P9" i="27"/>
  <c r="T49" i="17"/>
  <c r="U49" i="17" s="1"/>
  <c r="AF9" i="27"/>
  <c r="AG9" i="27" s="1"/>
  <c r="AI40" i="17"/>
  <c r="E9" i="27"/>
  <c r="I9" i="27"/>
  <c r="Y9" i="27"/>
  <c r="T52" i="17"/>
  <c r="U52" i="17" s="1"/>
  <c r="T45" i="17"/>
  <c r="U45" i="17" s="1"/>
  <c r="P41" i="17"/>
  <c r="Q23" i="27" s="1"/>
  <c r="AH9" i="27"/>
  <c r="T51" i="17"/>
  <c r="U51" i="17" s="1"/>
  <c r="G41" i="17"/>
  <c r="H23" i="27" s="1"/>
  <c r="M9" i="27"/>
  <c r="D41" i="17"/>
  <c r="E23" i="27" s="1"/>
  <c r="B50" i="17"/>
  <c r="AC41" i="17"/>
  <c r="AD23" i="27" s="1"/>
  <c r="F9" i="27"/>
  <c r="J9" i="27"/>
  <c r="N9" i="27"/>
  <c r="R9" i="27"/>
  <c r="V9" i="27"/>
  <c r="T46" i="17"/>
  <c r="U46" i="17" s="1"/>
  <c r="U41" i="17"/>
  <c r="V23" i="27" s="1"/>
  <c r="C41" i="17"/>
  <c r="D23" i="27" s="1"/>
  <c r="W41" i="17"/>
  <c r="X23" i="27" s="1"/>
  <c r="H49" i="17"/>
  <c r="Y41" i="17"/>
  <c r="Z23" i="27" s="1"/>
  <c r="E41" i="17"/>
  <c r="F23" i="27" s="1"/>
  <c r="D8" i="27"/>
  <c r="I8" i="27"/>
  <c r="P8" i="27"/>
  <c r="H8" i="27"/>
  <c r="L8" i="27"/>
  <c r="T8" i="27"/>
  <c r="X8" i="27"/>
  <c r="M8" i="27"/>
  <c r="U8" i="27"/>
  <c r="K8" i="27"/>
  <c r="Q8" i="27"/>
  <c r="Y8" i="27"/>
  <c r="O8" i="27"/>
  <c r="Z41" i="18"/>
  <c r="AA22" i="27" s="1"/>
  <c r="G8" i="27"/>
  <c r="C8" i="27"/>
  <c r="S8" i="27"/>
  <c r="T54" i="18"/>
  <c r="U54" i="18" s="1"/>
  <c r="J8" i="27"/>
  <c r="N8" i="27"/>
  <c r="R8" i="27"/>
  <c r="AD8" i="27"/>
  <c r="T55" i="18"/>
  <c r="U55" i="18" s="1"/>
  <c r="AI40" i="18"/>
  <c r="AK8" i="27" s="1"/>
  <c r="AJ8" i="27"/>
  <c r="T49" i="18"/>
  <c r="U49" i="18" s="1"/>
  <c r="T51" i="18"/>
  <c r="U51" i="18" s="1"/>
  <c r="AE8" i="27"/>
  <c r="AG8" i="27" s="1"/>
  <c r="F41" i="20"/>
  <c r="G20" i="27" s="1"/>
  <c r="J41" i="20"/>
  <c r="K20" i="27" s="1"/>
  <c r="N41" i="20"/>
  <c r="O20" i="27" s="1"/>
  <c r="V41" i="20"/>
  <c r="W20" i="27" s="1"/>
  <c r="Z41" i="20"/>
  <c r="AA20" i="27" s="1"/>
  <c r="T45" i="18"/>
  <c r="U45" i="18" s="1"/>
  <c r="T48" i="18"/>
  <c r="U48" i="18" s="1"/>
  <c r="E50" i="18"/>
  <c r="B50" i="18" s="1"/>
  <c r="T52" i="18"/>
  <c r="U52" i="18" s="1"/>
  <c r="D41" i="18"/>
  <c r="E22" i="27" s="1"/>
  <c r="V41" i="18"/>
  <c r="W22" i="27" s="1"/>
  <c r="G41" i="18"/>
  <c r="H22" i="27" s="1"/>
  <c r="T46" i="18"/>
  <c r="U46" i="18" s="1"/>
  <c r="AI7" i="27"/>
  <c r="L7" i="27"/>
  <c r="R4" i="27"/>
  <c r="J4" i="27"/>
  <c r="V4" i="27"/>
  <c r="AI4" i="27"/>
  <c r="AD4" i="27"/>
  <c r="AF4" i="27"/>
  <c r="D4" i="27"/>
  <c r="P4" i="27"/>
  <c r="T4" i="27"/>
  <c r="T47" i="22"/>
  <c r="U47" i="22" s="1"/>
  <c r="AH4" i="27"/>
  <c r="K4" i="27"/>
  <c r="AA4" i="27"/>
  <c r="AI40" i="22"/>
  <c r="H45" i="22" s="1"/>
  <c r="G4" i="27"/>
  <c r="L4" i="27"/>
  <c r="W4" i="27"/>
  <c r="AB4" i="27"/>
  <c r="T52" i="22"/>
  <c r="U52" i="22" s="1"/>
  <c r="T51" i="22"/>
  <c r="U51" i="22" s="1"/>
  <c r="R41" i="22"/>
  <c r="S18" i="27" s="1"/>
  <c r="AG4" i="27"/>
  <c r="B50" i="22"/>
  <c r="T54" i="22"/>
  <c r="U54" i="22" s="1"/>
  <c r="C4" i="27"/>
  <c r="H4" i="27"/>
  <c r="X4" i="27"/>
  <c r="T49" i="22"/>
  <c r="U49" i="22" s="1"/>
  <c r="T46" i="22"/>
  <c r="U46" i="22" s="1"/>
  <c r="P18" i="27"/>
  <c r="H41" i="22"/>
  <c r="I18" i="27" s="1"/>
  <c r="L41" i="22"/>
  <c r="M18" i="27" s="1"/>
  <c r="P41" i="22"/>
  <c r="Q18" i="27" s="1"/>
  <c r="T41" i="22"/>
  <c r="U18" i="27" s="1"/>
  <c r="X41" i="22"/>
  <c r="Y18" i="27" s="1"/>
  <c r="AB41" i="22"/>
  <c r="AC18" i="27" s="1"/>
  <c r="T45" i="22"/>
  <c r="U45" i="22" s="1"/>
  <c r="T53" i="22"/>
  <c r="U53" i="22" s="1"/>
  <c r="T55" i="22"/>
  <c r="U55" i="22" s="1"/>
  <c r="E4" i="27"/>
  <c r="M4" i="27"/>
  <c r="U4" i="27"/>
  <c r="AC4" i="27"/>
  <c r="M41" i="22"/>
  <c r="N18" i="27" s="1"/>
  <c r="B45" i="22"/>
  <c r="D40" i="25"/>
  <c r="D41" i="25" s="1"/>
  <c r="E28" i="27" s="1"/>
  <c r="D40" i="6"/>
  <c r="D41" i="6" s="1"/>
  <c r="E27" i="27" s="1"/>
  <c r="Z40" i="6"/>
  <c r="Z41" i="6" s="1"/>
  <c r="AA27" i="27" s="1"/>
  <c r="Y40" i="25"/>
  <c r="Y41" i="25" s="1"/>
  <c r="Z28" i="27" s="1"/>
  <c r="D40" i="26"/>
  <c r="D41" i="26" s="1"/>
  <c r="E29" i="27" s="1"/>
  <c r="Z40" i="26"/>
  <c r="Z41" i="26" s="1"/>
  <c r="AA29" i="27" s="1"/>
  <c r="Y40" i="24"/>
  <c r="Y41" i="24" s="1"/>
  <c r="Z24" i="27" s="1"/>
  <c r="D40" i="16"/>
  <c r="D41" i="16" s="1"/>
  <c r="E26" i="27" s="1"/>
  <c r="Z40" i="23"/>
  <c r="Z41" i="23" s="1"/>
  <c r="AA25" i="27" s="1"/>
  <c r="Y40" i="16"/>
  <c r="Y41" i="16" s="1"/>
  <c r="Z26" i="27" s="1"/>
  <c r="D40" i="23"/>
  <c r="D41" i="23" s="1"/>
  <c r="E25" i="27" s="1"/>
  <c r="Y40" i="19"/>
  <c r="Y41" i="19" s="1"/>
  <c r="Z21" i="27" s="1"/>
  <c r="Y40" i="18"/>
  <c r="Y41" i="18" s="1"/>
  <c r="Z22" i="27" s="1"/>
  <c r="Z41" i="19"/>
  <c r="AA21" i="27" s="1"/>
  <c r="D40" i="19"/>
  <c r="D41" i="19" s="1"/>
  <c r="E21" i="27" s="1"/>
  <c r="Z40" i="17"/>
  <c r="Z41" i="17" s="1"/>
  <c r="AA23" i="27" s="1"/>
  <c r="U40" i="25"/>
  <c r="U41" i="25" s="1"/>
  <c r="AB40" i="26"/>
  <c r="AB41" i="26" s="1"/>
  <c r="AC29" i="27" s="1"/>
  <c r="U40" i="6"/>
  <c r="U41" i="6" s="1"/>
  <c r="V40" i="25"/>
  <c r="V41" i="25" s="1"/>
  <c r="W28" i="27" s="1"/>
  <c r="AB40" i="6"/>
  <c r="AB41" i="6" s="1"/>
  <c r="AC27" i="27" s="1"/>
  <c r="V40" i="24"/>
  <c r="V41" i="24" s="1"/>
  <c r="W24" i="27" s="1"/>
  <c r="AB40" i="23"/>
  <c r="AB41" i="23" s="1"/>
  <c r="AC25" i="27" s="1"/>
  <c r="AB40" i="24"/>
  <c r="AB41" i="24" s="1"/>
  <c r="AC24" i="27" s="1"/>
  <c r="U40" i="16"/>
  <c r="U41" i="16" s="1"/>
  <c r="U40" i="23"/>
  <c r="U41" i="23" s="1"/>
  <c r="V40" i="16"/>
  <c r="V41" i="16" s="1"/>
  <c r="W26" i="27" s="1"/>
  <c r="U40" i="24"/>
  <c r="U41" i="24" s="1"/>
  <c r="V40" i="23"/>
  <c r="V41" i="23" s="1"/>
  <c r="W25" i="27" s="1"/>
  <c r="AB40" i="19"/>
  <c r="AB41" i="19" s="1"/>
  <c r="AC21" i="27" s="1"/>
  <c r="U40" i="18"/>
  <c r="U41" i="18" s="1"/>
  <c r="V40" i="17"/>
  <c r="V41" i="17" s="1"/>
  <c r="W23" i="27" s="1"/>
  <c r="U40" i="19"/>
  <c r="U41" i="19" s="1"/>
  <c r="V21" i="27" s="1"/>
  <c r="AB40" i="18"/>
  <c r="AB41" i="18" s="1"/>
  <c r="AC22" i="27" s="1"/>
  <c r="V40" i="19"/>
  <c r="V41" i="19" s="1"/>
  <c r="W21" i="27" s="1"/>
  <c r="K7" i="27"/>
  <c r="W7" i="27"/>
  <c r="O7" i="27"/>
  <c r="AA7" i="27"/>
  <c r="G7" i="27"/>
  <c r="S7" i="27"/>
  <c r="AD7" i="27"/>
  <c r="H40" i="6"/>
  <c r="H41" i="6" s="1"/>
  <c r="H40" i="25"/>
  <c r="H41" i="25" s="1"/>
  <c r="H40" i="23"/>
  <c r="H41" i="23" s="1"/>
  <c r="H40" i="18"/>
  <c r="H41" i="18" s="1"/>
  <c r="H40" i="17"/>
  <c r="H41" i="17" s="1"/>
  <c r="H40" i="20"/>
  <c r="H41" i="20" s="1"/>
  <c r="I20" i="27" s="1"/>
  <c r="H40" i="21"/>
  <c r="H41" i="21" s="1"/>
  <c r="I19" i="27" s="1"/>
  <c r="D7" i="27"/>
  <c r="N7" i="27"/>
  <c r="AE7" i="27"/>
  <c r="R7" i="27"/>
  <c r="H7" i="27"/>
  <c r="T7" i="27"/>
  <c r="AB7" i="27"/>
  <c r="AJ7" i="27"/>
  <c r="P7" i="27"/>
  <c r="AI40" i="19"/>
  <c r="H46" i="19" s="1"/>
  <c r="T46" i="19"/>
  <c r="U46" i="19" s="1"/>
  <c r="T47" i="19"/>
  <c r="U47" i="19" s="1"/>
  <c r="B49" i="19"/>
  <c r="T49" i="19"/>
  <c r="U49" i="19" s="1"/>
  <c r="J7" i="27"/>
  <c r="Z7" i="27"/>
  <c r="T54" i="19"/>
  <c r="U54" i="19" s="1"/>
  <c r="T51" i="19"/>
  <c r="U51" i="19" s="1"/>
  <c r="F7" i="27"/>
  <c r="V7" i="27"/>
  <c r="T45" i="19"/>
  <c r="U45" i="19" s="1"/>
  <c r="S19" i="27"/>
  <c r="P19" i="27"/>
  <c r="B50" i="19"/>
  <c r="P21" i="27"/>
  <c r="AB30" i="27"/>
  <c r="H41" i="19"/>
  <c r="I21" i="27" s="1"/>
  <c r="L41" i="19"/>
  <c r="M21" i="27" s="1"/>
  <c r="X41" i="19"/>
  <c r="Y21" i="27" s="1"/>
  <c r="T53" i="19"/>
  <c r="U53" i="19" s="1"/>
  <c r="AF7" i="27"/>
  <c r="R30" i="27"/>
  <c r="X10" i="28" s="1"/>
  <c r="B41" i="19"/>
  <c r="T48" i="19"/>
  <c r="U48" i="19" s="1"/>
  <c r="T52" i="19"/>
  <c r="U52" i="19" s="1"/>
  <c r="P41" i="19"/>
  <c r="T55" i="19"/>
  <c r="U55" i="19" s="1"/>
  <c r="E41" i="19"/>
  <c r="F21" i="27" s="1"/>
  <c r="E45" i="21"/>
  <c r="R6" i="27"/>
  <c r="AB6" i="27"/>
  <c r="H6" i="27"/>
  <c r="AH6" i="27"/>
  <c r="L6" i="27"/>
  <c r="D6" i="27"/>
  <c r="Z6" i="27"/>
  <c r="J6" i="27"/>
  <c r="T6" i="27"/>
  <c r="AD6" i="27"/>
  <c r="AC6" i="27"/>
  <c r="P6" i="27"/>
  <c r="M6" i="27"/>
  <c r="I6" i="27"/>
  <c r="Y6" i="27"/>
  <c r="U6" i="27"/>
  <c r="AF6" i="27"/>
  <c r="Q6" i="27"/>
  <c r="T45" i="20"/>
  <c r="U45" i="20" s="1"/>
  <c r="C54" i="27"/>
  <c r="AI6" i="27"/>
  <c r="T55" i="20"/>
  <c r="U55" i="20" s="1"/>
  <c r="B50" i="20"/>
  <c r="T47" i="20"/>
  <c r="U47" i="20" s="1"/>
  <c r="E49" i="20"/>
  <c r="G6" i="27"/>
  <c r="K6" i="27"/>
  <c r="O6" i="27"/>
  <c r="S6" i="27"/>
  <c r="W6" i="27"/>
  <c r="AA6" i="27"/>
  <c r="AE6" i="27"/>
  <c r="T49" i="20"/>
  <c r="U49" i="20" s="1"/>
  <c r="T46" i="20"/>
  <c r="U46" i="20" s="1"/>
  <c r="T51" i="20"/>
  <c r="U51" i="20" s="1"/>
  <c r="M41" i="20"/>
  <c r="N20" i="27" s="1"/>
  <c r="E41" i="20"/>
  <c r="F20" i="27" s="1"/>
  <c r="U41" i="20"/>
  <c r="V20" i="27" s="1"/>
  <c r="T54" i="20"/>
  <c r="U54" i="20" s="1"/>
  <c r="B45" i="20"/>
  <c r="AI40" i="20"/>
  <c r="D41" i="20"/>
  <c r="E20" i="27" s="1"/>
  <c r="L41" i="20"/>
  <c r="M20" i="27" s="1"/>
  <c r="B41" i="20"/>
  <c r="T52" i="20"/>
  <c r="U52" i="20" s="1"/>
  <c r="W41" i="20"/>
  <c r="X20" i="27" s="1"/>
  <c r="B45" i="24" l="1"/>
  <c r="AG15" i="27"/>
  <c r="B45" i="17"/>
  <c r="B44" i="21"/>
  <c r="H45" i="21"/>
  <c r="B45" i="18"/>
  <c r="H46" i="21"/>
  <c r="AK5" i="27"/>
  <c r="H44" i="21"/>
  <c r="I52" i="21" s="1"/>
  <c r="E44" i="21"/>
  <c r="F52" i="21" s="1"/>
  <c r="B45" i="16"/>
  <c r="C45" i="16" s="1"/>
  <c r="E46" i="26"/>
  <c r="H46" i="26"/>
  <c r="B45" i="26"/>
  <c r="B45" i="25"/>
  <c r="L30" i="27"/>
  <c r="S10" i="28" s="1"/>
  <c r="H44" i="26"/>
  <c r="O30" i="27"/>
  <c r="V10" i="28" s="1"/>
  <c r="H45" i="26"/>
  <c r="E45" i="26"/>
  <c r="T30" i="27"/>
  <c r="Y16" i="28" s="1"/>
  <c r="AD30" i="27"/>
  <c r="AE10" i="28" s="1"/>
  <c r="V17" i="27"/>
  <c r="Z6" i="28" s="1"/>
  <c r="Z7" i="28" s="1"/>
  <c r="B45" i="19"/>
  <c r="E45" i="25"/>
  <c r="H46" i="25"/>
  <c r="AK14" i="27"/>
  <c r="H45" i="25"/>
  <c r="G30" i="27"/>
  <c r="G10" i="28" s="1"/>
  <c r="J30" i="27"/>
  <c r="Q10" i="28" s="1"/>
  <c r="E45" i="6"/>
  <c r="AG13" i="27"/>
  <c r="D30" i="27"/>
  <c r="D10" i="28" s="1"/>
  <c r="H46" i="6"/>
  <c r="E46" i="6"/>
  <c r="H45" i="6"/>
  <c r="H46" i="16"/>
  <c r="E46" i="16"/>
  <c r="AK12" i="27"/>
  <c r="H45" i="16"/>
  <c r="E45" i="16"/>
  <c r="H45" i="24"/>
  <c r="H45" i="23"/>
  <c r="K30" i="27"/>
  <c r="R10" i="28" s="1"/>
  <c r="AG11" i="27"/>
  <c r="AK11" i="27"/>
  <c r="E45" i="23"/>
  <c r="H46" i="23"/>
  <c r="E45" i="17"/>
  <c r="AG10" i="27"/>
  <c r="E45" i="24"/>
  <c r="E46" i="24"/>
  <c r="H46" i="24"/>
  <c r="AK10" i="27"/>
  <c r="E44" i="24"/>
  <c r="F49" i="24" s="1"/>
  <c r="I17" i="27"/>
  <c r="I6" i="28" s="1"/>
  <c r="I7" i="28" s="1"/>
  <c r="I9" i="28" s="1"/>
  <c r="E46" i="17"/>
  <c r="E17" i="27"/>
  <c r="E6" i="28" s="1"/>
  <c r="E7" i="28" s="1"/>
  <c r="E9" i="28" s="1"/>
  <c r="AK9" i="27"/>
  <c r="H45" i="17"/>
  <c r="H46" i="17"/>
  <c r="H30" i="27"/>
  <c r="H10" i="28" s="1"/>
  <c r="W30" i="27"/>
  <c r="M10" i="28" s="1"/>
  <c r="F17" i="27"/>
  <c r="F6" i="28" s="1"/>
  <c r="F7" i="28" s="1"/>
  <c r="F9" i="28" s="1"/>
  <c r="H44" i="17"/>
  <c r="I49" i="17" s="1"/>
  <c r="U17" i="27"/>
  <c r="L6" i="28" s="1"/>
  <c r="L7" i="28" s="1"/>
  <c r="X17" i="27"/>
  <c r="AA6" i="28" s="1"/>
  <c r="AA7" i="28" s="1"/>
  <c r="AA9" i="28" s="1"/>
  <c r="Y17" i="27"/>
  <c r="N6" i="28" s="1"/>
  <c r="N7" i="28" s="1"/>
  <c r="N17" i="27"/>
  <c r="U6" i="28" s="1"/>
  <c r="U7" i="28" s="1"/>
  <c r="U9" i="28" s="1"/>
  <c r="C17" i="27"/>
  <c r="C6" i="28" s="1"/>
  <c r="C7" i="28" s="1"/>
  <c r="C9" i="28" s="1"/>
  <c r="E46" i="18"/>
  <c r="L17" i="27"/>
  <c r="S6" i="28" s="1"/>
  <c r="S7" i="28" s="1"/>
  <c r="S9" i="28" s="1"/>
  <c r="E45" i="18"/>
  <c r="AJ17" i="27"/>
  <c r="AH6" i="28" s="1"/>
  <c r="Z30" i="27"/>
  <c r="AB10" i="28" s="1"/>
  <c r="H46" i="18"/>
  <c r="H45" i="18"/>
  <c r="AI17" i="27"/>
  <c r="AG6" i="28" s="1"/>
  <c r="O17" i="27"/>
  <c r="V6" i="28" s="1"/>
  <c r="V7" i="28" s="1"/>
  <c r="V9" i="28" s="1"/>
  <c r="P17" i="27"/>
  <c r="W6" i="28" s="1"/>
  <c r="W7" i="28" s="1"/>
  <c r="W9" i="28" s="1"/>
  <c r="E45" i="22"/>
  <c r="Y30" i="27"/>
  <c r="N10" i="28" s="1"/>
  <c r="AH17" i="27"/>
  <c r="AF6" i="28" s="1"/>
  <c r="H46" i="22"/>
  <c r="K17" i="27"/>
  <c r="R6" i="28" s="1"/>
  <c r="R7" i="28" s="1"/>
  <c r="M17" i="27"/>
  <c r="T6" i="28" s="1"/>
  <c r="T7" i="28" s="1"/>
  <c r="T8" i="28" s="1"/>
  <c r="T15" i="28" s="1"/>
  <c r="N30" i="27"/>
  <c r="U10" i="28" s="1"/>
  <c r="U30" i="27"/>
  <c r="L16" i="28" s="1"/>
  <c r="E46" i="22"/>
  <c r="AK4" i="27"/>
  <c r="AC17" i="27"/>
  <c r="G17" i="27"/>
  <c r="G6" i="28" s="1"/>
  <c r="G7" i="28" s="1"/>
  <c r="G9" i="28" s="1"/>
  <c r="S30" i="27"/>
  <c r="K16" i="28" s="1"/>
  <c r="E44" i="22"/>
  <c r="F52" i="22" s="1"/>
  <c r="B44" i="22"/>
  <c r="B51" i="22" s="1"/>
  <c r="B52" i="22" s="1"/>
  <c r="C33" i="27" s="1"/>
  <c r="H44" i="22"/>
  <c r="B44" i="26"/>
  <c r="AA30" i="27"/>
  <c r="O10" i="28" s="1"/>
  <c r="E44" i="26"/>
  <c r="E44" i="16"/>
  <c r="H44" i="25"/>
  <c r="I51" i="25" s="1"/>
  <c r="V28" i="27"/>
  <c r="V27" i="27"/>
  <c r="H44" i="6"/>
  <c r="AC30" i="27"/>
  <c r="AD10" i="28" s="1"/>
  <c r="V24" i="27"/>
  <c r="H44" i="24"/>
  <c r="B44" i="24"/>
  <c r="B51" i="24" s="1"/>
  <c r="B52" i="24" s="1"/>
  <c r="C39" i="27" s="1"/>
  <c r="B44" i="16"/>
  <c r="H44" i="23"/>
  <c r="V25" i="27"/>
  <c r="H44" i="16"/>
  <c r="V26" i="27"/>
  <c r="H44" i="18"/>
  <c r="I51" i="18" s="1"/>
  <c r="V22" i="27"/>
  <c r="W17" i="27"/>
  <c r="M6" i="28" s="1"/>
  <c r="M7" i="28" s="1"/>
  <c r="S17" i="27"/>
  <c r="K6" i="28" s="1"/>
  <c r="AA17" i="27"/>
  <c r="O6" i="28" s="1"/>
  <c r="H17" i="27"/>
  <c r="H6" i="28" s="1"/>
  <c r="H7" i="28" s="1"/>
  <c r="H9" i="28" s="1"/>
  <c r="AD17" i="27"/>
  <c r="I28" i="27"/>
  <c r="B44" i="6"/>
  <c r="B51" i="6" s="1"/>
  <c r="B52" i="6" s="1"/>
  <c r="C42" i="27" s="1"/>
  <c r="I27" i="27"/>
  <c r="E44" i="6"/>
  <c r="E44" i="23"/>
  <c r="I25" i="27"/>
  <c r="B44" i="23"/>
  <c r="B51" i="23" s="1"/>
  <c r="B52" i="23" s="1"/>
  <c r="C40" i="27" s="1"/>
  <c r="E44" i="17"/>
  <c r="B44" i="17"/>
  <c r="B51" i="17" s="1"/>
  <c r="B52" i="17" s="1"/>
  <c r="C38" i="27" s="1"/>
  <c r="I23" i="27"/>
  <c r="E44" i="18"/>
  <c r="B44" i="18"/>
  <c r="B51" i="18" s="1"/>
  <c r="B52" i="18" s="1"/>
  <c r="C37" i="27" s="1"/>
  <c r="I22" i="27"/>
  <c r="B51" i="21"/>
  <c r="B52" i="21" s="1"/>
  <c r="C34" i="27" s="1"/>
  <c r="R17" i="27"/>
  <c r="X6" i="28" s="1"/>
  <c r="X7" i="28" s="1"/>
  <c r="AE17" i="27"/>
  <c r="E49" i="27" s="1"/>
  <c r="E30" i="27"/>
  <c r="E10" i="28" s="1"/>
  <c r="D17" i="27"/>
  <c r="D6" i="28" s="1"/>
  <c r="F30" i="27"/>
  <c r="F10" i="28" s="1"/>
  <c r="AB17" i="27"/>
  <c r="AK7" i="27"/>
  <c r="AG7" i="27"/>
  <c r="E45" i="19"/>
  <c r="AF17" i="27"/>
  <c r="D49" i="27" s="1"/>
  <c r="T17" i="27"/>
  <c r="Y6" i="28" s="1"/>
  <c r="Y7" i="28" s="1"/>
  <c r="Y9" i="28" s="1"/>
  <c r="E46" i="19"/>
  <c r="H45" i="19"/>
  <c r="J17" i="27"/>
  <c r="Q6" i="28" s="1"/>
  <c r="Q7" i="28" s="1"/>
  <c r="Q9" i="28" s="1"/>
  <c r="Z17" i="27"/>
  <c r="AB6" i="28" s="1"/>
  <c r="AB7" i="28" s="1"/>
  <c r="AB9" i="28" s="1"/>
  <c r="E51" i="21"/>
  <c r="E52" i="21" s="1"/>
  <c r="D34" i="27" s="1"/>
  <c r="P30" i="27"/>
  <c r="W10" i="28" s="1"/>
  <c r="H51" i="21"/>
  <c r="H52" i="21" s="1"/>
  <c r="E34" i="27" s="1"/>
  <c r="M30" i="27"/>
  <c r="T10" i="28" s="1"/>
  <c r="B44" i="19"/>
  <c r="B51" i="19" s="1"/>
  <c r="B52" i="19" s="1"/>
  <c r="C36" i="27" s="1"/>
  <c r="C21" i="27"/>
  <c r="H44" i="19"/>
  <c r="X30" i="27"/>
  <c r="AA10" i="28" s="1"/>
  <c r="Q21" i="27"/>
  <c r="E44" i="19"/>
  <c r="AG6" i="27"/>
  <c r="H46" i="20"/>
  <c r="E46" i="20"/>
  <c r="E45" i="20"/>
  <c r="AK6" i="27"/>
  <c r="H45" i="20"/>
  <c r="H44" i="20"/>
  <c r="Z9" i="28"/>
  <c r="E44" i="20"/>
  <c r="C20" i="27"/>
  <c r="B44" i="20"/>
  <c r="B51" i="16" l="1"/>
  <c r="B52" i="16" s="1"/>
  <c r="C41" i="27" s="1"/>
  <c r="B51" i="26"/>
  <c r="B52" i="26" s="1"/>
  <c r="C44" i="27" s="1"/>
  <c r="H51" i="26"/>
  <c r="H52" i="26" s="1"/>
  <c r="E44" i="27" s="1"/>
  <c r="E51" i="26"/>
  <c r="E52" i="26" s="1"/>
  <c r="D44" i="27" s="1"/>
  <c r="AA14" i="28"/>
  <c r="H51" i="25"/>
  <c r="H52" i="25" s="1"/>
  <c r="E43" i="27" s="1"/>
  <c r="E51" i="16"/>
  <c r="E52" i="16" s="1"/>
  <c r="D41" i="27" s="1"/>
  <c r="C49" i="16"/>
  <c r="F51" i="16"/>
  <c r="E51" i="24"/>
  <c r="E52" i="24" s="1"/>
  <c r="D39" i="27" s="1"/>
  <c r="C14" i="28"/>
  <c r="M8" i="28"/>
  <c r="M15" i="28" s="1"/>
  <c r="M16" i="28" s="1"/>
  <c r="H51" i="17"/>
  <c r="H52" i="17" s="1"/>
  <c r="E38" i="27" s="1"/>
  <c r="L14" i="28"/>
  <c r="E14" i="28"/>
  <c r="C8" i="28"/>
  <c r="C15" i="28" s="1"/>
  <c r="C16" i="28" s="1"/>
  <c r="L8" i="28"/>
  <c r="L15" i="28" s="1"/>
  <c r="F8" i="28"/>
  <c r="F15" i="28" s="1"/>
  <c r="F16" i="28" s="1"/>
  <c r="S8" i="28"/>
  <c r="S15" i="28" s="1"/>
  <c r="S16" i="28" s="1"/>
  <c r="I14" i="28"/>
  <c r="N14" i="28"/>
  <c r="F14" i="28"/>
  <c r="D14" i="28"/>
  <c r="K14" i="28"/>
  <c r="I8" i="28"/>
  <c r="I15" i="28" s="1"/>
  <c r="I16" i="28" s="1"/>
  <c r="E29" i="28" s="1"/>
  <c r="E8" i="28"/>
  <c r="E15" i="28" s="1"/>
  <c r="E16" i="28" s="1"/>
  <c r="N8" i="28"/>
  <c r="N15" i="28" s="1"/>
  <c r="N16" i="28" s="1"/>
  <c r="O14" i="28"/>
  <c r="H18" i="28"/>
  <c r="X18" i="28" s="1"/>
  <c r="AE18" i="28" s="1"/>
  <c r="Z14" i="28"/>
  <c r="V30" i="27"/>
  <c r="Z10" i="28" s="1"/>
  <c r="AD14" i="28"/>
  <c r="AE14" i="28"/>
  <c r="AE15" i="28" s="1"/>
  <c r="AE16" i="28" s="1"/>
  <c r="V14" i="28"/>
  <c r="AD8" i="28"/>
  <c r="AD15" i="28" s="1"/>
  <c r="AD16" i="28" s="1"/>
  <c r="U8" i="28"/>
  <c r="U15" i="28" s="1"/>
  <c r="U16" i="28" s="1"/>
  <c r="AA8" i="28"/>
  <c r="AA15" i="28" s="1"/>
  <c r="AA16" i="28" s="1"/>
  <c r="U14" i="28"/>
  <c r="R11" i="28"/>
  <c r="Z8" i="28"/>
  <c r="Z15" i="28" s="1"/>
  <c r="Z16" i="28" s="1"/>
  <c r="S14" i="28"/>
  <c r="W14" i="28"/>
  <c r="AK17" i="27"/>
  <c r="AI6" i="28" s="1"/>
  <c r="P10" i="28" s="1"/>
  <c r="X8" i="28"/>
  <c r="X15" i="28" s="1"/>
  <c r="R8" i="28"/>
  <c r="R15" i="28" s="1"/>
  <c r="R16" i="28" s="1"/>
  <c r="V8" i="28"/>
  <c r="V15" i="28" s="1"/>
  <c r="V16" i="28" s="1"/>
  <c r="M9" i="28"/>
  <c r="T9" i="28"/>
  <c r="W8" i="28"/>
  <c r="W15" i="28" s="1"/>
  <c r="T14" i="28"/>
  <c r="E51" i="22"/>
  <c r="E52" i="22" s="1"/>
  <c r="D33" i="27" s="1"/>
  <c r="G14" i="28"/>
  <c r="E51" i="27"/>
  <c r="E50" i="27" s="1"/>
  <c r="M14" i="28"/>
  <c r="R9" i="28"/>
  <c r="H8" i="28"/>
  <c r="H15" i="28" s="1"/>
  <c r="C24" i="28" s="1"/>
  <c r="G24" i="28" s="1"/>
  <c r="J24" i="28" s="1"/>
  <c r="M24" i="28" s="1"/>
  <c r="O24" i="28" s="1"/>
  <c r="R14" i="28"/>
  <c r="G8" i="28"/>
  <c r="G15" i="28" s="1"/>
  <c r="K7" i="28"/>
  <c r="K8" i="28" s="1"/>
  <c r="K15" i="28" s="1"/>
  <c r="D51" i="27"/>
  <c r="D50" i="27" s="1"/>
  <c r="O7" i="28"/>
  <c r="O8" i="28" s="1"/>
  <c r="O15" i="28" s="1"/>
  <c r="O16" i="28" s="1"/>
  <c r="I52" i="22"/>
  <c r="H51" i="22"/>
  <c r="H52" i="22" s="1"/>
  <c r="E33" i="27" s="1"/>
  <c r="I52" i="6"/>
  <c r="H51" i="6"/>
  <c r="H52" i="6" s="1"/>
  <c r="E42" i="27" s="1"/>
  <c r="I51" i="16"/>
  <c r="H51" i="16"/>
  <c r="H52" i="16" s="1"/>
  <c r="E41" i="27" s="1"/>
  <c r="H51" i="24"/>
  <c r="H52" i="24" s="1"/>
  <c r="E39" i="27" s="1"/>
  <c r="I49" i="24"/>
  <c r="I52" i="23"/>
  <c r="H51" i="23"/>
  <c r="H52" i="23" s="1"/>
  <c r="E40" i="27" s="1"/>
  <c r="H51" i="18"/>
  <c r="H52" i="18" s="1"/>
  <c r="E37" i="27" s="1"/>
  <c r="H14" i="28"/>
  <c r="E52" i="27"/>
  <c r="Q8" i="28"/>
  <c r="Q15" i="28" s="1"/>
  <c r="Q16" i="28" s="1"/>
  <c r="X9" i="28"/>
  <c r="X14" i="28"/>
  <c r="I30" i="27"/>
  <c r="I10" i="28" s="1"/>
  <c r="F52" i="6"/>
  <c r="E51" i="6"/>
  <c r="E52" i="6" s="1"/>
  <c r="D42" i="27" s="1"/>
  <c r="F52" i="23"/>
  <c r="E51" i="23"/>
  <c r="E52" i="23" s="1"/>
  <c r="D40" i="27" s="1"/>
  <c r="E51" i="17"/>
  <c r="E52" i="17" s="1"/>
  <c r="D38" i="27" s="1"/>
  <c r="F49" i="17"/>
  <c r="F51" i="18"/>
  <c r="E51" i="18"/>
  <c r="E52" i="18" s="1"/>
  <c r="D37" i="27" s="1"/>
  <c r="D7" i="28"/>
  <c r="D9" i="28" s="1"/>
  <c r="E53" i="27"/>
  <c r="D52" i="27"/>
  <c r="Q14" i="28"/>
  <c r="AG17" i="27"/>
  <c r="C52" i="27" s="1"/>
  <c r="E58" i="27"/>
  <c r="Y8" i="28"/>
  <c r="Y15" i="28" s="1"/>
  <c r="D58" i="27"/>
  <c r="Y14" i="28"/>
  <c r="N9" i="28"/>
  <c r="AB8" i="28"/>
  <c r="AB15" i="28" s="1"/>
  <c r="AB16" i="28" s="1"/>
  <c r="AB14" i="28"/>
  <c r="C30" i="27"/>
  <c r="C10" i="28" s="1"/>
  <c r="F52" i="19"/>
  <c r="E51" i="19"/>
  <c r="E52" i="19" s="1"/>
  <c r="D36" i="27" s="1"/>
  <c r="I52" i="19"/>
  <c r="H51" i="19"/>
  <c r="H52" i="19" s="1"/>
  <c r="E36" i="27" s="1"/>
  <c r="L9" i="28"/>
  <c r="B51" i="20"/>
  <c r="B52" i="20" s="1"/>
  <c r="C35" i="27" s="1"/>
  <c r="F51" i="20"/>
  <c r="E51" i="20"/>
  <c r="E52" i="20" s="1"/>
  <c r="D35" i="27" s="1"/>
  <c r="I51" i="20"/>
  <c r="E48" i="27"/>
  <c r="H51" i="20"/>
  <c r="H52" i="20" s="1"/>
  <c r="E35" i="27" s="1"/>
  <c r="T16" i="28"/>
  <c r="E25" i="28" s="1"/>
  <c r="C25" i="28"/>
  <c r="G25" i="28" s="1"/>
  <c r="J25" i="28" s="1"/>
  <c r="D53" i="27"/>
  <c r="D54" i="27"/>
  <c r="P6" i="28" l="1"/>
  <c r="P7" i="28" s="1"/>
  <c r="P9" i="28" s="1"/>
  <c r="C26" i="28"/>
  <c r="G26" i="28" s="1"/>
  <c r="J26" i="28" s="1"/>
  <c r="M26" i="28" s="1"/>
  <c r="O26" i="28" s="1"/>
  <c r="E22" i="28"/>
  <c r="C29" i="28"/>
  <c r="G29" i="28" s="1"/>
  <c r="J29" i="28" s="1"/>
  <c r="M29" i="28" s="1"/>
  <c r="O29" i="28" s="1"/>
  <c r="E26" i="28"/>
  <c r="C23" i="28"/>
  <c r="G23" i="28" s="1"/>
  <c r="J23" i="28" s="1"/>
  <c r="M23" i="28" s="1"/>
  <c r="O23" i="28" s="1"/>
  <c r="C22" i="28"/>
  <c r="G22" i="28" s="1"/>
  <c r="J22" i="28" s="1"/>
  <c r="M22" i="28" s="1"/>
  <c r="O22" i="28" s="1"/>
  <c r="C27" i="28"/>
  <c r="G27" i="28" s="1"/>
  <c r="J27" i="28" s="1"/>
  <c r="M27" i="28" s="1"/>
  <c r="O27" i="28" s="1"/>
  <c r="AC6" i="28"/>
  <c r="AC7" i="28" s="1"/>
  <c r="E27" i="28"/>
  <c r="AC10" i="28"/>
  <c r="J11" i="28" s="1"/>
  <c r="G16" i="28"/>
  <c r="E23" i="28" s="1"/>
  <c r="H16" i="28"/>
  <c r="E24" i="28" s="1"/>
  <c r="C30" i="28"/>
  <c r="G30" i="28" s="1"/>
  <c r="J30" i="28" s="1"/>
  <c r="M30" i="28" s="1"/>
  <c r="O30" i="28" s="1"/>
  <c r="K9" i="28"/>
  <c r="O9" i="28"/>
  <c r="E56" i="27"/>
  <c r="E57" i="27" s="1"/>
  <c r="C49" i="27"/>
  <c r="D8" i="28"/>
  <c r="D15" i="28" s="1"/>
  <c r="C28" i="28" s="1"/>
  <c r="G28" i="28" s="1"/>
  <c r="J28" i="28" s="1"/>
  <c r="M28" i="28" s="1"/>
  <c r="O28" i="28" s="1"/>
  <c r="C58" i="27"/>
  <c r="C55" i="27" s="1"/>
  <c r="C53" i="27"/>
  <c r="E45" i="27"/>
  <c r="C51" i="27"/>
  <c r="C31" i="28"/>
  <c r="G31" i="28" s="1"/>
  <c r="J31" i="28" s="1"/>
  <c r="M31" i="28" s="1"/>
  <c r="O31" i="28" s="1"/>
  <c r="E31" i="28"/>
  <c r="J17" i="28"/>
  <c r="O25" i="28"/>
  <c r="M25" i="28"/>
  <c r="D55" i="27"/>
  <c r="E54" i="27"/>
  <c r="E55" i="27" s="1"/>
  <c r="E30" i="28"/>
  <c r="P8" i="28" l="1"/>
  <c r="P15" i="28" s="1"/>
  <c r="P14" i="28"/>
  <c r="AC14" i="28"/>
  <c r="D16" i="28"/>
  <c r="E28" i="28" s="1"/>
  <c r="C50" i="27"/>
  <c r="AC8" i="28"/>
  <c r="AC15" i="28" s="1"/>
  <c r="AC9" i="28"/>
  <c r="M17" i="28" l="1"/>
  <c r="F17" i="28"/>
  <c r="P39" i="25" l="1"/>
  <c r="P41" i="25" l="1"/>
  <c r="Q14" i="27"/>
  <c r="Q17" i="27" s="1"/>
  <c r="J6" i="28" s="1"/>
  <c r="J7" i="28" l="1"/>
  <c r="J14" i="28"/>
  <c r="Q28" i="27"/>
  <c r="Q30" i="27" s="1"/>
  <c r="J10" i="28" s="1"/>
  <c r="E44" i="25"/>
  <c r="F51" i="25" s="1"/>
  <c r="B44" i="25"/>
  <c r="E51" i="25" l="1"/>
  <c r="E52" i="25" s="1"/>
  <c r="D43" i="27" s="1"/>
  <c r="D45" i="27" s="1"/>
  <c r="D48" i="27"/>
  <c r="D56" i="27" s="1"/>
  <c r="D57" i="27" s="1"/>
  <c r="F11" i="28"/>
  <c r="M11" i="28"/>
  <c r="B51" i="25"/>
  <c r="B52" i="25" s="1"/>
  <c r="C43" i="27" s="1"/>
  <c r="C45" i="27" s="1"/>
  <c r="C48" i="27"/>
  <c r="C56" i="27" s="1"/>
  <c r="C57" i="27" s="1"/>
  <c r="J9" i="28"/>
  <c r="J8" i="28"/>
  <c r="J15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5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B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B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B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B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B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B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B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B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B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B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B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B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B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B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B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B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B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B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B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B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B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B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B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B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B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B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B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B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C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C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C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C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C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C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C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C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C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C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C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C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C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C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C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C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C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C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C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C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C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C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C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C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C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C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C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C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C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C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C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C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C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C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C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8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8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8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D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D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D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D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D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D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D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D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D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D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D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D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D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D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D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D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D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D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D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D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D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D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D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D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D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D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D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D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D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D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D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D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D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D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D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E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E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E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E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E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E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E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E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E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E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E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E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E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E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E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E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E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E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E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E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E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E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E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E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E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E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E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E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E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E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E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E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E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E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E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F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F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F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F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F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F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F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F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F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F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F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F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F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F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F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F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F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F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F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F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F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F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F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F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F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F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F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F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F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F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F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F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F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F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Conte, Chris</author>
  </authors>
  <commentList>
    <comment ref="AD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V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Pricing changed to Liquid Lb in 2016 from Liquid Gal.</t>
        </r>
      </text>
    </comment>
    <comment ref="L23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9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4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4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4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4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4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4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4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4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4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4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4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4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4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4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5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5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5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5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5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5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5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5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5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5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5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5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5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5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6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6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6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6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6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6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6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6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6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6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6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6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6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6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6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6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6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6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6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6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6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6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6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6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6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6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6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6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7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7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7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7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7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7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7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7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7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7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7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7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7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7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7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7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7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7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7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7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7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7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7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7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7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7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7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8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8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8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8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8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8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8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8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8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8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8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8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8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8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8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8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8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8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  <author>Linder, Kevin</author>
  </authors>
  <commentList>
    <comment ref="B40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9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9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9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9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9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9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9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9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9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9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9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9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9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9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9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9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9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9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9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9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9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9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9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9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9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9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9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9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  <comment ref="AN42" authorId="1" shapeId="0" xr:uid="{00000000-0006-0000-0900-000025000000}">
      <text>
        <r>
          <rPr>
            <b/>
            <sz val="9"/>
            <color indexed="81"/>
            <rFont val="Tahoma"/>
            <family val="2"/>
          </rPr>
          <t>Linder, Kevin: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A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A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A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A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A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A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A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A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A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A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A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A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A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A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A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A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A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A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A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A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A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A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A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A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A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A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A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A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<sst xmlns="http://schemas.openxmlformats.org/spreadsheetml/2006/main" count="2325" uniqueCount="234">
  <si>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</si>
  <si>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</si>
  <si>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</si>
  <si>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</si>
  <si>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</si>
  <si>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</si>
  <si>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</si>
  <si>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</si>
  <si>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</si>
  <si>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</si>
  <si>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</si>
  <si>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</si>
  <si>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</si>
  <si>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</si>
  <si>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</si>
  <si>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</si>
  <si>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</si>
  <si>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</si>
  <si>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</si>
  <si>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</si>
  <si>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</si>
  <si>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</si>
  <si>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</si>
  <si>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</si>
  <si>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</si>
  <si>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</si>
  <si>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</si>
  <si>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</si>
  <si>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</si>
  <si>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</si>
  <si>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</si>
  <si>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</si>
  <si>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</si>
  <si>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</si>
  <si>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</si>
  <si>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</si>
  <si>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</si>
  <si>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</si>
  <si>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</si>
  <si>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</si>
  <si>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</si>
  <si>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</si>
  <si>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</si>
  <si>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</si>
  <si>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</si>
  <si>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</si>
  <si>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</si>
  <si>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</si>
  <si>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</si>
  <si>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</si>
  <si>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</si>
  <si>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</si>
  <si>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</si>
  <si>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</si>
  <si>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</si>
  <si>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</si>
  <si>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</si>
  <si>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</si>
  <si>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</si>
  <si>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</si>
  <si>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</si>
  <si>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</si>
  <si>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</si>
  <si>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</si>
  <si>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</si>
  <si>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</si>
  <si>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</si>
  <si>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</si>
  <si>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</si>
  <si>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</si>
  <si>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</si>
  <si>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</si>
  <si>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</si>
  <si>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</si>
  <si>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</si>
  <si>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</si>
  <si>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</si>
  <si>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</si>
  <si>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</si>
  <si>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</si>
  <si>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</si>
  <si>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</si>
  <si>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</si>
  <si>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</si>
  <si>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</si>
  <si>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</si>
  <si>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</si>
  <si>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</si>
  <si>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</si>
  <si>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</si>
  <si>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</si>
  <si>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</si>
  <si>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</si>
  <si>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</si>
  <si>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</si>
  <si>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</si>
  <si>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</si>
  <si>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</si>
  <si>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</si>
  <si>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</si>
  <si>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</si>
  <si>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</si>
  <si>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</si>
  <si>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</si>
  <si>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</si>
  <si>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</si>
  <si>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</si>
  <si>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</si>
  <si>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</si>
  <si>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</si>
  <si>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</si>
  <si>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</si>
  <si>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</si>
  <si>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</si>
  <si>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</si>
  <si>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</si>
  <si>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</si>
  <si>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</si>
  <si>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</si>
  <si>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</si>
  <si>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</si>
  <si>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</si>
  <si>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</si>
  <si>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</si>
  <si>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</si>
  <si>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</si>
  <si>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</si>
  <si>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</si>
  <si>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</si>
  <si>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</si>
  <si>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</si>
  <si>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</si>
  <si>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</si>
  <si>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</si>
  <si>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</si>
  <si>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</si>
  <si>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</si>
  <si>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</si>
  <si>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</si>
  <si>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</si>
  <si>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</si>
  <si>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</si>
  <si>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</si>
  <si>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</si>
  <si>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</si>
  <si>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</si>
  <si>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</si>
  <si>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</si>
  <si>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</si>
  <si>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</si>
  <si>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</si>
  <si>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</si>
  <si>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</si>
  <si>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</si>
  <si>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</si>
  <si>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</si>
  <si>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</si>
  <si>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</si>
  <si>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</si>
  <si>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</si>
  <si>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</si>
  <si>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</si>
  <si>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</si>
  <si>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</si>
  <si>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</si>
  <si>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</si>
  <si>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</si>
  <si>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</si>
  <si>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</si>
  <si>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</si>
  <si>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</si>
  <si>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</si>
  <si>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</si>
  <si>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</si>
  <si>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</si>
  <si>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</si>
  <si>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</si>
  <si>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</si>
  <si>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</si>
  <si>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</si>
  <si>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</si>
  <si>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</si>
  <si>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</si>
  <si>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</si>
  <si>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</si>
  <si>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</si>
  <si>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</si>
  <si>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</si>
  <si>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</si>
  <si>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</si>
  <si>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</si>
  <si>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</si>
  <si>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</si>
  <si>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</si>
  <si>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</si>
  <si>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</si>
  <si>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</si>
  <si>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</si>
  <si>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</si>
  <si>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</si>
  <si>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</si>
  <si>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</si>
  <si>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</si>
  <si>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</si>
  <si>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</si>
  <si>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</si>
  <si>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</si>
  <si>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</si>
  <si>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</si>
  <si>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</si>
  <si>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</si>
  <si>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</si>
  <si>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</si>
  <si>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</si>
  <si>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</si>
  <si>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</si>
  <si>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</si>
  <si>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</si>
  <si>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</si>
  <si>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</si>
  <si>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</si>
  <si>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RWSP Flow to Process</t>
  </si>
  <si>
    <t>RWAR Flow to Process</t>
  </si>
  <si>
    <t>Total Treated (MG)</t>
  </si>
  <si>
    <t>RWSP to Process (MG)</t>
  </si>
  <si>
    <t>RWAR to Process (MG)</t>
  </si>
  <si>
    <t>RWSP to Process</t>
  </si>
  <si>
    <t>RWAR to Process</t>
  </si>
  <si>
    <t xml:space="preserve">RWAR to Process </t>
  </si>
  <si>
    <t>Raw Flow To Process</t>
  </si>
  <si>
    <t>RWAR To Process</t>
  </si>
  <si>
    <t>RWSP To Process</t>
  </si>
  <si>
    <t>2018 YTD Finished Delivered Flows (MG) &amp; Ratios</t>
  </si>
  <si>
    <t>2018 YTD Treated Raw Water Flows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</si>
</sst>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mm/dd/yy;@"/>
    <numFmt numFmtId="172" formatCode="[$-409]mmmm\-yy;@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7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rgb="FF00B050"/>
      </left>
      <right/>
      <top style="thick">
        <color rgb="FF00B050"/>
      </top>
      <bottom style="thin">
        <color indexed="64"/>
      </bottom>
      <diagonal/>
    </border>
    <border>
      <left style="thin">
        <color indexed="64"/>
      </left>
      <right/>
      <top style="thick">
        <color rgb="FF00B050"/>
      </top>
      <bottom style="thin">
        <color indexed="64"/>
      </bottom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651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39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2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48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4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165" fontId="0" fillId="24" borderId="141" xfId="0" applyNumberFormat="1" applyFill="1" applyBorder="1" applyAlignment="1">
      <alignment horizontal="center"/>
    </xf>
    <xf numFmtId="0" fontId="0" fillId="0" borderId="154" xfId="0" applyBorder="1" applyAlignment="1">
      <alignment horizontal="center" vertical="center" wrapText="1"/>
    </xf>
    <xf numFmtId="165" fontId="0" fillId="0" borderId="155" xfId="0" applyNumberFormat="1" applyBorder="1" applyAlignment="1">
      <alignment horizontal="center"/>
    </xf>
    <xf numFmtId="165" fontId="0" fillId="0" borderId="156" xfId="0" applyNumberFormat="1" applyBorder="1" applyAlignment="1">
      <alignment horizontal="center"/>
    </xf>
    <xf numFmtId="165" fontId="0" fillId="0" borderId="157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48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4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0" xfId="0" applyNumberFormat="1" applyFill="1" applyBorder="1" applyAlignment="1">
      <alignment horizontal="center"/>
    </xf>
    <xf numFmtId="0" fontId="0" fillId="27" borderId="148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1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5" fontId="0" fillId="24" borderId="165" xfId="0" applyNumberFormat="1" applyFill="1" applyBorder="1" applyAlignment="1">
      <alignment horizontal="center"/>
    </xf>
    <xf numFmtId="165" fontId="0" fillId="24" borderId="166" xfId="0" applyNumberFormat="1" applyFill="1" applyBorder="1" applyAlignment="1">
      <alignment horizontal="center"/>
    </xf>
    <xf numFmtId="165" fontId="0" fillId="24" borderId="167" xfId="0" applyNumberFormat="1" applyFill="1" applyBorder="1" applyAlignment="1">
      <alignment horizontal="center"/>
    </xf>
    <xf numFmtId="165" fontId="0" fillId="24" borderId="37" xfId="0" applyNumberFormat="1" applyFill="1" applyBorder="1" applyAlignment="1">
      <alignment horizontal="center"/>
    </xf>
    <xf numFmtId="165" fontId="4" fillId="0" borderId="0" xfId="0" applyNumberFormat="1" applyFont="1" applyBorder="1"/>
    <xf numFmtId="2" fontId="0" fillId="0" borderId="22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/>
    </xf>
    <xf numFmtId="2" fontId="0" fillId="0" borderId="43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/>
    </xf>
    <xf numFmtId="2" fontId="21" fillId="0" borderId="22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/>
    </xf>
    <xf numFmtId="2" fontId="21" fillId="0" borderId="23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 vertical="center"/>
    </xf>
    <xf numFmtId="2" fontId="21" fillId="0" borderId="43" xfId="0" applyNumberFormat="1" applyFont="1" applyFill="1" applyBorder="1" applyAlignment="1" applyProtection="1">
      <alignment horizontal="center"/>
    </xf>
    <xf numFmtId="2" fontId="21" fillId="0" borderId="43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/>
    </xf>
    <xf numFmtId="171" fontId="0" fillId="0" borderId="96" xfId="0" applyNumberFormat="1" applyFill="1" applyBorder="1" applyAlignment="1" applyProtection="1">
      <alignment horizontal="center"/>
    </xf>
    <xf numFmtId="171" fontId="0" fillId="0" borderId="168" xfId="0" applyNumberFormat="1" applyFill="1" applyBorder="1" applyAlignment="1" applyProtection="1">
      <alignment horizontal="center"/>
    </xf>
    <xf numFmtId="2" fontId="0" fillId="0" borderId="158" xfId="0" applyNumberFormat="1" applyFill="1" applyBorder="1" applyAlignment="1" applyProtection="1">
      <alignment horizontal="center" vertical="center"/>
      <protection locked="0"/>
    </xf>
    <xf numFmtId="2" fontId="0" fillId="0" borderId="169" xfId="0" applyNumberFormat="1" applyFill="1" applyBorder="1" applyAlignment="1" applyProtection="1">
      <alignment horizontal="center" vertical="center"/>
      <protection locked="0"/>
    </xf>
    <xf numFmtId="2" fontId="0" fillId="0" borderId="169" xfId="0" applyNumberFormat="1" applyBorder="1" applyAlignment="1" applyProtection="1">
      <alignment horizontal="center" vertical="center"/>
      <protection locked="0"/>
    </xf>
    <xf numFmtId="2" fontId="0" fillId="0" borderId="170" xfId="0" applyNumberFormat="1" applyBorder="1" applyAlignment="1" applyProtection="1">
      <alignment horizontal="center" vertical="center"/>
      <protection locked="0"/>
    </xf>
    <xf numFmtId="2" fontId="0" fillId="0" borderId="158" xfId="0" applyNumberFormat="1" applyBorder="1" applyAlignment="1" applyProtection="1">
      <alignment horizontal="center" vertical="center"/>
      <protection locked="0"/>
    </xf>
    <xf numFmtId="2" fontId="0" fillId="0" borderId="151" xfId="0" applyNumberFormat="1" applyBorder="1" applyAlignment="1" applyProtection="1">
      <alignment horizontal="center" vertical="center"/>
      <protection locked="0"/>
    </xf>
    <xf numFmtId="2" fontId="0" fillId="0" borderId="171" xfId="0" applyNumberFormat="1" applyBorder="1" applyAlignment="1" applyProtection="1">
      <alignment horizontal="center" vertical="center"/>
      <protection locked="0"/>
    </xf>
    <xf numFmtId="2" fontId="0" fillId="0" borderId="45" xfId="0" applyNumberFormat="1" applyBorder="1" applyAlignment="1" applyProtection="1">
      <alignment horizontal="center" vertical="center"/>
      <protection locked="0"/>
    </xf>
    <xf numFmtId="2" fontId="0" fillId="0" borderId="130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Fill="1" applyBorder="1" applyAlignment="1" applyProtection="1">
      <alignment horizontal="center" vertical="center"/>
      <protection locked="0"/>
    </xf>
    <xf numFmtId="2" fontId="0" fillId="0" borderId="37" xfId="0" applyNumberFormat="1" applyBorder="1" applyAlignment="1" applyProtection="1">
      <alignment horizontal="center" vertical="center"/>
      <protection locked="0"/>
    </xf>
    <xf numFmtId="2" fontId="0" fillId="0" borderId="170" xfId="0" applyNumberFormat="1" applyFill="1" applyBorder="1" applyAlignment="1" applyProtection="1">
      <alignment horizontal="center" vertical="center"/>
      <protection locked="0"/>
    </xf>
    <xf numFmtId="2" fontId="0" fillId="0" borderId="151" xfId="0" applyNumberFormat="1" applyFill="1" applyBorder="1" applyAlignment="1" applyProtection="1">
      <alignment horizontal="center" vertical="center"/>
      <protection locked="0"/>
    </xf>
    <xf numFmtId="2" fontId="0" fillId="0" borderId="171" xfId="0" applyNumberFormat="1" applyFill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45" xfId="0" applyFill="1" applyBorder="1" applyAlignment="1">
      <alignment horizontal="center" vertical="center"/>
    </xf>
    <xf numFmtId="0" fontId="0" fillId="0" borderId="42" xfId="0" applyBorder="1"/>
    <xf numFmtId="0" fontId="9" fillId="2" borderId="54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 vertical="center"/>
    </xf>
    <xf numFmtId="14" fontId="0" fillId="0" borderId="0" xfId="0" applyNumberFormat="1"/>
    <xf numFmtId="164" fontId="4" fillId="14" borderId="94" xfId="0" applyNumberFormat="1" applyFont="1" applyFill="1" applyBorder="1" applyAlignment="1">
      <alignment horizontal="center" vertical="center" textRotation="90"/>
    </xf>
    <xf numFmtId="4" fontId="0" fillId="27" borderId="163" xfId="0" applyNumberFormat="1" applyFill="1" applyBorder="1" applyAlignment="1">
      <alignment horizontal="center"/>
    </xf>
    <xf numFmtId="4" fontId="0" fillId="27" borderId="164" xfId="0" applyNumberFormat="1" applyFill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22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43" xfId="0" applyNumberFormat="1" applyBorder="1" applyAlignment="1" applyProtection="1">
      <alignment horizontal="center"/>
      <protection locked="0"/>
    </xf>
    <xf numFmtId="2" fontId="0" fillId="0" borderId="172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1" xfId="0" applyFill="1" applyBorder="1" applyAlignment="1">
      <alignment horizontal="center" vertical="center"/>
    </xf>
    <xf numFmtId="2" fontId="0" fillId="0" borderId="173" xfId="0" applyNumberFormat="1" applyBorder="1" applyAlignment="1" applyProtection="1">
      <alignment horizontal="center" vertical="center"/>
      <protection locked="0"/>
    </xf>
    <xf numFmtId="2" fontId="0" fillId="0" borderId="174" xfId="0" applyNumberFormat="1" applyBorder="1" applyAlignment="1" applyProtection="1">
      <alignment horizontal="center" vertical="center"/>
      <protection locked="0"/>
    </xf>
    <xf numFmtId="2" fontId="0" fillId="0" borderId="28" xfId="0" applyNumberFormat="1" applyBorder="1" applyAlignment="1" applyProtection="1">
      <alignment horizontal="center" vertical="center"/>
      <protection locked="0"/>
    </xf>
    <xf numFmtId="2" fontId="0" fillId="0" borderId="152" xfId="0" applyNumberFormat="1" applyBorder="1" applyAlignment="1" applyProtection="1">
      <alignment horizontal="center" vertical="center"/>
      <protection locked="0"/>
    </xf>
    <xf numFmtId="2" fontId="0" fillId="0" borderId="175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 vertical="center"/>
    </xf>
    <xf numFmtId="2" fontId="0" fillId="0" borderId="43" xfId="0" applyNumberFormat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5" fillId="14" borderId="86" xfId="0" applyFont="1" applyFill="1" applyBorder="1" applyAlignment="1">
      <alignment horizontal="center" vertical="center" wrapText="1"/>
    </xf>
    <xf numFmtId="0" fontId="15" fillId="14" borderId="87" xfId="0" applyFont="1" applyFill="1" applyBorder="1" applyAlignment="1">
      <alignment horizontal="center" vertical="center" wrapText="1"/>
    </xf>
    <xf numFmtId="0" fontId="15" fillId="14" borderId="88" xfId="0" applyFont="1" applyFill="1" applyBorder="1" applyAlignment="1">
      <alignment horizontal="center" vertical="center" wrapText="1"/>
    </xf>
    <xf numFmtId="0" fontId="16" fillId="0" borderId="153" xfId="0" applyFont="1" applyBorder="1" applyAlignment="1">
      <alignment horizontal="center" vertical="center" textRotation="75"/>
    </xf>
    <xf numFmtId="0" fontId="16" fillId="0" borderId="158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2" xfId="0" applyBorder="1" applyAlignment="1"/>
    <xf numFmtId="0" fontId="16" fillId="0" borderId="150" xfId="0" applyFont="1" applyBorder="1" applyAlignment="1">
      <alignment horizontal="center" vertical="center" textRotation="75"/>
    </xf>
    <xf numFmtId="0" fontId="16" fillId="0" borderId="151" xfId="0" applyFont="1" applyBorder="1" applyAlignment="1">
      <alignment horizontal="center" vertical="center" textRotation="75"/>
    </xf>
    <xf numFmtId="0" fontId="0" fillId="0" borderId="152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165" fontId="0" fillId="22" borderId="30" xfId="0" applyNumberFormat="1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7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6" xfId="0" applyFont="1" applyFill="1" applyBorder="1" applyAlignment="1">
      <alignment horizontal="center" vertical="center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4" fillId="13" borderId="134" xfId="0" applyFont="1" applyFill="1" applyBorder="1" applyAlignment="1">
      <alignment horizontal="center" vertical="center"/>
    </xf>
    <xf numFmtId="1" fontId="14" fillId="0" borderId="86" xfId="0" applyNumberFormat="1" applyFont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5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172" fontId="11" fillId="0" borderId="55" xfId="0" applyNumberFormat="1" applyFont="1" applyFill="1" applyBorder="1" applyAlignment="1">
      <alignment horizontal="center" vertical="center"/>
    </xf>
    <xf numFmtId="172" fontId="0" fillId="0" borderId="66" xfId="0" applyNumberFormat="1" applyBorder="1" applyAlignment="1">
      <alignment horizontal="center" vertical="center"/>
    </xf>
    <xf numFmtId="172" fontId="0" fillId="0" borderId="56" xfId="0" applyNumberForma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146" xfId="0" applyFont="1" applyFill="1" applyBorder="1" applyAlignment="1">
      <alignment horizontal="left"/>
    </xf>
    <xf numFmtId="0" fontId="4" fillId="22" borderId="14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10</xdr:col>
          <xdr:colOff>476250</xdr:colOff>
          <xdr:row>45</xdr:row>
          <xdr:rowOff>57150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95250</xdr:colOff>
          <xdr:row>45</xdr:row>
          <xdr:rowOff>28575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0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361950</xdr:colOff>
          <xdr:row>42</xdr:row>
          <xdr:rowOff>114300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2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0</xdr:row>
          <xdr:rowOff>0</xdr:rowOff>
        </xdr:from>
        <xdr:to>
          <xdr:col>20</xdr:col>
          <xdr:colOff>466725</xdr:colOff>
          <xdr:row>31</xdr:row>
          <xdr:rowOff>85725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2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files\Dept\Utilities%20Department\Divisions\Water%20Treatment\Binney\BWPF%20Operating%20Reports\BWPF%20Flow%20Reports%20and%20Query%20Tool\BWPF%20Monthly%20Plant%20Flows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3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10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95250</xdr:colOff>
                <xdr:row>45</xdr:row>
                <xdr:rowOff>28575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63"/>
  <sheetViews>
    <sheetView topLeftCell="A43" zoomScale="75" zoomScaleNormal="75" workbookViewId="0">
      <selection activeCell="A30" sqref="A30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3" width="15.140625" customWidth="1"/>
    <col min="44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  <c r="AV4" t="s">
        <v>169</v>
      </c>
      <c r="AW4" s="338" t="s">
        <v>207</v>
      </c>
    </row>
    <row r="5" spans="1:49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43252</v>
      </c>
      <c r="B8" s="49"/>
      <c r="C8" s="50">
        <v>84.610011128584787</v>
      </c>
      <c r="D8" s="50">
        <v>1312.8470567703225</v>
      </c>
      <c r="E8" s="50">
        <v>33.503680402537221</v>
      </c>
      <c r="F8" s="50">
        <v>0</v>
      </c>
      <c r="G8" s="50">
        <v>4093.9814206441324</v>
      </c>
      <c r="H8" s="51">
        <v>42.267088371515328</v>
      </c>
      <c r="I8" s="49">
        <v>315.29533483187379</v>
      </c>
      <c r="J8" s="50">
        <v>699.08938938776771</v>
      </c>
      <c r="K8" s="50">
        <v>38.213942180077169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537.05290103760399</v>
      </c>
      <c r="V8" s="54">
        <v>255.33257903780816</v>
      </c>
      <c r="W8" s="54">
        <v>77.108701099730055</v>
      </c>
      <c r="X8" s="54">
        <v>36.660007757170625</v>
      </c>
      <c r="Y8" s="54">
        <v>312.40054470435257</v>
      </c>
      <c r="Z8" s="54">
        <v>148.52547415360348</v>
      </c>
      <c r="AA8" s="55">
        <v>0</v>
      </c>
      <c r="AB8" s="56">
        <v>171.75632405811052</v>
      </c>
      <c r="AC8" s="57">
        <v>0</v>
      </c>
      <c r="AD8" s="411">
        <v>20.729001295140719</v>
      </c>
      <c r="AE8" s="411">
        <v>9.5578774665288169</v>
      </c>
      <c r="AF8" s="57">
        <v>29.543781908353164</v>
      </c>
      <c r="AG8" s="58">
        <v>19.850963081887084</v>
      </c>
      <c r="AH8" s="58">
        <v>9.4377994985034981</v>
      </c>
      <c r="AI8" s="58">
        <v>0.67776721626258485</v>
      </c>
      <c r="AJ8" s="57">
        <v>229.89475250244141</v>
      </c>
      <c r="AK8" s="57">
        <v>836.40529123942054</v>
      </c>
      <c r="AL8" s="57">
        <v>3136.6660683949785</v>
      </c>
      <c r="AM8" s="57">
        <v>451.39535522460938</v>
      </c>
      <c r="AN8" s="57">
        <v>4947.204345703125</v>
      </c>
      <c r="AO8" s="57">
        <v>2910.877973683675</v>
      </c>
      <c r="AP8" s="57">
        <v>609.73026245435085</v>
      </c>
      <c r="AQ8" s="57">
        <v>3657.7345118204753</v>
      </c>
      <c r="AR8" s="57">
        <v>480.87473185857129</v>
      </c>
      <c r="AS8" s="57">
        <v>890.32599957784021</v>
      </c>
    </row>
    <row r="9" spans="1:49" x14ac:dyDescent="0.25">
      <c r="A9" s="11">
        <v>43253</v>
      </c>
      <c r="B9" s="59"/>
      <c r="C9" s="60">
        <v>84.358358526230404</v>
      </c>
      <c r="D9" s="60">
        <v>1311.9872445424405</v>
      </c>
      <c r="E9" s="60">
        <v>33.419362919032601</v>
      </c>
      <c r="F9" s="60">
        <v>0</v>
      </c>
      <c r="G9" s="60">
        <v>4037.020632934566</v>
      </c>
      <c r="H9" s="61">
        <v>42.157114076614469</v>
      </c>
      <c r="I9" s="59">
        <v>313.06599229176868</v>
      </c>
      <c r="J9" s="60">
        <v>681.59974854787311</v>
      </c>
      <c r="K9" s="60">
        <v>37.269363259275778</v>
      </c>
      <c r="L9" s="60">
        <v>0</v>
      </c>
      <c r="M9" s="60">
        <v>0</v>
      </c>
      <c r="N9" s="61">
        <v>0</v>
      </c>
      <c r="O9" s="49">
        <v>0</v>
      </c>
      <c r="P9" s="60">
        <v>0</v>
      </c>
      <c r="Q9" s="50">
        <v>0</v>
      </c>
      <c r="R9" s="50">
        <v>0</v>
      </c>
      <c r="S9" s="60">
        <v>0</v>
      </c>
      <c r="T9" s="64">
        <v>0</v>
      </c>
      <c r="U9" s="65">
        <v>582.35487944669239</v>
      </c>
      <c r="V9" s="62">
        <v>266.20418711382649</v>
      </c>
      <c r="W9" s="62">
        <v>85.164984458264314</v>
      </c>
      <c r="X9" s="62">
        <v>38.930343435628764</v>
      </c>
      <c r="Y9" s="66">
        <v>330.01368092074841</v>
      </c>
      <c r="Z9" s="66">
        <v>150.85479106729329</v>
      </c>
      <c r="AA9" s="67">
        <v>0</v>
      </c>
      <c r="AB9" s="68">
        <v>175.05017146004752</v>
      </c>
      <c r="AC9" s="69">
        <v>0</v>
      </c>
      <c r="AD9" s="412">
        <v>21.428524368570326</v>
      </c>
      <c r="AE9" s="412">
        <v>9.5509257471252891</v>
      </c>
      <c r="AF9" s="69">
        <v>30.744565008746203</v>
      </c>
      <c r="AG9" s="68">
        <v>20.919504395085401</v>
      </c>
      <c r="AH9" s="68">
        <v>9.5626564812317199</v>
      </c>
      <c r="AI9" s="68">
        <v>0.68628679180479779</v>
      </c>
      <c r="AJ9" s="69">
        <v>229.89475250244141</v>
      </c>
      <c r="AK9" s="69">
        <v>819.20848789215086</v>
      </c>
      <c r="AL9" s="69">
        <v>3214.1068970998131</v>
      </c>
      <c r="AM9" s="69">
        <v>451.39535522460938</v>
      </c>
      <c r="AN9" s="69">
        <v>4947.204345703125</v>
      </c>
      <c r="AO9" s="69">
        <v>2792.6152150472008</v>
      </c>
      <c r="AP9" s="69">
        <v>572.56272001266473</v>
      </c>
      <c r="AQ9" s="69">
        <v>3749.4786670684816</v>
      </c>
      <c r="AR9" s="69">
        <v>472.49625775019331</v>
      </c>
      <c r="AS9" s="69">
        <v>762.7470204353333</v>
      </c>
    </row>
    <row r="10" spans="1:49" x14ac:dyDescent="0.25">
      <c r="A10" s="11">
        <v>43254</v>
      </c>
      <c r="B10" s="59"/>
      <c r="C10" s="60">
        <v>84.138590927919125</v>
      </c>
      <c r="D10" s="60">
        <v>1331.6125753402716</v>
      </c>
      <c r="E10" s="60">
        <v>33.276072122653403</v>
      </c>
      <c r="F10" s="60">
        <v>0</v>
      </c>
      <c r="G10" s="60">
        <v>4214.1754376729286</v>
      </c>
      <c r="H10" s="61">
        <v>42.130877518653904</v>
      </c>
      <c r="I10" s="59">
        <v>318.08850528399165</v>
      </c>
      <c r="J10" s="60">
        <v>681.05064026514742</v>
      </c>
      <c r="K10" s="60">
        <v>37.305253712336267</v>
      </c>
      <c r="L10" s="60">
        <v>0</v>
      </c>
      <c r="M10" s="60">
        <v>0</v>
      </c>
      <c r="N10" s="61">
        <v>0</v>
      </c>
      <c r="O10" s="49">
        <v>0</v>
      </c>
      <c r="P10" s="60">
        <v>0</v>
      </c>
      <c r="Q10" s="50">
        <v>0</v>
      </c>
      <c r="R10" s="50">
        <v>0</v>
      </c>
      <c r="S10" s="60">
        <v>0</v>
      </c>
      <c r="T10" s="64">
        <v>0</v>
      </c>
      <c r="U10" s="65">
        <v>582.18767196998022</v>
      </c>
      <c r="V10" s="62">
        <v>259.59966471858064</v>
      </c>
      <c r="W10" s="62">
        <v>87.955634883428218</v>
      </c>
      <c r="X10" s="62">
        <v>39.219747214134117</v>
      </c>
      <c r="Y10" s="66">
        <v>329.76905280281073</v>
      </c>
      <c r="Z10" s="66">
        <v>147.04525647631345</v>
      </c>
      <c r="AA10" s="67">
        <v>0</v>
      </c>
      <c r="AB10" s="68">
        <v>175.20911720064083</v>
      </c>
      <c r="AC10" s="69">
        <v>0</v>
      </c>
      <c r="AD10" s="412">
        <v>21.412258757177796</v>
      </c>
      <c r="AE10" s="412">
        <v>9.561028386304212</v>
      </c>
      <c r="AF10" s="69">
        <v>30.422677059968279</v>
      </c>
      <c r="AG10" s="68">
        <v>20.862274130904481</v>
      </c>
      <c r="AH10" s="68">
        <v>9.3025662177353396</v>
      </c>
      <c r="AI10" s="68">
        <v>0.69160896891155577</v>
      </c>
      <c r="AJ10" s="69">
        <v>222.49300966262817</v>
      </c>
      <c r="AK10" s="69">
        <v>820.58365259170535</v>
      </c>
      <c r="AL10" s="69">
        <v>3078.55425084432</v>
      </c>
      <c r="AM10" s="69">
        <v>451.39535522460938</v>
      </c>
      <c r="AN10" s="69">
        <v>4947.204345703125</v>
      </c>
      <c r="AO10" s="69">
        <v>2779.6015593210859</v>
      </c>
      <c r="AP10" s="69">
        <v>574.38042608896899</v>
      </c>
      <c r="AQ10" s="69">
        <v>3727.9217070261643</v>
      </c>
      <c r="AR10" s="69">
        <v>474.24707104365024</v>
      </c>
      <c r="AS10" s="69">
        <v>832.15898065567023</v>
      </c>
    </row>
    <row r="11" spans="1:49" x14ac:dyDescent="0.25">
      <c r="A11" s="11">
        <v>43255</v>
      </c>
      <c r="B11" s="59"/>
      <c r="C11" s="60">
        <v>84.157348251342285</v>
      </c>
      <c r="D11" s="60">
        <v>1338.7634152730316</v>
      </c>
      <c r="E11" s="60">
        <v>33.570642283062121</v>
      </c>
      <c r="F11" s="60">
        <v>0</v>
      </c>
      <c r="G11" s="60">
        <v>4313.8364453633585</v>
      </c>
      <c r="H11" s="61">
        <v>42.087662611405158</v>
      </c>
      <c r="I11" s="59">
        <v>320.71041412353554</v>
      </c>
      <c r="J11" s="60">
        <v>691.47972377141309</v>
      </c>
      <c r="K11" s="60">
        <v>37.855806407332416</v>
      </c>
      <c r="L11" s="60">
        <v>0</v>
      </c>
      <c r="M11" s="60">
        <v>0</v>
      </c>
      <c r="N11" s="61">
        <v>0</v>
      </c>
      <c r="O11" s="49">
        <v>0</v>
      </c>
      <c r="P11" s="60">
        <v>0</v>
      </c>
      <c r="Q11" s="50">
        <v>0</v>
      </c>
      <c r="R11" s="50">
        <v>0</v>
      </c>
      <c r="S11" s="60">
        <v>0</v>
      </c>
      <c r="T11" s="64">
        <v>0</v>
      </c>
      <c r="U11" s="65">
        <v>581.98937639973644</v>
      </c>
      <c r="V11" s="62">
        <v>264.15054093153503</v>
      </c>
      <c r="W11" s="62">
        <v>86.312180944853793</v>
      </c>
      <c r="X11" s="62">
        <v>39.174957843051764</v>
      </c>
      <c r="Y11" s="66">
        <v>337.7186156491282</v>
      </c>
      <c r="Z11" s="66">
        <v>153.28210208616238</v>
      </c>
      <c r="AA11" s="67">
        <v>0</v>
      </c>
      <c r="AB11" s="68">
        <v>176.8535454220245</v>
      </c>
      <c r="AC11" s="69">
        <v>0</v>
      </c>
      <c r="AD11" s="412">
        <v>21.741201599252392</v>
      </c>
      <c r="AE11" s="412">
        <v>9.5630936236952451</v>
      </c>
      <c r="AF11" s="69">
        <v>30.638936649428469</v>
      </c>
      <c r="AG11" s="68">
        <v>20.843441982178685</v>
      </c>
      <c r="AH11" s="68">
        <v>9.4603212665619711</v>
      </c>
      <c r="AI11" s="68">
        <v>0.68781694903998047</v>
      </c>
      <c r="AJ11" s="69">
        <v>213.26927947998047</v>
      </c>
      <c r="AK11" s="69">
        <v>841.89997320175189</v>
      </c>
      <c r="AL11" s="69">
        <v>3190.7428282419837</v>
      </c>
      <c r="AM11" s="69">
        <v>451.39535522460938</v>
      </c>
      <c r="AN11" s="69">
        <v>4947.204345703125</v>
      </c>
      <c r="AO11" s="69">
        <v>2857.5589828491206</v>
      </c>
      <c r="AP11" s="69">
        <v>585.39876003265374</v>
      </c>
      <c r="AQ11" s="69">
        <v>3757.8514623006176</v>
      </c>
      <c r="AR11" s="69">
        <v>465.48349587122595</v>
      </c>
      <c r="AS11" s="69">
        <v>914.15404472351076</v>
      </c>
    </row>
    <row r="12" spans="1:49" x14ac:dyDescent="0.25">
      <c r="A12" s="11">
        <v>43256</v>
      </c>
      <c r="B12" s="59"/>
      <c r="C12" s="60">
        <v>85.063321518898363</v>
      </c>
      <c r="D12" s="60">
        <v>1359.8000171661374</v>
      </c>
      <c r="E12" s="60">
        <v>33.417397493620676</v>
      </c>
      <c r="F12" s="60">
        <v>0</v>
      </c>
      <c r="G12" s="60">
        <v>4427.5762784322187</v>
      </c>
      <c r="H12" s="61">
        <v>42.498450913032002</v>
      </c>
      <c r="I12" s="59">
        <v>356.13037783304844</v>
      </c>
      <c r="J12" s="60">
        <v>795.58637351989796</v>
      </c>
      <c r="K12" s="60">
        <v>43.58044482171529</v>
      </c>
      <c r="L12" s="60">
        <v>0</v>
      </c>
      <c r="M12" s="60">
        <v>0</v>
      </c>
      <c r="N12" s="61">
        <v>0</v>
      </c>
      <c r="O12" s="49">
        <v>0</v>
      </c>
      <c r="P12" s="60">
        <v>0</v>
      </c>
      <c r="Q12" s="50">
        <v>0</v>
      </c>
      <c r="R12" s="50">
        <v>0</v>
      </c>
      <c r="S12" s="60">
        <v>0</v>
      </c>
      <c r="T12" s="64">
        <v>0</v>
      </c>
      <c r="U12" s="65">
        <v>664.99512900661648</v>
      </c>
      <c r="V12" s="62">
        <v>264.53315129395185</v>
      </c>
      <c r="W12" s="62">
        <v>98.676281791300255</v>
      </c>
      <c r="X12" s="62">
        <v>39.253141326337349</v>
      </c>
      <c r="Y12" s="66">
        <v>391.49103728544361</v>
      </c>
      <c r="Z12" s="66">
        <v>155.73400958764915</v>
      </c>
      <c r="AA12" s="67">
        <v>0</v>
      </c>
      <c r="AB12" s="68">
        <v>193.49698808458007</v>
      </c>
      <c r="AC12" s="69">
        <v>0</v>
      </c>
      <c r="AD12" s="412">
        <v>25.012859919513936</v>
      </c>
      <c r="AE12" s="412">
        <v>9.6257910615037598</v>
      </c>
      <c r="AF12" s="69">
        <v>34.046549597051424</v>
      </c>
      <c r="AG12" s="68">
        <v>24.037500491169741</v>
      </c>
      <c r="AH12" s="68">
        <v>9.5620486177963837</v>
      </c>
      <c r="AI12" s="68">
        <v>0.71541140070701936</v>
      </c>
      <c r="AJ12" s="69">
        <v>213.26927947998047</v>
      </c>
      <c r="AK12" s="69">
        <v>861.36742169062302</v>
      </c>
      <c r="AL12" s="69">
        <v>3177.8541069030757</v>
      </c>
      <c r="AM12" s="69">
        <v>451.39535522460938</v>
      </c>
      <c r="AN12" s="69">
        <v>4947.204345703125</v>
      </c>
      <c r="AO12" s="69">
        <v>2864.8550765991213</v>
      </c>
      <c r="AP12" s="69">
        <v>631.65218539237981</v>
      </c>
      <c r="AQ12" s="69">
        <v>4237.5857496897379</v>
      </c>
      <c r="AR12" s="69">
        <v>455.70028060277303</v>
      </c>
      <c r="AS12" s="69">
        <v>1005.3089871724446</v>
      </c>
    </row>
    <row r="13" spans="1:49" x14ac:dyDescent="0.25">
      <c r="A13" s="11">
        <v>43257</v>
      </c>
      <c r="B13" s="59"/>
      <c r="C13" s="60">
        <v>85.799964280923064</v>
      </c>
      <c r="D13" s="60">
        <v>1367.1565560022943</v>
      </c>
      <c r="E13" s="60">
        <v>33.431453537444305</v>
      </c>
      <c r="F13" s="60">
        <v>0</v>
      </c>
      <c r="G13" s="60">
        <v>4507.0413096110069</v>
      </c>
      <c r="H13" s="61">
        <v>42.628704261779774</v>
      </c>
      <c r="I13" s="59">
        <v>357.51855483055118</v>
      </c>
      <c r="J13" s="60">
        <v>798.47115364074671</v>
      </c>
      <c r="K13" s="60">
        <v>43.726844265063605</v>
      </c>
      <c r="L13" s="60">
        <v>0</v>
      </c>
      <c r="M13" s="60">
        <v>0</v>
      </c>
      <c r="N13" s="61">
        <v>0</v>
      </c>
      <c r="O13" s="49">
        <v>0</v>
      </c>
      <c r="P13" s="60">
        <v>0</v>
      </c>
      <c r="Q13" s="50">
        <v>0</v>
      </c>
      <c r="R13" s="50">
        <v>0</v>
      </c>
      <c r="S13" s="60">
        <v>0</v>
      </c>
      <c r="T13" s="64">
        <v>0</v>
      </c>
      <c r="U13" s="65">
        <v>676.50393273681527</v>
      </c>
      <c r="V13" s="62">
        <v>262.20944909403573</v>
      </c>
      <c r="W13" s="62">
        <v>100.84356819807181</v>
      </c>
      <c r="X13" s="62">
        <v>39.086448995086897</v>
      </c>
      <c r="Y13" s="66">
        <v>397.05162437117212</v>
      </c>
      <c r="Z13" s="66">
        <v>153.89516993208656</v>
      </c>
      <c r="AA13" s="67">
        <v>0</v>
      </c>
      <c r="AB13" s="68">
        <v>194.38294422361545</v>
      </c>
      <c r="AC13" s="69">
        <v>0</v>
      </c>
      <c r="AD13" s="412">
        <v>25.104707875300694</v>
      </c>
      <c r="AE13" s="412">
        <v>9.6769969496689097</v>
      </c>
      <c r="AF13" s="69">
        <v>34.245269682672259</v>
      </c>
      <c r="AG13" s="68">
        <v>24.355436985004864</v>
      </c>
      <c r="AH13" s="68">
        <v>9.4400422602821834</v>
      </c>
      <c r="AI13" s="68">
        <v>0.72067144863469745</v>
      </c>
      <c r="AJ13" s="69">
        <v>222.22643194198608</v>
      </c>
      <c r="AK13" s="69">
        <v>854.9963234901428</v>
      </c>
      <c r="AL13" s="69">
        <v>3402.3543642679851</v>
      </c>
      <c r="AM13" s="69">
        <v>451.39535522460938</v>
      </c>
      <c r="AN13" s="69">
        <v>4947.204345703125</v>
      </c>
      <c r="AO13" s="69">
        <v>2871.9498087565103</v>
      </c>
      <c r="AP13" s="69">
        <v>633.28172373771667</v>
      </c>
      <c r="AQ13" s="69">
        <v>4215.265453338623</v>
      </c>
      <c r="AR13" s="69">
        <v>454.18125130335488</v>
      </c>
      <c r="AS13" s="69">
        <v>998.07026357650761</v>
      </c>
    </row>
    <row r="14" spans="1:49" x14ac:dyDescent="0.25">
      <c r="A14" s="11">
        <v>43258</v>
      </c>
      <c r="B14" s="59"/>
      <c r="C14" s="60">
        <v>85.755437326431348</v>
      </c>
      <c r="D14" s="60">
        <v>1331.3930870056176</v>
      </c>
      <c r="E14" s="60">
        <v>33.311620176831944</v>
      </c>
      <c r="F14" s="60">
        <v>0</v>
      </c>
      <c r="G14" s="60">
        <v>4354.9648262023875</v>
      </c>
      <c r="H14" s="61">
        <v>42.701882918675807</v>
      </c>
      <c r="I14" s="59">
        <v>344.28054763476098</v>
      </c>
      <c r="J14" s="60">
        <v>790.45766324997066</v>
      </c>
      <c r="K14" s="60">
        <v>43.232946098844209</v>
      </c>
      <c r="L14" s="60">
        <v>0</v>
      </c>
      <c r="M14" s="60">
        <v>0</v>
      </c>
      <c r="N14" s="61">
        <v>0</v>
      </c>
      <c r="O14" s="49">
        <v>0</v>
      </c>
      <c r="P14" s="60">
        <v>0</v>
      </c>
      <c r="Q14" s="50">
        <v>0</v>
      </c>
      <c r="R14" s="50">
        <v>0</v>
      </c>
      <c r="S14" s="60">
        <v>0</v>
      </c>
      <c r="T14" s="64">
        <v>0</v>
      </c>
      <c r="U14" s="65">
        <v>655.93915841901605</v>
      </c>
      <c r="V14" s="62">
        <v>262.39125264428634</v>
      </c>
      <c r="W14" s="62">
        <v>99.442224787482672</v>
      </c>
      <c r="X14" s="62">
        <v>39.779253293266777</v>
      </c>
      <c r="Y14" s="66">
        <v>397.61418502352706</v>
      </c>
      <c r="Z14" s="66">
        <v>159.05512384551625</v>
      </c>
      <c r="AA14" s="67">
        <v>0</v>
      </c>
      <c r="AB14" s="68">
        <v>208.03719920052359</v>
      </c>
      <c r="AC14" s="69">
        <v>0</v>
      </c>
      <c r="AD14" s="412">
        <v>24.852092626943531</v>
      </c>
      <c r="AE14" s="412">
        <v>9.678924683998142</v>
      </c>
      <c r="AF14" s="69">
        <v>34.277570900652194</v>
      </c>
      <c r="AG14" s="68">
        <v>24.163468019668723</v>
      </c>
      <c r="AH14" s="68">
        <v>9.6659614851974425</v>
      </c>
      <c r="AI14" s="68">
        <v>0.71427358880506553</v>
      </c>
      <c r="AJ14" s="69">
        <v>230.86936734517417</v>
      </c>
      <c r="AK14" s="69">
        <v>846.75559902191151</v>
      </c>
      <c r="AL14" s="69">
        <v>3483.922337849935</v>
      </c>
      <c r="AM14" s="69">
        <v>451.39535522460938</v>
      </c>
      <c r="AN14" s="69">
        <v>4947.204345703125</v>
      </c>
      <c r="AO14" s="69">
        <v>2875.5538893381754</v>
      </c>
      <c r="AP14" s="69">
        <v>617.49871263504042</v>
      </c>
      <c r="AQ14" s="69">
        <v>4277.3713514963783</v>
      </c>
      <c r="AR14" s="69">
        <v>461.84621612230933</v>
      </c>
      <c r="AS14" s="69">
        <v>904.54585129419945</v>
      </c>
    </row>
    <row r="15" spans="1:49" x14ac:dyDescent="0.25">
      <c r="A15" s="11">
        <v>43259</v>
      </c>
      <c r="B15" s="59"/>
      <c r="C15" s="60">
        <v>85.416465346016636</v>
      </c>
      <c r="D15" s="60">
        <v>1316.0040301640838</v>
      </c>
      <c r="E15" s="60">
        <v>33.334237384796154</v>
      </c>
      <c r="F15" s="60">
        <v>0</v>
      </c>
      <c r="G15" s="60">
        <v>4242.1007718404098</v>
      </c>
      <c r="H15" s="61">
        <v>42.514163790146512</v>
      </c>
      <c r="I15" s="59">
        <v>318.75310122172084</v>
      </c>
      <c r="J15" s="60">
        <v>764.62852360407419</v>
      </c>
      <c r="K15" s="60">
        <v>41.803857675194713</v>
      </c>
      <c r="L15" s="60">
        <v>0</v>
      </c>
      <c r="M15" s="60">
        <v>0</v>
      </c>
      <c r="N15" s="61">
        <v>0</v>
      </c>
      <c r="O15" s="49">
        <v>0</v>
      </c>
      <c r="P15" s="60">
        <v>0</v>
      </c>
      <c r="Q15" s="50">
        <v>0</v>
      </c>
      <c r="R15" s="50">
        <v>0</v>
      </c>
      <c r="S15" s="60">
        <v>0</v>
      </c>
      <c r="T15" s="64">
        <v>0</v>
      </c>
      <c r="U15" s="65">
        <v>625.5511473522364</v>
      </c>
      <c r="V15" s="62">
        <v>261.46931570114936</v>
      </c>
      <c r="W15" s="62">
        <v>95.774020605198075</v>
      </c>
      <c r="X15" s="62">
        <v>40.031846693246081</v>
      </c>
      <c r="Y15" s="66">
        <v>378.86128407214795</v>
      </c>
      <c r="Z15" s="66">
        <v>158.3573159625652</v>
      </c>
      <c r="AA15" s="67">
        <v>0</v>
      </c>
      <c r="AB15" s="68">
        <v>214.19678377575482</v>
      </c>
      <c r="AC15" s="69">
        <v>0</v>
      </c>
      <c r="AD15" s="412">
        <v>24.042098082738981</v>
      </c>
      <c r="AE15" s="412">
        <v>9.671933560216134</v>
      </c>
      <c r="AF15" s="69">
        <v>32.789521637227807</v>
      </c>
      <c r="AG15" s="68">
        <v>22.838961612330383</v>
      </c>
      <c r="AH15" s="68">
        <v>9.5462820096760144</v>
      </c>
      <c r="AI15" s="68">
        <v>0.70522741403158284</v>
      </c>
      <c r="AJ15" s="69">
        <v>228.53675284385679</v>
      </c>
      <c r="AK15" s="69">
        <v>850.14047848383564</v>
      </c>
      <c r="AL15" s="69">
        <v>3143.5093186696372</v>
      </c>
      <c r="AM15" s="69">
        <v>451.39535522460938</v>
      </c>
      <c r="AN15" s="69">
        <v>4947.204345703125</v>
      </c>
      <c r="AO15" s="69">
        <v>2898.9894682566323</v>
      </c>
      <c r="AP15" s="69">
        <v>611.08495173454287</v>
      </c>
      <c r="AQ15" s="69">
        <v>4096.3170659383131</v>
      </c>
      <c r="AR15" s="69">
        <v>486.86274305979401</v>
      </c>
      <c r="AS15" s="69">
        <v>1019.0199398040771</v>
      </c>
    </row>
    <row r="16" spans="1:49" x14ac:dyDescent="0.25">
      <c r="A16" s="11">
        <v>43260</v>
      </c>
      <c r="B16" s="59"/>
      <c r="C16" s="60">
        <v>84.606805598736273</v>
      </c>
      <c r="D16" s="60">
        <v>1342.4314090092957</v>
      </c>
      <c r="E16" s="60">
        <v>33.31222656816248</v>
      </c>
      <c r="F16" s="60">
        <v>0</v>
      </c>
      <c r="G16" s="60">
        <v>4155.526011149087</v>
      </c>
      <c r="H16" s="61">
        <v>42.719558068116477</v>
      </c>
      <c r="I16" s="59">
        <v>331.04733780225172</v>
      </c>
      <c r="J16" s="60">
        <v>793.43669459024954</v>
      </c>
      <c r="K16" s="60">
        <v>43.451206612587015</v>
      </c>
      <c r="L16" s="60">
        <v>0</v>
      </c>
      <c r="M16" s="60">
        <v>0</v>
      </c>
      <c r="N16" s="61">
        <v>0</v>
      </c>
      <c r="O16" s="49">
        <v>0</v>
      </c>
      <c r="P16" s="60">
        <v>0</v>
      </c>
      <c r="Q16" s="50">
        <v>0</v>
      </c>
      <c r="R16" s="50">
        <v>0</v>
      </c>
      <c r="S16" s="60">
        <v>0</v>
      </c>
      <c r="T16" s="64">
        <v>0</v>
      </c>
      <c r="U16" s="65">
        <v>676.90948060127073</v>
      </c>
      <c r="V16" s="62">
        <v>267.98750311760205</v>
      </c>
      <c r="W16" s="62">
        <v>97.044701154529008</v>
      </c>
      <c r="X16" s="62">
        <v>38.419859521091901</v>
      </c>
      <c r="Y16" s="66">
        <v>417.87259469378427</v>
      </c>
      <c r="Z16" s="66">
        <v>165.43516745221186</v>
      </c>
      <c r="AA16" s="67">
        <v>0</v>
      </c>
      <c r="AB16" s="68">
        <v>219.84234800338785</v>
      </c>
      <c r="AC16" s="69">
        <v>0</v>
      </c>
      <c r="AD16" s="412">
        <v>24.947275994257406</v>
      </c>
      <c r="AE16" s="412">
        <v>9.6582671642528872</v>
      </c>
      <c r="AF16" s="69">
        <v>34.328553484545758</v>
      </c>
      <c r="AG16" s="68">
        <v>24.388192445418859</v>
      </c>
      <c r="AH16" s="68">
        <v>9.6552507924603841</v>
      </c>
      <c r="AI16" s="68">
        <v>0.71638442313269768</v>
      </c>
      <c r="AJ16" s="69">
        <v>234.65450054804484</v>
      </c>
      <c r="AK16" s="69">
        <v>844.47955252329507</v>
      </c>
      <c r="AL16" s="69">
        <v>3126.1220239003501</v>
      </c>
      <c r="AM16" s="69">
        <v>451.39535522460938</v>
      </c>
      <c r="AN16" s="69">
        <v>4947.204345703125</v>
      </c>
      <c r="AO16" s="69">
        <v>2814.6873311360678</v>
      </c>
      <c r="AP16" s="69">
        <v>614.5575954119364</v>
      </c>
      <c r="AQ16" s="69">
        <v>4338.5404613494866</v>
      </c>
      <c r="AR16" s="69">
        <v>479.83976453145351</v>
      </c>
      <c r="AS16" s="69">
        <v>920.65343761444092</v>
      </c>
    </row>
    <row r="17" spans="1:45" x14ac:dyDescent="0.25">
      <c r="A17" s="11">
        <v>43261</v>
      </c>
      <c r="B17" s="49"/>
      <c r="C17" s="50">
        <v>84.859852405389191</v>
      </c>
      <c r="D17" s="50">
        <v>1353.4493569056162</v>
      </c>
      <c r="E17" s="50">
        <v>33.520873846113702</v>
      </c>
      <c r="F17" s="50">
        <v>0</v>
      </c>
      <c r="G17" s="50">
        <v>4312.7795677185059</v>
      </c>
      <c r="H17" s="51">
        <v>42.557753785451254</v>
      </c>
      <c r="I17" s="49">
        <v>331.02542009353675</v>
      </c>
      <c r="J17" s="50">
        <v>793.3047238032018</v>
      </c>
      <c r="K17" s="50">
        <v>43.460479491949094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50">
        <v>0</v>
      </c>
      <c r="S17" s="50">
        <v>0</v>
      </c>
      <c r="T17" s="52">
        <v>0</v>
      </c>
      <c r="U17" s="71">
        <v>676.88124537746387</v>
      </c>
      <c r="V17" s="66">
        <v>267.96351683125994</v>
      </c>
      <c r="W17" s="62">
        <v>96.852033062739125</v>
      </c>
      <c r="X17" s="62">
        <v>38.341749854919399</v>
      </c>
      <c r="Y17" s="66">
        <v>417.22789880402951</v>
      </c>
      <c r="Z17" s="66">
        <v>165.1720384442005</v>
      </c>
      <c r="AA17" s="67">
        <v>0</v>
      </c>
      <c r="AB17" s="68">
        <v>219.99066066742088</v>
      </c>
      <c r="AC17" s="69">
        <v>0</v>
      </c>
      <c r="AD17" s="412">
        <v>24.943358770284</v>
      </c>
      <c r="AE17" s="412">
        <v>9.6685931293478475</v>
      </c>
      <c r="AF17" s="69">
        <v>34.206705098681986</v>
      </c>
      <c r="AG17" s="68">
        <v>24.293910181245089</v>
      </c>
      <c r="AH17" s="68">
        <v>9.61746488650153</v>
      </c>
      <c r="AI17" s="68">
        <v>0.71639413420163023</v>
      </c>
      <c r="AJ17" s="69">
        <v>241.21685612996419</v>
      </c>
      <c r="AK17" s="69">
        <v>850.0242726325987</v>
      </c>
      <c r="AL17" s="69">
        <v>3180.1605581919353</v>
      </c>
      <c r="AM17" s="69">
        <v>451.39535522460938</v>
      </c>
      <c r="AN17" s="69">
        <v>4947.204345703125</v>
      </c>
      <c r="AO17" s="69">
        <v>2822.419232177735</v>
      </c>
      <c r="AP17" s="69">
        <v>611.44642041524241</v>
      </c>
      <c r="AQ17" s="69">
        <v>4300.9229265848799</v>
      </c>
      <c r="AR17" s="69">
        <v>490.89847154617314</v>
      </c>
      <c r="AS17" s="69">
        <v>944.17814305623381</v>
      </c>
    </row>
    <row r="18" spans="1:45" x14ac:dyDescent="0.25">
      <c r="A18" s="11">
        <v>43262</v>
      </c>
      <c r="B18" s="59"/>
      <c r="C18" s="60">
        <v>85.18278433481801</v>
      </c>
      <c r="D18" s="60">
        <v>1355.1057524998989</v>
      </c>
      <c r="E18" s="60">
        <v>33.635929139455172</v>
      </c>
      <c r="F18" s="60">
        <v>0</v>
      </c>
      <c r="G18" s="60">
        <v>4322.7838119506787</v>
      </c>
      <c r="H18" s="61">
        <v>42.675325636068976</v>
      </c>
      <c r="I18" s="59">
        <v>291.02871435483257</v>
      </c>
      <c r="J18" s="60">
        <v>710.75908962885842</v>
      </c>
      <c r="K18" s="60">
        <v>38.87071984807649</v>
      </c>
      <c r="L18" s="60">
        <v>0</v>
      </c>
      <c r="M18" s="60">
        <v>0</v>
      </c>
      <c r="N18" s="61">
        <v>0</v>
      </c>
      <c r="O18" s="49">
        <v>0</v>
      </c>
      <c r="P18" s="60">
        <v>0</v>
      </c>
      <c r="Q18" s="50">
        <v>0</v>
      </c>
      <c r="R18" s="50">
        <v>0</v>
      </c>
      <c r="S18" s="60">
        <v>0</v>
      </c>
      <c r="T18" s="64">
        <v>0</v>
      </c>
      <c r="U18" s="65">
        <v>615.9439176072741</v>
      </c>
      <c r="V18" s="62">
        <v>264.05880239902689</v>
      </c>
      <c r="W18" s="62">
        <v>87.961122707609945</v>
      </c>
      <c r="X18" s="62">
        <v>37.709453825071797</v>
      </c>
      <c r="Y18" s="66">
        <v>371.87890041108568</v>
      </c>
      <c r="Z18" s="66">
        <v>159.42668524349202</v>
      </c>
      <c r="AA18" s="67">
        <v>0</v>
      </c>
      <c r="AB18" s="68">
        <v>203.78941151301143</v>
      </c>
      <c r="AC18" s="69">
        <v>0</v>
      </c>
      <c r="AD18" s="412">
        <v>22.342372444047172</v>
      </c>
      <c r="AE18" s="412">
        <v>9.680830473362164</v>
      </c>
      <c r="AF18" s="69">
        <v>31.383034809430377</v>
      </c>
      <c r="AG18" s="68">
        <v>21.762829735755144</v>
      </c>
      <c r="AH18" s="68">
        <v>9.3298538918303109</v>
      </c>
      <c r="AI18" s="68">
        <v>0.69993410657056132</v>
      </c>
      <c r="AJ18" s="69">
        <v>229.91445350646973</v>
      </c>
      <c r="AK18" s="69">
        <v>837.72828429540004</v>
      </c>
      <c r="AL18" s="69">
        <v>3149.5605266571047</v>
      </c>
      <c r="AM18" s="69">
        <v>536.62256956100464</v>
      </c>
      <c r="AN18" s="69">
        <v>4947.204345703125</v>
      </c>
      <c r="AO18" s="69">
        <v>2851.3202339172367</v>
      </c>
      <c r="AP18" s="69">
        <v>578.22035477956126</v>
      </c>
      <c r="AQ18" s="69">
        <v>3831.736756769817</v>
      </c>
      <c r="AR18" s="69">
        <v>471.51175324122124</v>
      </c>
      <c r="AS18" s="69">
        <v>877.27181997299215</v>
      </c>
    </row>
    <row r="19" spans="1:45" x14ac:dyDescent="0.25">
      <c r="A19" s="11">
        <v>43263</v>
      </c>
      <c r="B19" s="59"/>
      <c r="C19" s="60">
        <v>84.978962763150889</v>
      </c>
      <c r="D19" s="60">
        <v>1289.7291619618723</v>
      </c>
      <c r="E19" s="60">
        <v>33.439274394015506</v>
      </c>
      <c r="F19" s="60">
        <v>0</v>
      </c>
      <c r="G19" s="60">
        <v>4093.8100120544414</v>
      </c>
      <c r="H19" s="61">
        <v>42.926218388477977</v>
      </c>
      <c r="I19" s="59">
        <v>264.40391173362724</v>
      </c>
      <c r="J19" s="60">
        <v>633.49430335362899</v>
      </c>
      <c r="K19" s="60">
        <v>34.690546366572406</v>
      </c>
      <c r="L19" s="60">
        <v>0</v>
      </c>
      <c r="M19" s="60">
        <v>0</v>
      </c>
      <c r="N19" s="61">
        <v>0</v>
      </c>
      <c r="O19" s="49">
        <v>0</v>
      </c>
      <c r="P19" s="60">
        <v>0</v>
      </c>
      <c r="Q19" s="50">
        <v>0</v>
      </c>
      <c r="R19" s="50">
        <v>0</v>
      </c>
      <c r="S19" s="60">
        <v>0</v>
      </c>
      <c r="T19" s="64">
        <v>0</v>
      </c>
      <c r="U19" s="65">
        <v>550.46699429902344</v>
      </c>
      <c r="V19" s="62">
        <v>273.75460841636055</v>
      </c>
      <c r="W19" s="62">
        <v>79.507089010516765</v>
      </c>
      <c r="X19" s="62">
        <v>39.539940166831094</v>
      </c>
      <c r="Y19" s="66">
        <v>322.02395433599537</v>
      </c>
      <c r="Z19" s="66">
        <v>160.14682521010647</v>
      </c>
      <c r="AA19" s="67">
        <v>0</v>
      </c>
      <c r="AB19" s="68">
        <v>188.92508631812129</v>
      </c>
      <c r="AC19" s="69">
        <v>0</v>
      </c>
      <c r="AD19" s="412">
        <v>19.916824920321105</v>
      </c>
      <c r="AE19" s="412">
        <v>9.7277343218337293</v>
      </c>
      <c r="AF19" s="69">
        <v>29.468725767400556</v>
      </c>
      <c r="AG19" s="68">
        <v>19.500453169958142</v>
      </c>
      <c r="AH19" s="68">
        <v>9.6978365220269485</v>
      </c>
      <c r="AI19" s="68">
        <v>0.6678628568888747</v>
      </c>
      <c r="AJ19" s="69">
        <v>229.43949018319449</v>
      </c>
      <c r="AK19" s="69">
        <v>841.84728027979531</v>
      </c>
      <c r="AL19" s="69">
        <v>3222.152722040812</v>
      </c>
      <c r="AM19" s="69">
        <v>639.74860239028931</v>
      </c>
      <c r="AN19" s="69">
        <v>4947.204345703125</v>
      </c>
      <c r="AO19" s="69">
        <v>2848.2879178365074</v>
      </c>
      <c r="AP19" s="69">
        <v>594.66466072400397</v>
      </c>
      <c r="AQ19" s="69">
        <v>3598.1039644877114</v>
      </c>
      <c r="AR19" s="69">
        <v>462.45932912826538</v>
      </c>
      <c r="AS19" s="69">
        <v>977.93490079243998</v>
      </c>
    </row>
    <row r="20" spans="1:45" x14ac:dyDescent="0.25">
      <c r="A20" s="11">
        <v>43264</v>
      </c>
      <c r="B20" s="59"/>
      <c r="C20" s="60">
        <v>85.75273523727914</v>
      </c>
      <c r="D20" s="60">
        <v>1269.1048474152888</v>
      </c>
      <c r="E20" s="60">
        <v>33.504331483940376</v>
      </c>
      <c r="F20" s="60">
        <v>0</v>
      </c>
      <c r="G20" s="60">
        <v>3276.878979873662</v>
      </c>
      <c r="H20" s="61">
        <v>42.856873766581224</v>
      </c>
      <c r="I20" s="59">
        <v>278.94653847614899</v>
      </c>
      <c r="J20" s="60">
        <v>682.23180805842026</v>
      </c>
      <c r="K20" s="60">
        <v>37.303613686064864</v>
      </c>
      <c r="L20" s="60">
        <v>0</v>
      </c>
      <c r="M20" s="60">
        <v>0</v>
      </c>
      <c r="N20" s="61">
        <v>0</v>
      </c>
      <c r="O20" s="49">
        <v>0</v>
      </c>
      <c r="P20" s="60">
        <v>0</v>
      </c>
      <c r="Q20" s="50">
        <v>0</v>
      </c>
      <c r="R20" s="50">
        <v>0</v>
      </c>
      <c r="S20" s="60">
        <v>0</v>
      </c>
      <c r="T20" s="64">
        <v>0</v>
      </c>
      <c r="U20" s="65">
        <v>599.92565479195866</v>
      </c>
      <c r="V20" s="62">
        <v>278.48933175487036</v>
      </c>
      <c r="W20" s="62">
        <v>86.753770507652675</v>
      </c>
      <c r="X20" s="62">
        <v>40.271655967554416</v>
      </c>
      <c r="Y20" s="66">
        <v>336.80855768406661</v>
      </c>
      <c r="Z20" s="66">
        <v>156.34868989105726</v>
      </c>
      <c r="AA20" s="67">
        <v>0</v>
      </c>
      <c r="AB20" s="68">
        <v>198.37352963553474</v>
      </c>
      <c r="AC20" s="69">
        <v>0</v>
      </c>
      <c r="AD20" s="412">
        <v>21.466566750551252</v>
      </c>
      <c r="AE20" s="412">
        <v>9.7241196636708231</v>
      </c>
      <c r="AF20" s="69">
        <v>30.511908586488818</v>
      </c>
      <c r="AG20" s="68">
        <v>20.645298940184034</v>
      </c>
      <c r="AH20" s="68">
        <v>9.5836800106926354</v>
      </c>
      <c r="AI20" s="68">
        <v>0.68296382003948897</v>
      </c>
      <c r="AJ20" s="69">
        <v>236.73554112116497</v>
      </c>
      <c r="AK20" s="69">
        <v>855.70420379638688</v>
      </c>
      <c r="AL20" s="69">
        <v>3086.2430154164635</v>
      </c>
      <c r="AM20" s="69">
        <v>486.94645729064939</v>
      </c>
      <c r="AN20" s="69">
        <v>1919.0225900650025</v>
      </c>
      <c r="AO20" s="69">
        <v>2853.9747175852453</v>
      </c>
      <c r="AP20" s="69">
        <v>630.0991542339325</v>
      </c>
      <c r="AQ20" s="69">
        <v>3744.0755137125652</v>
      </c>
      <c r="AR20" s="69">
        <v>466.84087370236711</v>
      </c>
      <c r="AS20" s="69">
        <v>942.46863959630343</v>
      </c>
    </row>
    <row r="21" spans="1:45" x14ac:dyDescent="0.25">
      <c r="A21" s="11">
        <v>43265</v>
      </c>
      <c r="B21" s="59"/>
      <c r="C21" s="60">
        <v>85.082263636588948</v>
      </c>
      <c r="D21" s="60">
        <v>1271.8731932957978</v>
      </c>
      <c r="E21" s="60">
        <v>33.64268726855515</v>
      </c>
      <c r="F21" s="60">
        <v>0</v>
      </c>
      <c r="G21" s="60">
        <v>3998.635829162597</v>
      </c>
      <c r="H21" s="61">
        <v>42.811749295393675</v>
      </c>
      <c r="I21" s="59">
        <v>235.75454657872524</v>
      </c>
      <c r="J21" s="60">
        <v>542.49403111139873</v>
      </c>
      <c r="K21" s="60">
        <v>29.775359531243716</v>
      </c>
      <c r="L21" s="60">
        <v>0</v>
      </c>
      <c r="M21" s="60">
        <v>0</v>
      </c>
      <c r="N21" s="61">
        <v>0</v>
      </c>
      <c r="O21" s="49">
        <v>0</v>
      </c>
      <c r="P21" s="60">
        <v>0</v>
      </c>
      <c r="Q21" s="50">
        <v>0</v>
      </c>
      <c r="R21" s="50">
        <v>0</v>
      </c>
      <c r="S21" s="60">
        <v>0</v>
      </c>
      <c r="T21" s="64">
        <v>0</v>
      </c>
      <c r="U21" s="65">
        <v>483.96344697924758</v>
      </c>
      <c r="V21" s="62">
        <v>281.20752406464726</v>
      </c>
      <c r="W21" s="62">
        <v>70.92767048185533</v>
      </c>
      <c r="X21" s="62">
        <v>41.212605473344695</v>
      </c>
      <c r="Y21" s="66">
        <v>258.35710804630759</v>
      </c>
      <c r="Z21" s="66">
        <v>150.11869828532741</v>
      </c>
      <c r="AA21" s="67">
        <v>0</v>
      </c>
      <c r="AB21" s="68">
        <v>170.94283579720616</v>
      </c>
      <c r="AC21" s="69">
        <v>0</v>
      </c>
      <c r="AD21" s="412">
        <v>17.05609301022778</v>
      </c>
      <c r="AE21" s="412">
        <v>9.7220741546286433</v>
      </c>
      <c r="AF21" s="69">
        <v>26.539551460742928</v>
      </c>
      <c r="AG21" s="68">
        <v>16.620117946728072</v>
      </c>
      <c r="AH21" s="68">
        <v>9.6571388740898438</v>
      </c>
      <c r="AI21" s="68">
        <v>0.63249060052421213</v>
      </c>
      <c r="AJ21" s="69">
        <v>238.17826080322266</v>
      </c>
      <c r="AK21" s="69">
        <v>867.80515982309964</v>
      </c>
      <c r="AL21" s="69">
        <v>3185.7349617004397</v>
      </c>
      <c r="AM21" s="69">
        <v>460.3538818359375</v>
      </c>
      <c r="AN21" s="69">
        <v>1112.0545349121094</v>
      </c>
      <c r="AO21" s="69">
        <v>2815.7466047922771</v>
      </c>
      <c r="AP21" s="69">
        <v>639.15510053634648</v>
      </c>
      <c r="AQ21" s="69">
        <v>3227.9928192138673</v>
      </c>
      <c r="AR21" s="69">
        <v>478.09535204569488</v>
      </c>
      <c r="AS21" s="69">
        <v>1000.5460948944092</v>
      </c>
    </row>
    <row r="22" spans="1:45" x14ac:dyDescent="0.25">
      <c r="A22" s="11">
        <v>43266</v>
      </c>
      <c r="B22" s="59"/>
      <c r="C22" s="60">
        <v>86.501764106751438</v>
      </c>
      <c r="D22" s="60">
        <v>1272.6912007649746</v>
      </c>
      <c r="E22" s="60">
        <v>33.998575695355811</v>
      </c>
      <c r="F22" s="60">
        <v>0</v>
      </c>
      <c r="G22" s="60">
        <v>3931.8384325663255</v>
      </c>
      <c r="H22" s="61">
        <v>42.786601704359114</v>
      </c>
      <c r="I22" s="59">
        <v>219.18277842203767</v>
      </c>
      <c r="J22" s="60">
        <v>489.85247160593656</v>
      </c>
      <c r="K22" s="60">
        <v>26.651076471805599</v>
      </c>
      <c r="L22" s="60">
        <v>0</v>
      </c>
      <c r="M22" s="60">
        <v>0</v>
      </c>
      <c r="N22" s="61">
        <v>0</v>
      </c>
      <c r="O22" s="49">
        <v>0</v>
      </c>
      <c r="P22" s="60">
        <v>0</v>
      </c>
      <c r="Q22" s="50">
        <v>0</v>
      </c>
      <c r="R22" s="50">
        <v>0</v>
      </c>
      <c r="S22" s="60">
        <v>0</v>
      </c>
      <c r="T22" s="64">
        <v>0</v>
      </c>
      <c r="U22" s="65">
        <v>423.66601485929772</v>
      </c>
      <c r="V22" s="62">
        <v>268.38604781109342</v>
      </c>
      <c r="W22" s="62">
        <v>61.089008661289462</v>
      </c>
      <c r="X22" s="62">
        <v>38.698968112290437</v>
      </c>
      <c r="Y22" s="66">
        <v>224.63482328512566</v>
      </c>
      <c r="Z22" s="66">
        <v>142.30278169057431</v>
      </c>
      <c r="AA22" s="67">
        <v>0</v>
      </c>
      <c r="AB22" s="68">
        <v>160.72773158815357</v>
      </c>
      <c r="AC22" s="69">
        <v>0</v>
      </c>
      <c r="AD22" s="412">
        <v>15.401972316285498</v>
      </c>
      <c r="AE22" s="412">
        <v>9.728049044264834</v>
      </c>
      <c r="AF22" s="69">
        <v>24.428798986143526</v>
      </c>
      <c r="AG22" s="68">
        <v>14.797412659674968</v>
      </c>
      <c r="AH22" s="68">
        <v>9.3739383435769295</v>
      </c>
      <c r="AI22" s="68">
        <v>0.61218806750537835</v>
      </c>
      <c r="AJ22" s="69">
        <v>245.59137306213378</v>
      </c>
      <c r="AK22" s="69">
        <v>866.6392870267232</v>
      </c>
      <c r="AL22" s="69">
        <v>3194.8504378000894</v>
      </c>
      <c r="AM22" s="69">
        <v>460.3538818359375</v>
      </c>
      <c r="AN22" s="69">
        <v>1112.0545349121094</v>
      </c>
      <c r="AO22" s="69">
        <v>2923.6686628977459</v>
      </c>
      <c r="AP22" s="69">
        <v>652.94142869313566</v>
      </c>
      <c r="AQ22" s="69">
        <v>3101.6802468617757</v>
      </c>
      <c r="AR22" s="69">
        <v>485.25504659016923</v>
      </c>
      <c r="AS22" s="69">
        <v>988.02807270685855</v>
      </c>
    </row>
    <row r="23" spans="1:45" x14ac:dyDescent="0.25">
      <c r="A23" s="11">
        <v>43267</v>
      </c>
      <c r="B23" s="59"/>
      <c r="C23" s="60">
        <v>84.883138676485629</v>
      </c>
      <c r="D23" s="60">
        <v>1302.5865831375106</v>
      </c>
      <c r="E23" s="60">
        <v>33.742617798348277</v>
      </c>
      <c r="F23" s="60">
        <v>0</v>
      </c>
      <c r="G23" s="60">
        <v>3930.7379056294817</v>
      </c>
      <c r="H23" s="61">
        <v>42.417405148347321</v>
      </c>
      <c r="I23" s="59">
        <v>219.53986031214401</v>
      </c>
      <c r="J23" s="60">
        <v>489.65077409744259</v>
      </c>
      <c r="K23" s="60">
        <v>26.864055892825171</v>
      </c>
      <c r="L23" s="60">
        <v>0</v>
      </c>
      <c r="M23" s="60">
        <v>0</v>
      </c>
      <c r="N23" s="61">
        <v>0</v>
      </c>
      <c r="O23" s="49">
        <v>0</v>
      </c>
      <c r="P23" s="60">
        <v>0</v>
      </c>
      <c r="Q23" s="50">
        <v>0</v>
      </c>
      <c r="R23" s="50">
        <v>0</v>
      </c>
      <c r="S23" s="60">
        <v>0</v>
      </c>
      <c r="T23" s="64">
        <v>0</v>
      </c>
      <c r="U23" s="65">
        <v>427.50194617361149</v>
      </c>
      <c r="V23" s="62">
        <v>274.66030938906385</v>
      </c>
      <c r="W23" s="62">
        <v>62.017150782731449</v>
      </c>
      <c r="X23" s="62">
        <v>39.844613513164603</v>
      </c>
      <c r="Y23" s="66">
        <v>228.38425122405209</v>
      </c>
      <c r="Z23" s="66">
        <v>146.7317041764145</v>
      </c>
      <c r="AA23" s="67">
        <v>0</v>
      </c>
      <c r="AB23" s="68">
        <v>160.19193183051101</v>
      </c>
      <c r="AC23" s="69">
        <v>0</v>
      </c>
      <c r="AD23" s="412">
        <v>15.397992947913785</v>
      </c>
      <c r="AE23" s="412">
        <v>9.6372600204690073</v>
      </c>
      <c r="AF23" s="69">
        <v>24.75936996406978</v>
      </c>
      <c r="AG23" s="68">
        <v>14.927330813650292</v>
      </c>
      <c r="AH23" s="68">
        <v>9.5904716606017004</v>
      </c>
      <c r="AI23" s="68">
        <v>0.60883640894515789</v>
      </c>
      <c r="AJ23" s="69">
        <v>246.92099761962891</v>
      </c>
      <c r="AK23" s="69">
        <v>859.35585387547815</v>
      </c>
      <c r="AL23" s="69">
        <v>3197.2435197194418</v>
      </c>
      <c r="AM23" s="69">
        <v>460.3538818359375</v>
      </c>
      <c r="AN23" s="69">
        <v>1112.0545349121094</v>
      </c>
      <c r="AO23" s="69">
        <v>2851.9485631306966</v>
      </c>
      <c r="AP23" s="69">
        <v>626.64331490198765</v>
      </c>
      <c r="AQ23" s="69">
        <v>3115.4224034627282</v>
      </c>
      <c r="AR23" s="69">
        <v>448.66594139734894</v>
      </c>
      <c r="AS23" s="69">
        <v>855.31098794937122</v>
      </c>
    </row>
    <row r="24" spans="1:45" x14ac:dyDescent="0.25">
      <c r="A24" s="11">
        <v>43268</v>
      </c>
      <c r="B24" s="59"/>
      <c r="C24" s="60">
        <v>84.101346190771196</v>
      </c>
      <c r="D24" s="60">
        <v>1297.2654793739339</v>
      </c>
      <c r="E24" s="60">
        <v>32.057508876919734</v>
      </c>
      <c r="F24" s="60">
        <v>0</v>
      </c>
      <c r="G24" s="60">
        <v>3828.8769902547183</v>
      </c>
      <c r="H24" s="61">
        <v>42.196583781639802</v>
      </c>
      <c r="I24" s="59">
        <v>213.09145532051727</v>
      </c>
      <c r="J24" s="60">
        <v>488.10310624440575</v>
      </c>
      <c r="K24" s="60">
        <v>26.454374354084383</v>
      </c>
      <c r="L24" s="60">
        <v>0</v>
      </c>
      <c r="M24" s="60">
        <v>0</v>
      </c>
      <c r="N24" s="61">
        <v>0</v>
      </c>
      <c r="O24" s="49">
        <v>0</v>
      </c>
      <c r="P24" s="60">
        <v>0</v>
      </c>
      <c r="Q24" s="50">
        <v>0</v>
      </c>
      <c r="R24" s="50">
        <v>0</v>
      </c>
      <c r="S24" s="60">
        <v>0</v>
      </c>
      <c r="T24" s="64">
        <v>0</v>
      </c>
      <c r="U24" s="65">
        <v>402.54421418069097</v>
      </c>
      <c r="V24" s="62">
        <v>273.88025847979901</v>
      </c>
      <c r="W24" s="62">
        <v>58.501079289484906</v>
      </c>
      <c r="X24" s="62">
        <v>39.802561191351217</v>
      </c>
      <c r="Y24" s="66">
        <v>214.96285262599486</v>
      </c>
      <c r="Z24" s="66">
        <v>146.25494434341925</v>
      </c>
      <c r="AA24" s="67">
        <v>0</v>
      </c>
      <c r="AB24" s="68">
        <v>159.50488853454468</v>
      </c>
      <c r="AC24" s="69">
        <v>0</v>
      </c>
      <c r="AD24" s="412">
        <v>15.384015000466228</v>
      </c>
      <c r="AE24" s="412">
        <v>9.5964692534558527</v>
      </c>
      <c r="AF24" s="69">
        <v>23.953338153825818</v>
      </c>
      <c r="AG24" s="68">
        <v>14.034456236833456</v>
      </c>
      <c r="AH24" s="68">
        <v>9.5486666218534069</v>
      </c>
      <c r="AI24" s="68">
        <v>0.595105928970041</v>
      </c>
      <c r="AJ24" s="69">
        <v>246.92099761962891</v>
      </c>
      <c r="AK24" s="69">
        <v>817.46882454554236</v>
      </c>
      <c r="AL24" s="69">
        <v>2973.9434474309287</v>
      </c>
      <c r="AM24" s="69">
        <v>471.3469456752141</v>
      </c>
      <c r="AN24" s="69">
        <v>1146.3163791020713</v>
      </c>
      <c r="AO24" s="69">
        <v>2620.5673423767084</v>
      </c>
      <c r="AP24" s="69">
        <v>530.50883229573571</v>
      </c>
      <c r="AQ24" s="69">
        <v>3032.5812863985693</v>
      </c>
      <c r="AR24" s="69">
        <v>435.29543126424153</v>
      </c>
      <c r="AS24" s="69">
        <v>689.8885543823244</v>
      </c>
    </row>
    <row r="25" spans="1:45" x14ac:dyDescent="0.25">
      <c r="A25" s="11">
        <v>43269</v>
      </c>
      <c r="B25" s="59"/>
      <c r="C25" s="60">
        <v>84.574271571635933</v>
      </c>
      <c r="D25" s="60">
        <v>1308.1394565105447</v>
      </c>
      <c r="E25" s="60">
        <v>33.103438836832844</v>
      </c>
      <c r="F25" s="60">
        <v>0</v>
      </c>
      <c r="G25" s="60">
        <v>4015.6143925984643</v>
      </c>
      <c r="H25" s="61">
        <v>42.360475093126368</v>
      </c>
      <c r="I25" s="59">
        <v>216.01450098355627</v>
      </c>
      <c r="J25" s="60">
        <v>488.97723226547214</v>
      </c>
      <c r="K25" s="60">
        <v>26.634827193617824</v>
      </c>
      <c r="L25" s="60">
        <v>0</v>
      </c>
      <c r="M25" s="60">
        <v>0</v>
      </c>
      <c r="N25" s="61">
        <v>0</v>
      </c>
      <c r="O25" s="49">
        <v>0</v>
      </c>
      <c r="P25" s="60">
        <v>0</v>
      </c>
      <c r="Q25" s="50">
        <v>0</v>
      </c>
      <c r="R25" s="50">
        <v>0</v>
      </c>
      <c r="S25" s="60">
        <v>0</v>
      </c>
      <c r="T25" s="64">
        <v>0</v>
      </c>
      <c r="U25" s="65">
        <v>399.83978398894959</v>
      </c>
      <c r="V25" s="62">
        <v>276.58318837229587</v>
      </c>
      <c r="W25" s="62">
        <v>57.789606415290308</v>
      </c>
      <c r="X25" s="62">
        <v>39.975095618706163</v>
      </c>
      <c r="Y25" s="66">
        <v>198.25501012502431</v>
      </c>
      <c r="Z25" s="66">
        <v>137.13993706208205</v>
      </c>
      <c r="AA25" s="67">
        <v>0</v>
      </c>
      <c r="AB25" s="68">
        <v>159.851316134135</v>
      </c>
      <c r="AC25" s="69">
        <v>0</v>
      </c>
      <c r="AD25" s="412">
        <v>15.393947270792538</v>
      </c>
      <c r="AE25" s="412">
        <v>9.6020186997814054</v>
      </c>
      <c r="AF25" s="69">
        <v>23.086278947525553</v>
      </c>
      <c r="AG25" s="68">
        <v>13.482854981410556</v>
      </c>
      <c r="AH25" s="68">
        <v>9.3265632096852276</v>
      </c>
      <c r="AI25" s="68">
        <v>0.59110911415855061</v>
      </c>
      <c r="AJ25" s="69">
        <v>246.92099761962891</v>
      </c>
      <c r="AK25" s="69">
        <v>826.41780821482325</v>
      </c>
      <c r="AL25" s="69">
        <v>2999.077778498332</v>
      </c>
      <c r="AM25" s="69">
        <v>572.10708567301424</v>
      </c>
      <c r="AN25" s="69">
        <v>5412.3381142298376</v>
      </c>
      <c r="AO25" s="69">
        <v>2719.2316472371417</v>
      </c>
      <c r="AP25" s="69">
        <v>491.80270185470573</v>
      </c>
      <c r="AQ25" s="69">
        <v>2935.0862494468688</v>
      </c>
      <c r="AR25" s="69">
        <v>425.77349236806242</v>
      </c>
      <c r="AS25" s="69">
        <v>741.54642769495649</v>
      </c>
    </row>
    <row r="26" spans="1:45" x14ac:dyDescent="0.25">
      <c r="A26" s="11">
        <v>43270</v>
      </c>
      <c r="B26" s="59"/>
      <c r="C26" s="60">
        <v>84.913755182424893</v>
      </c>
      <c r="D26" s="60">
        <v>1317.8139866511037</v>
      </c>
      <c r="E26" s="60">
        <v>32.924558341503179</v>
      </c>
      <c r="F26" s="60">
        <v>0</v>
      </c>
      <c r="G26" s="60">
        <v>3919.1291287739978</v>
      </c>
      <c r="H26" s="61">
        <v>42.422257043918002</v>
      </c>
      <c r="I26" s="59">
        <v>204.10483156840044</v>
      </c>
      <c r="J26" s="60">
        <v>489.496245098114</v>
      </c>
      <c r="K26" s="60">
        <v>26.793534247080505</v>
      </c>
      <c r="L26" s="60">
        <v>0</v>
      </c>
      <c r="M26" s="60">
        <v>0</v>
      </c>
      <c r="N26" s="61">
        <v>0</v>
      </c>
      <c r="O26" s="49">
        <v>0</v>
      </c>
      <c r="P26" s="60">
        <v>0</v>
      </c>
      <c r="Q26" s="50">
        <v>0</v>
      </c>
      <c r="R26" s="50">
        <v>0</v>
      </c>
      <c r="S26" s="60">
        <v>0</v>
      </c>
      <c r="T26" s="64">
        <v>0</v>
      </c>
      <c r="U26" s="65">
        <v>424.75054349857731</v>
      </c>
      <c r="V26" s="62">
        <v>266.95582802072994</v>
      </c>
      <c r="W26" s="62">
        <v>63.059239135020277</v>
      </c>
      <c r="X26" s="62">
        <v>39.63274833973918</v>
      </c>
      <c r="Y26" s="62">
        <v>220.09761672093424</v>
      </c>
      <c r="Z26" s="62">
        <v>138.33140985097538</v>
      </c>
      <c r="AA26" s="72">
        <v>0</v>
      </c>
      <c r="AB26" s="69">
        <v>159.74376967748177</v>
      </c>
      <c r="AC26" s="69">
        <v>0</v>
      </c>
      <c r="AD26" s="412">
        <v>15.391169691592124</v>
      </c>
      <c r="AE26" s="412">
        <v>9.5934572963844484</v>
      </c>
      <c r="AF26" s="69">
        <v>24.409779018825972</v>
      </c>
      <c r="AG26" s="69">
        <v>14.836917869425346</v>
      </c>
      <c r="AH26" s="69">
        <v>9.3250067733492461</v>
      </c>
      <c r="AI26" s="69">
        <v>0.61406192134045057</v>
      </c>
      <c r="AJ26" s="69">
        <v>235.38944435119629</v>
      </c>
      <c r="AK26" s="69">
        <v>832.03817892074585</v>
      </c>
      <c r="AL26" s="69">
        <v>3145.595554733276</v>
      </c>
      <c r="AM26" s="69">
        <v>540.79938398997001</v>
      </c>
      <c r="AN26" s="69">
        <v>5593.7476519266775</v>
      </c>
      <c r="AO26" s="69">
        <v>2875.7163271586101</v>
      </c>
      <c r="AP26" s="69">
        <v>493.30533186594636</v>
      </c>
      <c r="AQ26" s="69">
        <v>3048.1192464192713</v>
      </c>
      <c r="AR26" s="69">
        <v>431.28014380137131</v>
      </c>
      <c r="AS26" s="69">
        <v>773.19944486618056</v>
      </c>
    </row>
    <row r="27" spans="1:45" x14ac:dyDescent="0.25">
      <c r="A27" s="11">
        <v>43271</v>
      </c>
      <c r="B27" s="59"/>
      <c r="C27" s="60">
        <v>85.257096532980995</v>
      </c>
      <c r="D27" s="60">
        <v>1313.3348568598451</v>
      </c>
      <c r="E27" s="60">
        <v>32.7650178174178</v>
      </c>
      <c r="F27" s="60">
        <v>0</v>
      </c>
      <c r="G27" s="60">
        <v>3672.5102686564082</v>
      </c>
      <c r="H27" s="61">
        <v>42.609512670834967</v>
      </c>
      <c r="I27" s="59">
        <v>194.40211476484941</v>
      </c>
      <c r="J27" s="60">
        <v>489.82284851074246</v>
      </c>
      <c r="K27" s="60">
        <v>26.769342065850914</v>
      </c>
      <c r="L27" s="60">
        <v>0</v>
      </c>
      <c r="M27" s="60">
        <v>0</v>
      </c>
      <c r="N27" s="61">
        <v>0</v>
      </c>
      <c r="O27" s="49">
        <v>0</v>
      </c>
      <c r="P27" s="60">
        <v>0</v>
      </c>
      <c r="Q27" s="50">
        <v>0</v>
      </c>
      <c r="R27" s="50">
        <v>0</v>
      </c>
      <c r="S27" s="60">
        <v>0</v>
      </c>
      <c r="T27" s="64">
        <v>0</v>
      </c>
      <c r="U27" s="65">
        <v>426.12340662288642</v>
      </c>
      <c r="V27" s="62">
        <v>272.75078423744202</v>
      </c>
      <c r="W27" s="62">
        <v>65.246424760930537</v>
      </c>
      <c r="X27" s="62">
        <v>41.762581556526172</v>
      </c>
      <c r="Y27" s="66">
        <v>227.64676129038821</v>
      </c>
      <c r="Z27" s="66">
        <v>145.71091779057497</v>
      </c>
      <c r="AA27" s="67">
        <v>0</v>
      </c>
      <c r="AB27" s="68">
        <v>159.89986012776666</v>
      </c>
      <c r="AC27" s="69">
        <v>0</v>
      </c>
      <c r="AD27" s="412">
        <v>15.401002987714701</v>
      </c>
      <c r="AE27" s="412">
        <v>9.6038375331479742</v>
      </c>
      <c r="AF27" s="69">
        <v>24.670635305510633</v>
      </c>
      <c r="AG27" s="68">
        <v>14.889962235749566</v>
      </c>
      <c r="AH27" s="68">
        <v>9.5306871529372295</v>
      </c>
      <c r="AI27" s="68">
        <v>0.60972834910145957</v>
      </c>
      <c r="AJ27" s="69">
        <v>220.57976977030438</v>
      </c>
      <c r="AK27" s="69">
        <v>824.21077836354561</v>
      </c>
      <c r="AL27" s="69">
        <v>3175.3839556376138</v>
      </c>
      <c r="AM27" s="69">
        <v>565.44046510060627</v>
      </c>
      <c r="AN27" s="69">
        <v>5516.6551582336424</v>
      </c>
      <c r="AO27" s="69">
        <v>2852.653730519613</v>
      </c>
      <c r="AP27" s="69">
        <v>466.39211918512979</v>
      </c>
      <c r="AQ27" s="69">
        <v>3040.6049892425531</v>
      </c>
      <c r="AR27" s="69">
        <v>429.18736874262487</v>
      </c>
      <c r="AS27" s="69">
        <v>758.78276904424035</v>
      </c>
    </row>
    <row r="28" spans="1:45" x14ac:dyDescent="0.25">
      <c r="A28" s="11">
        <v>43272</v>
      </c>
      <c r="B28" s="59"/>
      <c r="C28" s="60">
        <v>85.195820824305997</v>
      </c>
      <c r="D28" s="60">
        <v>1308.9231573104867</v>
      </c>
      <c r="E28" s="60">
        <v>32.891596748431482</v>
      </c>
      <c r="F28" s="60">
        <v>0</v>
      </c>
      <c r="G28" s="60">
        <v>3434.4067331949909</v>
      </c>
      <c r="H28" s="61">
        <v>42.463314745823595</v>
      </c>
      <c r="I28" s="59">
        <v>194.22408698399846</v>
      </c>
      <c r="J28" s="60">
        <v>489.60325826009125</v>
      </c>
      <c r="K28" s="60">
        <v>26.77202811936543</v>
      </c>
      <c r="L28" s="60">
        <v>0</v>
      </c>
      <c r="M28" s="60">
        <v>0</v>
      </c>
      <c r="N28" s="61">
        <v>0</v>
      </c>
      <c r="O28" s="49">
        <v>0</v>
      </c>
      <c r="P28" s="60">
        <v>0</v>
      </c>
      <c r="Q28" s="50">
        <v>0</v>
      </c>
      <c r="R28" s="50">
        <v>0</v>
      </c>
      <c r="S28" s="60">
        <v>0</v>
      </c>
      <c r="T28" s="64">
        <v>0</v>
      </c>
      <c r="U28" s="65">
        <v>417.84390864929213</v>
      </c>
      <c r="V28" s="62">
        <v>268.73948495626217</v>
      </c>
      <c r="W28" s="62">
        <v>67.112565665122901</v>
      </c>
      <c r="X28" s="62">
        <v>43.163956581873713</v>
      </c>
      <c r="Y28" s="66">
        <v>222.48929121205273</v>
      </c>
      <c r="Z28" s="66">
        <v>143.09567829262207</v>
      </c>
      <c r="AA28" s="67">
        <v>0</v>
      </c>
      <c r="AB28" s="68">
        <v>159.8382161246391</v>
      </c>
      <c r="AC28" s="69">
        <v>0</v>
      </c>
      <c r="AD28" s="412">
        <v>15.394110435807661</v>
      </c>
      <c r="AE28" s="412">
        <v>9.5915466711278885</v>
      </c>
      <c r="AF28" s="69">
        <v>24.386865566836462</v>
      </c>
      <c r="AG28" s="68">
        <v>14.695306283778894</v>
      </c>
      <c r="AH28" s="68">
        <v>9.4513979029713315</v>
      </c>
      <c r="AI28" s="68">
        <v>0.60858435048218718</v>
      </c>
      <c r="AJ28" s="69">
        <v>213.30361620585123</v>
      </c>
      <c r="AK28" s="69">
        <v>836.76504894892378</v>
      </c>
      <c r="AL28" s="69">
        <v>3127.2039683024095</v>
      </c>
      <c r="AM28" s="69">
        <v>514.11146806081138</v>
      </c>
      <c r="AN28" s="69">
        <v>6053.3076240539549</v>
      </c>
      <c r="AO28" s="69">
        <v>2877.7371373494475</v>
      </c>
      <c r="AP28" s="69">
        <v>512.64395929972329</v>
      </c>
      <c r="AQ28" s="69">
        <v>3057.5788909912108</v>
      </c>
      <c r="AR28" s="69">
        <v>441.86639474232982</v>
      </c>
      <c r="AS28" s="69">
        <v>832.63728237152111</v>
      </c>
    </row>
    <row r="29" spans="1:45" x14ac:dyDescent="0.25">
      <c r="A29" s="11">
        <v>43273</v>
      </c>
      <c r="B29" s="59"/>
      <c r="C29" s="60">
        <v>85.265396165847676</v>
      </c>
      <c r="D29" s="60">
        <v>1304.8915391286223</v>
      </c>
      <c r="E29" s="60">
        <v>33.363250524799014</v>
      </c>
      <c r="F29" s="60">
        <v>0</v>
      </c>
      <c r="G29" s="60">
        <v>3240.4512999216718</v>
      </c>
      <c r="H29" s="61">
        <v>42.248396555582737</v>
      </c>
      <c r="I29" s="59">
        <v>194.13436595598867</v>
      </c>
      <c r="J29" s="60">
        <v>489.3167625109354</v>
      </c>
      <c r="K29" s="60">
        <v>26.779973828792603</v>
      </c>
      <c r="L29" s="60">
        <v>0</v>
      </c>
      <c r="M29" s="60">
        <v>0</v>
      </c>
      <c r="N29" s="61">
        <v>0</v>
      </c>
      <c r="O29" s="49">
        <v>0</v>
      </c>
      <c r="P29" s="60">
        <v>0</v>
      </c>
      <c r="Q29" s="50">
        <v>0</v>
      </c>
      <c r="R29" s="50">
        <v>0</v>
      </c>
      <c r="S29" s="60">
        <v>0</v>
      </c>
      <c r="T29" s="64">
        <v>0</v>
      </c>
      <c r="U29" s="65">
        <v>413.28749350590425</v>
      </c>
      <c r="V29" s="62">
        <v>262.09303449906378</v>
      </c>
      <c r="W29" s="62">
        <v>66.706587603481765</v>
      </c>
      <c r="X29" s="62">
        <v>42.30307531874152</v>
      </c>
      <c r="Y29" s="66">
        <v>216.53524962478443</v>
      </c>
      <c r="Z29" s="66">
        <v>137.31937583870112</v>
      </c>
      <c r="AA29" s="67">
        <v>0</v>
      </c>
      <c r="AB29" s="68">
        <v>162.9837673505165</v>
      </c>
      <c r="AC29" s="69">
        <v>0</v>
      </c>
      <c r="AD29" s="412">
        <v>15.386864245183748</v>
      </c>
      <c r="AE29" s="412">
        <v>9.5909670408598693</v>
      </c>
      <c r="AF29" s="69">
        <v>24.12232087320751</v>
      </c>
      <c r="AG29" s="68">
        <v>14.605568424365863</v>
      </c>
      <c r="AH29" s="68">
        <v>9.2623604853193324</v>
      </c>
      <c r="AI29" s="68">
        <v>0.61193279398612477</v>
      </c>
      <c r="AJ29" s="69">
        <v>214.02397155761719</v>
      </c>
      <c r="AK29" s="69">
        <v>847.0962491989136</v>
      </c>
      <c r="AL29" s="69">
        <v>3112.7096167246495</v>
      </c>
      <c r="AM29" s="69">
        <v>511.5807842254639</v>
      </c>
      <c r="AN29" s="69">
        <v>5664.3322263081873</v>
      </c>
      <c r="AO29" s="69">
        <v>2897.0895413716635</v>
      </c>
      <c r="AP29" s="69">
        <v>539.12417314847312</v>
      </c>
      <c r="AQ29" s="69">
        <v>3041.7216354370116</v>
      </c>
      <c r="AR29" s="69">
        <v>445.99147450129198</v>
      </c>
      <c r="AS29" s="69">
        <v>802.29469420115163</v>
      </c>
    </row>
    <row r="30" spans="1:45" x14ac:dyDescent="0.25">
      <c r="A30" s="11">
        <v>43274</v>
      </c>
      <c r="B30" s="59"/>
      <c r="C30" s="60">
        <v>84.581158959866613</v>
      </c>
      <c r="D30" s="60">
        <v>1319.0862477620465</v>
      </c>
      <c r="E30" s="60">
        <v>32.914217367768281</v>
      </c>
      <c r="F30" s="60">
        <v>0</v>
      </c>
      <c r="G30" s="60">
        <v>3237.5651056925435</v>
      </c>
      <c r="H30" s="61">
        <v>42.242135715484679</v>
      </c>
      <c r="I30" s="59">
        <v>194.15033305486048</v>
      </c>
      <c r="J30" s="60">
        <v>489.28735644022555</v>
      </c>
      <c r="K30" s="60">
        <v>26.656871131062509</v>
      </c>
      <c r="L30" s="60">
        <v>0</v>
      </c>
      <c r="M30" s="60">
        <v>0</v>
      </c>
      <c r="N30" s="61">
        <v>0</v>
      </c>
      <c r="O30" s="49">
        <v>0</v>
      </c>
      <c r="P30" s="60">
        <v>0</v>
      </c>
      <c r="Q30" s="50">
        <v>0</v>
      </c>
      <c r="R30" s="50">
        <v>0</v>
      </c>
      <c r="S30" s="60">
        <v>0</v>
      </c>
      <c r="T30" s="64">
        <v>0</v>
      </c>
      <c r="U30" s="65">
        <v>420.16664473365296</v>
      </c>
      <c r="V30" s="62">
        <v>268.9650107262799</v>
      </c>
      <c r="W30" s="62">
        <v>68.427821717501175</v>
      </c>
      <c r="X30" s="62">
        <v>43.803310026883629</v>
      </c>
      <c r="Y30" s="66">
        <v>220.27130434761972</v>
      </c>
      <c r="Z30" s="66">
        <v>141.0042288675848</v>
      </c>
      <c r="AA30" s="67">
        <v>0</v>
      </c>
      <c r="AB30" s="68">
        <v>166.17198045518793</v>
      </c>
      <c r="AC30" s="69">
        <v>0</v>
      </c>
      <c r="AD30" s="412">
        <v>15.385577682855546</v>
      </c>
      <c r="AE30" s="412">
        <v>9.5853555657020078</v>
      </c>
      <c r="AF30" s="69">
        <v>24.668376621935113</v>
      </c>
      <c r="AG30" s="68">
        <v>14.897712660098239</v>
      </c>
      <c r="AH30" s="68">
        <v>9.5366052866010023</v>
      </c>
      <c r="AI30" s="68">
        <v>0.60970446126615652</v>
      </c>
      <c r="AJ30" s="69">
        <v>215.61977302233379</v>
      </c>
      <c r="AK30" s="69">
        <v>842.26614338556908</v>
      </c>
      <c r="AL30" s="69">
        <v>3134.9367033640551</v>
      </c>
      <c r="AM30" s="69">
        <v>509.03028233846032</v>
      </c>
      <c r="AN30" s="69">
        <v>6826.392661539714</v>
      </c>
      <c r="AO30" s="69">
        <v>2823.2768403371174</v>
      </c>
      <c r="AP30" s="69">
        <v>542.05926947593684</v>
      </c>
      <c r="AQ30" s="69">
        <v>3060.1253569285068</v>
      </c>
      <c r="AR30" s="69">
        <v>448.80263296763093</v>
      </c>
      <c r="AS30" s="69">
        <v>751.71962645848578</v>
      </c>
    </row>
    <row r="31" spans="1:45" x14ac:dyDescent="0.25">
      <c r="A31" s="11">
        <v>43275</v>
      </c>
      <c r="B31" s="59"/>
      <c r="C31" s="60">
        <v>84.069952627022531</v>
      </c>
      <c r="D31" s="60">
        <v>1354.3900709787993</v>
      </c>
      <c r="E31" s="60">
        <v>32.793813274800797</v>
      </c>
      <c r="F31" s="60">
        <v>0</v>
      </c>
      <c r="G31" s="60">
        <v>3534.1087926228874</v>
      </c>
      <c r="H31" s="61">
        <v>42.35303758581481</v>
      </c>
      <c r="I31" s="59">
        <v>194.09768265088408</v>
      </c>
      <c r="J31" s="60">
        <v>489.09691530863472</v>
      </c>
      <c r="K31" s="60">
        <v>26.66919009735193</v>
      </c>
      <c r="L31" s="60">
        <v>0</v>
      </c>
      <c r="M31" s="60">
        <v>0</v>
      </c>
      <c r="N31" s="61">
        <v>0</v>
      </c>
      <c r="O31" s="49">
        <v>0</v>
      </c>
      <c r="P31" s="60">
        <v>0</v>
      </c>
      <c r="Q31" s="50">
        <v>0</v>
      </c>
      <c r="R31" s="50">
        <v>0</v>
      </c>
      <c r="S31" s="60">
        <v>0</v>
      </c>
      <c r="T31" s="64">
        <v>0</v>
      </c>
      <c r="U31" s="65">
        <v>423.12201306281162</v>
      </c>
      <c r="V31" s="62">
        <v>270.72499070441205</v>
      </c>
      <c r="W31" s="62">
        <v>69.378148666856475</v>
      </c>
      <c r="X31" s="62">
        <v>44.390029525917932</v>
      </c>
      <c r="Y31" s="66">
        <v>219.35160994895926</v>
      </c>
      <c r="Z31" s="66">
        <v>140.34713565142351</v>
      </c>
      <c r="AA31" s="67">
        <v>0</v>
      </c>
      <c r="AB31" s="68">
        <v>166.30319532818481</v>
      </c>
      <c r="AC31" s="69">
        <v>0</v>
      </c>
      <c r="AD31" s="412">
        <v>15.377820165138024</v>
      </c>
      <c r="AE31" s="412">
        <v>9.5962013673925668</v>
      </c>
      <c r="AF31" s="69">
        <v>24.838064633475398</v>
      </c>
      <c r="AG31" s="68">
        <v>15.000820546677724</v>
      </c>
      <c r="AH31" s="68">
        <v>9.5979336401366062</v>
      </c>
      <c r="AI31" s="68">
        <v>0.60982033613387676</v>
      </c>
      <c r="AJ31" s="69">
        <v>227.19147491455078</v>
      </c>
      <c r="AK31" s="69">
        <v>829.79300991694129</v>
      </c>
      <c r="AL31" s="69">
        <v>3201.6393325805657</v>
      </c>
      <c r="AM31" s="69">
        <v>519.92716919581096</v>
      </c>
      <c r="AN31" s="69">
        <v>7321.6239283243813</v>
      </c>
      <c r="AO31" s="69">
        <v>2791.2094308217365</v>
      </c>
      <c r="AP31" s="69">
        <v>526.6949396451314</v>
      </c>
      <c r="AQ31" s="69">
        <v>3031.0027379353842</v>
      </c>
      <c r="AR31" s="69">
        <v>439.19410753250116</v>
      </c>
      <c r="AS31" s="69">
        <v>587.84846769968669</v>
      </c>
    </row>
    <row r="32" spans="1:45" x14ac:dyDescent="0.25">
      <c r="A32" s="11">
        <v>43276</v>
      </c>
      <c r="B32" s="59"/>
      <c r="C32" s="60">
        <v>85.375233336289895</v>
      </c>
      <c r="D32" s="60">
        <v>1358.109470748901</v>
      </c>
      <c r="E32" s="60">
        <v>33.016277883450243</v>
      </c>
      <c r="F32" s="60">
        <v>0</v>
      </c>
      <c r="G32" s="60">
        <v>3403.7121331532853</v>
      </c>
      <c r="H32" s="61">
        <v>42.488105974594816</v>
      </c>
      <c r="I32" s="59">
        <v>194.29895358880373</v>
      </c>
      <c r="J32" s="60">
        <v>489.51371094385775</v>
      </c>
      <c r="K32" s="60">
        <v>26.755235983928088</v>
      </c>
      <c r="L32" s="60">
        <v>0</v>
      </c>
      <c r="M32" s="60">
        <v>0</v>
      </c>
      <c r="N32" s="61">
        <v>0</v>
      </c>
      <c r="O32" s="49">
        <v>0</v>
      </c>
      <c r="P32" s="60">
        <v>0</v>
      </c>
      <c r="Q32" s="50">
        <v>0</v>
      </c>
      <c r="R32" s="50">
        <v>0</v>
      </c>
      <c r="S32" s="60">
        <v>0</v>
      </c>
      <c r="T32" s="64">
        <v>0</v>
      </c>
      <c r="U32" s="65">
        <v>423.71288660392969</v>
      </c>
      <c r="V32" s="62">
        <v>271.17372622464239</v>
      </c>
      <c r="W32" s="62">
        <v>67.322007713587325</v>
      </c>
      <c r="X32" s="62">
        <v>43.085684353241192</v>
      </c>
      <c r="Y32" s="66">
        <v>212.53170065706539</v>
      </c>
      <c r="Z32" s="66">
        <v>136.01902380162866</v>
      </c>
      <c r="AA32" s="67">
        <v>0</v>
      </c>
      <c r="AB32" s="68">
        <v>166.39753830168149</v>
      </c>
      <c r="AC32" s="69">
        <v>0</v>
      </c>
      <c r="AD32" s="412">
        <v>15.392246951562942</v>
      </c>
      <c r="AE32" s="412">
        <v>9.6124613342613667</v>
      </c>
      <c r="AF32" s="69">
        <v>24.661282757917988</v>
      </c>
      <c r="AG32" s="68">
        <v>14.890057099145752</v>
      </c>
      <c r="AH32" s="68">
        <v>9.5295479437410044</v>
      </c>
      <c r="AI32" s="68">
        <v>0.60975830989056523</v>
      </c>
      <c r="AJ32" s="69">
        <v>216.91394805908203</v>
      </c>
      <c r="AK32" s="69">
        <v>824.12509314219164</v>
      </c>
      <c r="AL32" s="69">
        <v>3208.6923875172929</v>
      </c>
      <c r="AM32" s="69">
        <v>518.8682395935059</v>
      </c>
      <c r="AN32" s="69">
        <v>6631.4052958170569</v>
      </c>
      <c r="AO32" s="69">
        <v>2847.9224681854243</v>
      </c>
      <c r="AP32" s="69">
        <v>502.2794630845388</v>
      </c>
      <c r="AQ32" s="69">
        <v>3041.0272907257076</v>
      </c>
      <c r="AR32" s="69">
        <v>438.4113379796346</v>
      </c>
      <c r="AS32" s="69">
        <v>758.45110747019453</v>
      </c>
    </row>
    <row r="33" spans="1:45" x14ac:dyDescent="0.25">
      <c r="A33" s="11">
        <v>43277</v>
      </c>
      <c r="B33" s="59"/>
      <c r="C33" s="60">
        <v>85.381579422949429</v>
      </c>
      <c r="D33" s="60">
        <v>1323.2711273193379</v>
      </c>
      <c r="E33" s="60">
        <v>33.444286428391955</v>
      </c>
      <c r="F33" s="60">
        <v>0</v>
      </c>
      <c r="G33" s="60">
        <v>2993.5364349365232</v>
      </c>
      <c r="H33" s="61">
        <v>42.344815502564089</v>
      </c>
      <c r="I33" s="59">
        <v>194.23662838935863</v>
      </c>
      <c r="J33" s="60">
        <v>489.39586811065669</v>
      </c>
      <c r="K33" s="60">
        <v>26.796757042408053</v>
      </c>
      <c r="L33" s="60">
        <v>0</v>
      </c>
      <c r="M33" s="60">
        <v>0</v>
      </c>
      <c r="N33" s="61">
        <v>0</v>
      </c>
      <c r="O33" s="49">
        <v>0</v>
      </c>
      <c r="P33" s="60">
        <v>0</v>
      </c>
      <c r="Q33" s="50">
        <v>0</v>
      </c>
      <c r="R33" s="50">
        <v>0</v>
      </c>
      <c r="S33" s="60">
        <v>0</v>
      </c>
      <c r="T33" s="64">
        <v>0</v>
      </c>
      <c r="U33" s="65">
        <v>419.74990377307068</v>
      </c>
      <c r="V33" s="62">
        <v>263.32953344040124</v>
      </c>
      <c r="W33" s="62">
        <v>66.83615187013929</v>
      </c>
      <c r="X33" s="62">
        <v>41.929569323810085</v>
      </c>
      <c r="Y33" s="66">
        <v>205.71768826904164</v>
      </c>
      <c r="Z33" s="66">
        <v>129.05671302216999</v>
      </c>
      <c r="AA33" s="67">
        <v>0</v>
      </c>
      <c r="AB33" s="68">
        <v>166.51941287782552</v>
      </c>
      <c r="AC33" s="69">
        <v>0</v>
      </c>
      <c r="AD33" s="412">
        <v>15.387546739495985</v>
      </c>
      <c r="AE33" s="412">
        <v>9.6105885987727007</v>
      </c>
      <c r="AF33" s="69">
        <v>24.346568765905165</v>
      </c>
      <c r="AG33" s="68">
        <v>14.817959998057706</v>
      </c>
      <c r="AH33" s="68">
        <v>9.2960271288986505</v>
      </c>
      <c r="AI33" s="68">
        <v>0.61449647128214302</v>
      </c>
      <c r="AJ33" s="69">
        <v>221.40783106486003</v>
      </c>
      <c r="AK33" s="69">
        <v>861.83681561152139</v>
      </c>
      <c r="AL33" s="69">
        <v>3245.5223257700595</v>
      </c>
      <c r="AM33" s="69">
        <v>537.22839384078986</v>
      </c>
      <c r="AN33" s="69">
        <v>7307.7639556884769</v>
      </c>
      <c r="AO33" s="69">
        <v>2935.5311813354492</v>
      </c>
      <c r="AP33" s="69">
        <v>607.25685331026705</v>
      </c>
      <c r="AQ33" s="69">
        <v>3082.5620704650878</v>
      </c>
      <c r="AR33" s="69">
        <v>456.46678800582879</v>
      </c>
      <c r="AS33" s="69">
        <v>876.37350772221862</v>
      </c>
    </row>
    <row r="34" spans="1:45" x14ac:dyDescent="0.25">
      <c r="A34" s="11">
        <v>43278</v>
      </c>
      <c r="B34" s="59"/>
      <c r="C34" s="60">
        <v>84.13673245112146</v>
      </c>
      <c r="D34" s="60">
        <v>1318.5373116811106</v>
      </c>
      <c r="E34" s="60">
        <v>33.606498702367176</v>
      </c>
      <c r="F34" s="60">
        <v>0</v>
      </c>
      <c r="G34" s="60">
        <v>2985.6189385732027</v>
      </c>
      <c r="H34" s="61">
        <v>42.215507191419697</v>
      </c>
      <c r="I34" s="59">
        <v>225.43055384159052</v>
      </c>
      <c r="J34" s="60">
        <v>671.73107802073127</v>
      </c>
      <c r="K34" s="60">
        <v>36.760276509324747</v>
      </c>
      <c r="L34" s="60">
        <v>0</v>
      </c>
      <c r="M34" s="60">
        <v>0</v>
      </c>
      <c r="N34" s="61">
        <v>0</v>
      </c>
      <c r="O34" s="49">
        <v>0</v>
      </c>
      <c r="P34" s="60">
        <v>0</v>
      </c>
      <c r="Q34" s="50">
        <v>0</v>
      </c>
      <c r="R34" s="50">
        <v>0</v>
      </c>
      <c r="S34" s="60">
        <v>0</v>
      </c>
      <c r="T34" s="64">
        <v>0</v>
      </c>
      <c r="U34" s="65">
        <v>616.64772166066621</v>
      </c>
      <c r="V34" s="62">
        <v>275.91055409192967</v>
      </c>
      <c r="W34" s="62">
        <v>91.483523914281719</v>
      </c>
      <c r="X34" s="62">
        <v>40.933046351806247</v>
      </c>
      <c r="Y34" s="66">
        <v>294.60462384468042</v>
      </c>
      <c r="Z34" s="66">
        <v>131.81679287507393</v>
      </c>
      <c r="AA34" s="67">
        <v>0</v>
      </c>
      <c r="AB34" s="68">
        <v>204.30117663277463</v>
      </c>
      <c r="AC34" s="69">
        <v>0</v>
      </c>
      <c r="AD34" s="412">
        <v>21.128833723386855</v>
      </c>
      <c r="AE34" s="412">
        <v>9.5986901440691774</v>
      </c>
      <c r="AF34" s="69">
        <v>29.484696600834596</v>
      </c>
      <c r="AG34" s="68">
        <v>20.176080336933627</v>
      </c>
      <c r="AH34" s="68">
        <v>9.0275100509168578</v>
      </c>
      <c r="AI34" s="68">
        <v>0.69087670621922725</v>
      </c>
      <c r="AJ34" s="69">
        <v>222.04682922363281</v>
      </c>
      <c r="AK34" s="69">
        <v>874.37141437530511</v>
      </c>
      <c r="AL34" s="69">
        <v>3226.0035463968916</v>
      </c>
      <c r="AM34" s="69">
        <v>541.64455618858335</v>
      </c>
      <c r="AN34" s="69">
        <v>7803.7826690673828</v>
      </c>
      <c r="AO34" s="69">
        <v>2929.4325902303058</v>
      </c>
      <c r="AP34" s="69">
        <v>641.45454095204673</v>
      </c>
      <c r="AQ34" s="69">
        <v>3684.3411418914798</v>
      </c>
      <c r="AR34" s="69">
        <v>488.30883611043299</v>
      </c>
      <c r="AS34" s="69">
        <v>945.32205177942899</v>
      </c>
    </row>
    <row r="35" spans="1:45" x14ac:dyDescent="0.25">
      <c r="A35" s="11">
        <v>43279</v>
      </c>
      <c r="B35" s="59"/>
      <c r="C35" s="60">
        <v>84.204338157177787</v>
      </c>
      <c r="D35" s="60">
        <v>1319.3888770421352</v>
      </c>
      <c r="E35" s="60">
        <v>33.713968658447321</v>
      </c>
      <c r="F35" s="60">
        <v>0</v>
      </c>
      <c r="G35" s="60">
        <v>2964.0001658121801</v>
      </c>
      <c r="H35" s="61">
        <v>42.31319274306307</v>
      </c>
      <c r="I35" s="59">
        <v>247.01272441546089</v>
      </c>
      <c r="J35" s="60">
        <v>809.40504213968916</v>
      </c>
      <c r="K35" s="60">
        <v>44.456958039601624</v>
      </c>
      <c r="L35" s="60">
        <v>0</v>
      </c>
      <c r="M35" s="60">
        <v>0</v>
      </c>
      <c r="N35" s="61">
        <v>0</v>
      </c>
      <c r="O35" s="49">
        <v>0</v>
      </c>
      <c r="P35" s="60">
        <v>0</v>
      </c>
      <c r="Q35" s="50">
        <v>0</v>
      </c>
      <c r="R35" s="50">
        <v>0</v>
      </c>
      <c r="S35" s="60">
        <v>0</v>
      </c>
      <c r="T35" s="64">
        <v>0</v>
      </c>
      <c r="U35" s="65">
        <v>770.94519740973965</v>
      </c>
      <c r="V35" s="62">
        <v>296.11444275411128</v>
      </c>
      <c r="W35" s="62">
        <v>111.91532004401951</v>
      </c>
      <c r="X35" s="62">
        <v>42.985860398154664</v>
      </c>
      <c r="Y35" s="66">
        <v>407.44780925889438</v>
      </c>
      <c r="Z35" s="66">
        <v>156.4977399112814</v>
      </c>
      <c r="AA35" s="67">
        <v>0</v>
      </c>
      <c r="AB35" s="68">
        <v>233.2099083688509</v>
      </c>
      <c r="AC35" s="69">
        <v>0</v>
      </c>
      <c r="AD35" s="412">
        <v>25.449439314523985</v>
      </c>
      <c r="AE35" s="412">
        <v>9.6057971994678653</v>
      </c>
      <c r="AF35" s="69">
        <v>34.932868189281912</v>
      </c>
      <c r="AG35" s="68">
        <v>24.997245415821986</v>
      </c>
      <c r="AH35" s="68">
        <v>9.601260143475379</v>
      </c>
      <c r="AI35" s="68">
        <v>0.72249494629124777</v>
      </c>
      <c r="AJ35" s="69">
        <v>224.59193754196167</v>
      </c>
      <c r="AK35" s="69">
        <v>824.36350965499889</v>
      </c>
      <c r="AL35" s="69">
        <v>3280.5078306833902</v>
      </c>
      <c r="AM35" s="69">
        <v>593.41491352717082</v>
      </c>
      <c r="AN35" s="69">
        <v>7614.8225067138665</v>
      </c>
      <c r="AO35" s="69">
        <v>2886.0782508850102</v>
      </c>
      <c r="AP35" s="69">
        <v>630.42986583709705</v>
      </c>
      <c r="AQ35" s="69">
        <v>4263.3061973571776</v>
      </c>
      <c r="AR35" s="69">
        <v>505.54618708292656</v>
      </c>
      <c r="AS35" s="69">
        <v>1029.3148027420043</v>
      </c>
    </row>
    <row r="36" spans="1:45" x14ac:dyDescent="0.25">
      <c r="A36" s="11">
        <v>43280</v>
      </c>
      <c r="B36" s="59"/>
      <c r="C36" s="60">
        <v>85.067243254184177</v>
      </c>
      <c r="D36" s="60">
        <v>1320.8884104410804</v>
      </c>
      <c r="E36" s="60">
        <v>33.490086215237817</v>
      </c>
      <c r="F36" s="60">
        <v>0</v>
      </c>
      <c r="G36" s="60">
        <v>2932.9588362375871</v>
      </c>
      <c r="H36" s="61">
        <v>42.296391642093766</v>
      </c>
      <c r="I36" s="59">
        <v>247.04157638549739</v>
      </c>
      <c r="J36" s="60">
        <v>809.25779291788649</v>
      </c>
      <c r="K36" s="60">
        <v>44.375158928831411</v>
      </c>
      <c r="L36" s="60">
        <v>0</v>
      </c>
      <c r="M36" s="60">
        <v>0</v>
      </c>
      <c r="N36" s="61">
        <v>0</v>
      </c>
      <c r="O36" s="49">
        <v>0</v>
      </c>
      <c r="P36" s="60">
        <v>0</v>
      </c>
      <c r="Q36" s="50">
        <v>0</v>
      </c>
      <c r="R36" s="50">
        <v>0</v>
      </c>
      <c r="S36" s="60">
        <v>0</v>
      </c>
      <c r="T36" s="64">
        <v>0</v>
      </c>
      <c r="U36" s="65">
        <v>748.83447932041008</v>
      </c>
      <c r="V36" s="62">
        <v>287.58685365348657</v>
      </c>
      <c r="W36" s="62">
        <v>106.96605350326921</v>
      </c>
      <c r="X36" s="62">
        <v>41.079880299653361</v>
      </c>
      <c r="Y36" s="66">
        <v>405.88125354013812</v>
      </c>
      <c r="Z36" s="66">
        <v>155.87705412346111</v>
      </c>
      <c r="AA36" s="67">
        <v>0</v>
      </c>
      <c r="AB36" s="68">
        <v>233.28627403047375</v>
      </c>
      <c r="AC36" s="69">
        <v>0</v>
      </c>
      <c r="AD36" s="412">
        <v>25.446356789978459</v>
      </c>
      <c r="AE36" s="412">
        <v>9.6159879125553136</v>
      </c>
      <c r="AF36" s="69">
        <v>34.623981163236813</v>
      </c>
      <c r="AG36" s="68">
        <v>24.772125891702686</v>
      </c>
      <c r="AH36" s="68">
        <v>9.5136347754288941</v>
      </c>
      <c r="AI36" s="68">
        <v>0.72251936109006187</v>
      </c>
      <c r="AJ36" s="69">
        <v>232.84880752563475</v>
      </c>
      <c r="AK36" s="69">
        <v>833.90389728546165</v>
      </c>
      <c r="AL36" s="69">
        <v>3251.1514378865559</v>
      </c>
      <c r="AM36" s="69">
        <v>546.78226308822627</v>
      </c>
      <c r="AN36" s="69">
        <v>7689.304960123698</v>
      </c>
      <c r="AO36" s="69">
        <v>2880.265686543783</v>
      </c>
      <c r="AP36" s="69">
        <v>617.8570535977683</v>
      </c>
      <c r="AQ36" s="69">
        <v>4259.7819482167561</v>
      </c>
      <c r="AR36" s="69">
        <v>518.08065528869622</v>
      </c>
      <c r="AS36" s="69">
        <v>995.92214682896918</v>
      </c>
    </row>
    <row r="37" spans="1:45" x14ac:dyDescent="0.25">
      <c r="A37" s="11">
        <v>43281</v>
      </c>
      <c r="B37" s="65"/>
      <c r="C37" s="66">
        <v>84.572697464625762</v>
      </c>
      <c r="D37" s="66">
        <v>1318.9292391459157</v>
      </c>
      <c r="E37" s="66">
        <v>32.144159383575087</v>
      </c>
      <c r="F37" s="66">
        <v>0</v>
      </c>
      <c r="G37" s="66">
        <v>2942.7415683746317</v>
      </c>
      <c r="H37" s="67">
        <v>42.31640332341194</v>
      </c>
      <c r="I37" s="71">
        <v>246.88298379580101</v>
      </c>
      <c r="J37" s="66">
        <v>808.97754281361836</v>
      </c>
      <c r="K37" s="66">
        <v>44.400690542658197</v>
      </c>
      <c r="L37" s="66">
        <v>0</v>
      </c>
      <c r="M37" s="66">
        <v>0</v>
      </c>
      <c r="N37" s="67">
        <v>0</v>
      </c>
      <c r="O37" s="49">
        <v>0</v>
      </c>
      <c r="P37" s="66">
        <v>0</v>
      </c>
      <c r="Q37" s="50">
        <v>0</v>
      </c>
      <c r="R37" s="50">
        <v>0</v>
      </c>
      <c r="S37" s="66">
        <v>0</v>
      </c>
      <c r="T37" s="395">
        <v>0</v>
      </c>
      <c r="U37" s="71">
        <v>756.57880804099489</v>
      </c>
      <c r="V37" s="66">
        <v>285.10226309209258</v>
      </c>
      <c r="W37" s="62">
        <v>107.73435664607534</v>
      </c>
      <c r="X37" s="62">
        <v>40.59763314293415</v>
      </c>
      <c r="Y37" s="66">
        <v>405.5908910346796</v>
      </c>
      <c r="Z37" s="66">
        <v>152.83917510581378</v>
      </c>
      <c r="AA37" s="67">
        <v>0</v>
      </c>
      <c r="AB37" s="68">
        <v>233.26573138766383</v>
      </c>
      <c r="AC37" s="394">
        <v>0</v>
      </c>
      <c r="AD37" s="412">
        <v>25.440048419787225</v>
      </c>
      <c r="AE37" s="412">
        <v>9.6024300235043256</v>
      </c>
      <c r="AF37" s="394">
        <v>34.342721852991346</v>
      </c>
      <c r="AG37" s="68">
        <v>24.690330485817636</v>
      </c>
      <c r="AH37" s="68">
        <v>9.3040791298728429</v>
      </c>
      <c r="AI37" s="68">
        <v>0.72630561215634559</v>
      </c>
      <c r="AJ37" s="394">
        <v>227.24384307861328</v>
      </c>
      <c r="AK37" s="394">
        <v>819.63752015431726</v>
      </c>
      <c r="AL37" s="394">
        <v>3173.7982547760007</v>
      </c>
      <c r="AM37" s="394">
        <v>512.71788419087727</v>
      </c>
      <c r="AN37" s="394">
        <v>7332.3361338297536</v>
      </c>
      <c r="AO37" s="394">
        <v>2801.7826964060464</v>
      </c>
      <c r="AP37" s="394">
        <v>582.96749288241085</v>
      </c>
      <c r="AQ37" s="394">
        <v>4176.0016415913888</v>
      </c>
      <c r="AR37" s="394">
        <v>462.45282316207891</v>
      </c>
      <c r="AS37" s="394">
        <v>654.17636013031006</v>
      </c>
    </row>
    <row r="38" spans="1:45" ht="15.75" thickBot="1" x14ac:dyDescent="0.3">
      <c r="A38" s="11"/>
      <c r="B38" s="385"/>
      <c r="C38" s="387"/>
      <c r="D38" s="387"/>
      <c r="E38" s="387"/>
      <c r="F38" s="387"/>
      <c r="G38" s="387"/>
      <c r="H38" s="388"/>
      <c r="I38" s="389"/>
      <c r="J38" s="387"/>
      <c r="K38" s="387"/>
      <c r="L38" s="387"/>
      <c r="M38" s="387"/>
      <c r="N38" s="388"/>
      <c r="O38" s="389"/>
      <c r="P38" s="387"/>
      <c r="Q38" s="387"/>
      <c r="R38" s="390"/>
      <c r="S38" s="387"/>
      <c r="T38" s="391"/>
      <c r="U38" s="389"/>
      <c r="V38" s="387"/>
      <c r="W38" s="386"/>
      <c r="X38" s="386"/>
      <c r="Y38" s="387"/>
      <c r="Z38" s="387"/>
      <c r="AA38" s="388"/>
      <c r="AB38" s="392"/>
      <c r="AC38" s="85"/>
      <c r="AD38" s="412"/>
      <c r="AE38" s="412"/>
      <c r="AF38" s="85"/>
      <c r="AG38" s="392"/>
      <c r="AH38" s="392"/>
      <c r="AI38" s="392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2547.8444262067505</v>
      </c>
      <c r="D39" s="30">
        <f t="shared" si="0"/>
        <v>39609.504718208314</v>
      </c>
      <c r="E39" s="30">
        <f t="shared" si="0"/>
        <v>998.28966157386787</v>
      </c>
      <c r="F39" s="30">
        <f t="shared" si="0"/>
        <v>0</v>
      </c>
      <c r="G39" s="30">
        <f t="shared" si="0"/>
        <v>113318.91846160889</v>
      </c>
      <c r="H39" s="31">
        <f t="shared" si="0"/>
        <v>1273.6075598239918</v>
      </c>
      <c r="I39" s="29">
        <f t="shared" si="0"/>
        <v>7773.8947275241226</v>
      </c>
      <c r="J39" s="30">
        <f t="shared" si="0"/>
        <v>19029.571871821096</v>
      </c>
      <c r="K39" s="30">
        <f t="shared" si="0"/>
        <v>1041.1307344049219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16425.979902109422</v>
      </c>
      <c r="V39" s="262">
        <f t="shared" si="0"/>
        <v>8112.307737572045</v>
      </c>
      <c r="W39" s="262">
        <f t="shared" si="0"/>
        <v>2441.9090300823136</v>
      </c>
      <c r="X39" s="262">
        <f t="shared" si="0"/>
        <v>1211.6196250215301</v>
      </c>
      <c r="Y39" s="262">
        <f t="shared" si="0"/>
        <v>9123.4917758140346</v>
      </c>
      <c r="Z39" s="262">
        <f t="shared" si="0"/>
        <v>4463.741960041385</v>
      </c>
      <c r="AA39" s="270">
        <f t="shared" si="0"/>
        <v>0</v>
      </c>
      <c r="AB39" s="273">
        <f t="shared" si="0"/>
        <v>5563.0436441103702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SUM(AJ8:AJ37)</f>
        <v>6858.1083402872091</v>
      </c>
      <c r="AK39" s="273">
        <f t="shared" si="1"/>
        <v>25249.235413583119</v>
      </c>
      <c r="AL39" s="273">
        <f t="shared" si="1"/>
        <v>95425.944078000379</v>
      </c>
      <c r="AM39" s="273">
        <f t="shared" si="1"/>
        <v>15013.332661684353</v>
      </c>
      <c r="AN39" s="273">
        <f t="shared" si="1"/>
        <v>152535.76760819752</v>
      </c>
      <c r="AO39" s="273">
        <f t="shared" si="1"/>
        <v>85372.550108083102</v>
      </c>
      <c r="AP39" s="273">
        <f t="shared" si="1"/>
        <v>17468.094368219376</v>
      </c>
      <c r="AQ39" s="273">
        <f t="shared" si="1"/>
        <v>107731.84174416859</v>
      </c>
      <c r="AR39" s="273">
        <f t="shared" si="1"/>
        <v>13901.91625334422</v>
      </c>
      <c r="AS39" s="273">
        <f t="shared" si="1"/>
        <v>26030.200427214299</v>
      </c>
    </row>
    <row r="40" spans="1:45" ht="15.75" thickBot="1" x14ac:dyDescent="0.3">
      <c r="A40" s="47" t="s">
        <v>172</v>
      </c>
      <c r="B40" s="32">
        <f>Projection!$AB$30</f>
        <v>0.82128400199999985</v>
      </c>
      <c r="C40" s="33">
        <f>Projection!$AB$28</f>
        <v>1.2667292399999999</v>
      </c>
      <c r="D40" s="33">
        <f>Projection!$AB$31</f>
        <v>3.0824639999999999</v>
      </c>
      <c r="E40" s="33">
        <f>Projection!$AB$26</f>
        <v>3.9898560000000005</v>
      </c>
      <c r="F40" s="33">
        <f>Projection!$AB$23</f>
        <v>0</v>
      </c>
      <c r="G40" s="33">
        <f>Projection!$AB$24</f>
        <v>5.5265000000000002E-2</v>
      </c>
      <c r="H40" s="34">
        <f>Projection!$AB$29</f>
        <v>3.5497125</v>
      </c>
      <c r="I40" s="32">
        <f>Projection!$AB$30</f>
        <v>0.82128400199999985</v>
      </c>
      <c r="J40" s="33">
        <f>Projection!$AB$28</f>
        <v>1.2667292399999999</v>
      </c>
      <c r="K40" s="33">
        <f>Projection!$AB$26</f>
        <v>3.9898560000000005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1.2667292399999999</v>
      </c>
      <c r="T40" s="38">
        <f>Projection!$AB$28</f>
        <v>1.2667292399999999</v>
      </c>
      <c r="U40" s="26">
        <f>Projection!$AB$27</f>
        <v>0.29460000000000003</v>
      </c>
      <c r="V40" s="27">
        <f>Projection!$AB$27</f>
        <v>0.29460000000000003</v>
      </c>
      <c r="W40" s="27">
        <f>Projection!$AB$22</f>
        <v>0.74349432000000004</v>
      </c>
      <c r="X40" s="27">
        <f>Projection!$AB$22</f>
        <v>0.74349432000000004</v>
      </c>
      <c r="Y40" s="27">
        <f>Projection!$AB$31</f>
        <v>3.0824639999999999</v>
      </c>
      <c r="Z40" s="27">
        <f>Projection!$AB$31</f>
        <v>3.0824639999999999</v>
      </c>
      <c r="AA40" s="28">
        <v>0</v>
      </c>
      <c r="AB40" s="41">
        <f>Projection!$AB$27</f>
        <v>0.29460000000000003</v>
      </c>
      <c r="AC40" s="41">
        <f>Projection!$AB$30</f>
        <v>0.82128400199999985</v>
      </c>
      <c r="AD40" s="404">
        <f>SUM(AD8:AD38)</f>
        <v>597.15418109681229</v>
      </c>
      <c r="AE40" s="404">
        <f>SUM(AE8:AE38)</f>
        <v>288.8393080913533</v>
      </c>
      <c r="AF40" s="277">
        <f>SUM(AF8:AF37)</f>
        <v>868.86329905291359</v>
      </c>
      <c r="AG40" s="277">
        <f>SUM(AG8:AG37)</f>
        <v>575.59449505666305</v>
      </c>
      <c r="AH40" s="277">
        <f>SUM(AH8:AH37)</f>
        <v>284.33459306395184</v>
      </c>
      <c r="AI40" s="277">
        <f>IF(SUM(AG40:AH40)&gt;0, AG40/(AG40+AH40), 0)</f>
        <v>0.66935111628172916</v>
      </c>
      <c r="AJ40" s="313">
        <v>6.5000000000000002E-2</v>
      </c>
      <c r="AK40" s="313">
        <f t="shared" ref="AK40:AS40" si="2">$AJ$40</f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  <c r="AR40" s="313">
        <f t="shared" si="2"/>
        <v>6.5000000000000002E-2</v>
      </c>
      <c r="AS40" s="313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3227.4290336471126</v>
      </c>
      <c r="D41" s="36">
        <f t="shared" si="3"/>
        <v>122094.87235170726</v>
      </c>
      <c r="E41" s="36">
        <f t="shared" si="3"/>
        <v>3983.0319959684666</v>
      </c>
      <c r="F41" s="36">
        <f t="shared" si="3"/>
        <v>0</v>
      </c>
      <c r="G41" s="36">
        <f t="shared" si="3"/>
        <v>6262.5700287808158</v>
      </c>
      <c r="H41" s="37">
        <f t="shared" si="3"/>
        <v>4520.9406752017212</v>
      </c>
      <c r="I41" s="35">
        <f t="shared" si="3"/>
        <v>6384.5753729477101</v>
      </c>
      <c r="J41" s="36">
        <f t="shared" si="3"/>
        <v>24105.315114717312</v>
      </c>
      <c r="K41" s="36">
        <f t="shared" si="3"/>
        <v>4153.9617074498847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4839.0936791614358</v>
      </c>
      <c r="V41" s="268">
        <f t="shared" si="3"/>
        <v>2389.8858594887247</v>
      </c>
      <c r="W41" s="268">
        <f t="shared" si="3"/>
        <v>1815.5454938229095</v>
      </c>
      <c r="X41" s="268">
        <f t="shared" si="3"/>
        <v>900.83230920403753</v>
      </c>
      <c r="Y41" s="268">
        <f t="shared" si="3"/>
        <v>28122.834953242829</v>
      </c>
      <c r="Z41" s="268">
        <f t="shared" si="3"/>
        <v>13759.323897117007</v>
      </c>
      <c r="AA41" s="272">
        <f t="shared" si="3"/>
        <v>0</v>
      </c>
      <c r="AB41" s="275">
        <f t="shared" si="3"/>
        <v>1638.8726575549151</v>
      </c>
      <c r="AC41" s="275">
        <f t="shared" si="3"/>
        <v>0</v>
      </c>
      <c r="AJ41" s="278">
        <f t="shared" ref="AJ41:AS41" si="4">AJ40*AJ39</f>
        <v>445.77704211866859</v>
      </c>
      <c r="AK41" s="278">
        <f t="shared" si="4"/>
        <v>1641.2003018829027</v>
      </c>
      <c r="AL41" s="278">
        <f t="shared" si="4"/>
        <v>6202.6863650700252</v>
      </c>
      <c r="AM41" s="278">
        <f t="shared" si="4"/>
        <v>975.86662300948296</v>
      </c>
      <c r="AN41" s="278">
        <f t="shared" si="4"/>
        <v>9914.8248945328396</v>
      </c>
      <c r="AO41" s="278">
        <f t="shared" si="4"/>
        <v>5549.2157570254021</v>
      </c>
      <c r="AP41" s="278">
        <f t="shared" si="4"/>
        <v>1135.4261339342595</v>
      </c>
      <c r="AQ41" s="278">
        <f t="shared" si="4"/>
        <v>7002.5697133709582</v>
      </c>
      <c r="AR41" s="278">
        <f t="shared" si="4"/>
        <v>903.6245564673743</v>
      </c>
      <c r="AS41" s="278">
        <f t="shared" si="4"/>
        <v>1691.9630277689294</v>
      </c>
    </row>
    <row r="42" spans="1:45" ht="49.5" customHeight="1" thickTop="1" thickBot="1" x14ac:dyDescent="0.3">
      <c r="A42" s="637">
        <f>MAY!$A$42+31</f>
        <v>43253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283.23</v>
      </c>
      <c r="AK42" s="278" t="s">
        <v>197</v>
      </c>
      <c r="AL42" s="278">
        <v>182.42</v>
      </c>
      <c r="AM42" s="278">
        <v>306.99</v>
      </c>
      <c r="AN42" s="278">
        <v>228.48</v>
      </c>
      <c r="AO42" s="278">
        <v>1847.25</v>
      </c>
      <c r="AP42" s="278">
        <v>238.56</v>
      </c>
      <c r="AQ42" s="278" t="s">
        <v>197</v>
      </c>
      <c r="AR42" s="278">
        <v>71.48</v>
      </c>
      <c r="AS42" s="278">
        <v>149.93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228199.08513001213</v>
      </c>
      <c r="C44" s="12"/>
      <c r="D44" s="282" t="s">
        <v>135</v>
      </c>
      <c r="E44" s="283">
        <f>SUM(B41:H41)+P41+R41+T41+V41+X41+Z41</f>
        <v>157138.88615111512</v>
      </c>
      <c r="F44" s="12"/>
      <c r="G44" s="282" t="s">
        <v>135</v>
      </c>
      <c r="H44" s="283">
        <f>SUM(I41:N41)+O41+Q41+S41+U41+W41+Y41</f>
        <v>69421.326321342087</v>
      </c>
      <c r="I44" s="12"/>
      <c r="J44" s="282" t="s">
        <v>198</v>
      </c>
      <c r="K44" s="283">
        <v>137555.46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35463.154415180834</v>
      </c>
      <c r="C45" s="12"/>
      <c r="D45" s="284" t="s">
        <v>183</v>
      </c>
      <c r="E45" s="285">
        <f>AJ41*(1-$AI$40)+AK41+AL41*0.5+AN41+AO41*(1-$AI$40)+AP41*(1-$AI$40)+AQ41*(1-$AI$40)+AR41*0.5+AS41*0.5</f>
        <v>20628.219090620361</v>
      </c>
      <c r="F45" s="24"/>
      <c r="G45" s="284" t="s">
        <v>183</v>
      </c>
      <c r="H45" s="285">
        <f>AJ41*AI40+AL41*0.5+AM41+AO41*AI40+AP41*AI40+AQ41*AI40+AR41*0.5+AS41*0.5</f>
        <v>14834.935324560482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3653.5286551038434</v>
      </c>
      <c r="U45" s="256">
        <f>(T45*8.34*0.895)/27000</f>
        <v>1.0100382940848747</v>
      </c>
    </row>
    <row r="46" spans="1:45" ht="32.25" thickBot="1" x14ac:dyDescent="0.3">
      <c r="A46" s="286" t="s">
        <v>184</v>
      </c>
      <c r="B46" s="287">
        <f>SUM(AJ42:AS42)</f>
        <v>3308.3399999999997</v>
      </c>
      <c r="C46" s="12"/>
      <c r="D46" s="286" t="s">
        <v>184</v>
      </c>
      <c r="E46" s="287">
        <f>AJ42*(1-$AI$40)+AL42*0.5+AN42+AO42*(1-$AI$40)+AP42*(1-$AI$40)+AR42*0.5+AS42*0.5</f>
        <v>1213.7154314839322</v>
      </c>
      <c r="F46" s="23"/>
      <c r="G46" s="286" t="s">
        <v>184</v>
      </c>
      <c r="H46" s="287">
        <f>AJ42*AI40+AL42*0.5+AM42+AO42*AI40+AP42*AI40+AR42*0.5+AS42*0.5</f>
        <v>2094.6245685160679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137555.46</v>
      </c>
      <c r="C47" s="12"/>
      <c r="D47" s="286" t="s">
        <v>187</v>
      </c>
      <c r="E47" s="287">
        <f>K44*0.5</f>
        <v>68777.73</v>
      </c>
      <c r="F47" s="24"/>
      <c r="G47" s="286" t="s">
        <v>185</v>
      </c>
      <c r="H47" s="287">
        <f>K44*0.5</f>
        <v>68777.73</v>
      </c>
      <c r="I47" s="12"/>
      <c r="J47" s="282" t="s">
        <v>198</v>
      </c>
      <c r="K47" s="283">
        <v>26381.200000000001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113318.91846160889</v>
      </c>
      <c r="U47" s="256">
        <f>T47/40000</f>
        <v>2.8329729615402224</v>
      </c>
    </row>
    <row r="48" spans="1:45" ht="24" thickBot="1" x14ac:dyDescent="0.3">
      <c r="A48" s="286" t="s">
        <v>186</v>
      </c>
      <c r="B48" s="287">
        <f>K47</f>
        <v>26381.200000000001</v>
      </c>
      <c r="C48" s="12"/>
      <c r="D48" s="286" t="s">
        <v>186</v>
      </c>
      <c r="E48" s="287">
        <f>K47*0.5</f>
        <v>13190.6</v>
      </c>
      <c r="F48" s="23"/>
      <c r="G48" s="286" t="s">
        <v>186</v>
      </c>
      <c r="H48" s="287">
        <f>K47*0.5</f>
        <v>13190.6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194</v>
      </c>
      <c r="B49" s="292">
        <f>AF40</f>
        <v>868.86329905291359</v>
      </c>
      <c r="C49" s="12"/>
      <c r="D49" s="291" t="s">
        <v>195</v>
      </c>
      <c r="E49" s="292">
        <f>AH40</f>
        <v>284.33459306395184</v>
      </c>
      <c r="F49" s="375">
        <f>E44/E49</f>
        <v>552.65482985312246</v>
      </c>
      <c r="G49" s="291" t="s">
        <v>196</v>
      </c>
      <c r="H49" s="292">
        <f>AG40</f>
        <v>575.59449505666305</v>
      </c>
      <c r="I49" s="374">
        <f>H44/H49</f>
        <v>120.60804423521817</v>
      </c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2039.4203959787897</v>
      </c>
      <c r="U49" s="256">
        <f>(T49*8.34*1.04)/45000</f>
        <v>0.39309148325692511</v>
      </c>
    </row>
    <row r="50" spans="1:25" ht="48" customHeight="1" thickTop="1" thickBot="1" x14ac:dyDescent="0.3">
      <c r="A50" s="291" t="s">
        <v>223</v>
      </c>
      <c r="B50" s="292">
        <f>SUM(E50+H50)</f>
        <v>885.99348918816554</v>
      </c>
      <c r="C50" s="12"/>
      <c r="D50" s="291" t="s">
        <v>224</v>
      </c>
      <c r="E50" s="292">
        <f>AE40</f>
        <v>288.8393080913533</v>
      </c>
      <c r="F50" s="375"/>
      <c r="G50" s="291" t="s">
        <v>225</v>
      </c>
      <c r="H50" s="292">
        <f>AD40</f>
        <v>597.15418109681229</v>
      </c>
      <c r="I50" s="374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486.35486016949471</v>
      </c>
      <c r="C51" s="12"/>
      <c r="D51" s="291" t="s">
        <v>188</v>
      </c>
      <c r="E51" s="294">
        <f>SUM(E44:E48)/E50</f>
        <v>903.44057530662383</v>
      </c>
      <c r="F51" s="23"/>
      <c r="G51" s="291" t="s">
        <v>189</v>
      </c>
      <c r="H51" s="294">
        <f>SUM(H44:H48)/H50</f>
        <v>281.8689402881871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30101.331283791838</v>
      </c>
      <c r="U51" s="256">
        <f>T51/2000/8</f>
        <v>1.88133320523699</v>
      </c>
    </row>
    <row r="52" spans="1:25" ht="47.25" customHeight="1" thickTop="1" thickBot="1" x14ac:dyDescent="0.3">
      <c r="A52" s="281" t="s">
        <v>191</v>
      </c>
      <c r="B52" s="294">
        <f>B51/1000</f>
        <v>0.4863548601694947</v>
      </c>
      <c r="C52" s="12"/>
      <c r="D52" s="281" t="s">
        <v>192</v>
      </c>
      <c r="E52" s="294">
        <f>E51/1000</f>
        <v>0.90344057530662381</v>
      </c>
      <c r="F52" s="12"/>
      <c r="G52" s="281" t="s">
        <v>193</v>
      </c>
      <c r="H52" s="294">
        <f>H51/1000</f>
        <v>0.2818689402881871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21577.416298027845</v>
      </c>
      <c r="U52" s="256">
        <f>(T52*8.34*1.4)/45000</f>
        <v>5.5986202821282909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1273.6075598239918</v>
      </c>
      <c r="U53" s="256">
        <f>(T53*8.34*1.135)/45000</f>
        <v>0.26790759556750937</v>
      </c>
    </row>
    <row r="54" spans="1:25" ht="48" customHeight="1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7773.8947275241226</v>
      </c>
      <c r="U54" s="256">
        <f>(T54*8.34*1.029*0.03)/3300</f>
        <v>0.60649523823954699</v>
      </c>
    </row>
    <row r="55" spans="1:25" ht="54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53196.738454063736</v>
      </c>
      <c r="U55" s="259">
        <f>(T55*1.54*8.34)/45000</f>
        <v>15.183058444635844</v>
      </c>
    </row>
    <row r="56" spans="1:25" ht="24" thickTop="1" x14ac:dyDescent="0.25">
      <c r="A56" s="642"/>
      <c r="B56" s="64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4"/>
      <c r="B57" s="645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0"/>
      <c r="B58" s="64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1"/>
      <c r="B59" s="64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0"/>
      <c r="B60" s="64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1"/>
      <c r="B61" s="641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eCHWV89rsDl3vDc6NKU2x3WwmXvuMbZidlJXZ3e2HXYsuodeSN+puWHt1ypu9cNUNv3ztVF7Aq1x/BWEGQfrUg==" saltValue="tPaj6rKQGVwcJ9bHzIxYUA==" spinCount="100000" sheet="1" objects="1" scenarios="1" selectLockedCells="1" selectUnlockedCells="1"/>
  <mergeCells count="36"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R43:U43"/>
    <mergeCell ref="AD4:AD5"/>
    <mergeCell ref="AE4:AE5"/>
    <mergeCell ref="A54:E54"/>
    <mergeCell ref="A55:E55"/>
    <mergeCell ref="R55:S55"/>
    <mergeCell ref="A42:K42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W63"/>
  <sheetViews>
    <sheetView topLeftCell="A38" zoomScale="75" zoomScaleNormal="75" workbookViewId="0">
      <selection activeCell="AS42" sqref="AS42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  <c r="AV4" t="s">
        <v>169</v>
      </c>
      <c r="AW4" s="338" t="s">
        <v>207</v>
      </c>
    </row>
    <row r="5" spans="1:49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43282</v>
      </c>
      <c r="B8" s="49"/>
      <c r="C8" s="50">
        <v>84.312769905725375</v>
      </c>
      <c r="D8" s="50">
        <v>1319.643565559388</v>
      </c>
      <c r="E8" s="50">
        <v>31.812274459501115</v>
      </c>
      <c r="F8" s="50">
        <v>0</v>
      </c>
      <c r="G8" s="50">
        <v>2800.090761566164</v>
      </c>
      <c r="H8" s="51">
        <v>42.138404637575157</v>
      </c>
      <c r="I8" s="49">
        <v>247.10801062583892</v>
      </c>
      <c r="J8" s="50">
        <v>808.91791814168209</v>
      </c>
      <c r="K8" s="50">
        <v>44.406449680527054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757.21863652715285</v>
      </c>
      <c r="V8" s="54">
        <v>290.76445563254708</v>
      </c>
      <c r="W8" s="54">
        <v>108.81029191827534</v>
      </c>
      <c r="X8" s="54">
        <v>41.782074252607707</v>
      </c>
      <c r="Y8" s="54">
        <v>420.30248890417869</v>
      </c>
      <c r="Z8" s="54">
        <v>161.39199234149584</v>
      </c>
      <c r="AA8" s="55">
        <v>0</v>
      </c>
      <c r="AB8" s="56">
        <v>233.12382246653272</v>
      </c>
      <c r="AC8" s="57">
        <v>0</v>
      </c>
      <c r="AD8" s="411">
        <v>25.437408452923162</v>
      </c>
      <c r="AE8" s="411">
        <v>9.6062583265263779</v>
      </c>
      <c r="AF8" s="57">
        <v>34.932245273060282</v>
      </c>
      <c r="AG8" s="58">
        <v>24.998726838063462</v>
      </c>
      <c r="AH8" s="58">
        <v>9.5992634754910995</v>
      </c>
      <c r="AI8" s="58">
        <v>0.7225485241051598</v>
      </c>
      <c r="AJ8" s="57">
        <v>223.20864947636923</v>
      </c>
      <c r="AK8" s="57">
        <v>821.30212329228721</v>
      </c>
      <c r="AL8" s="57">
        <v>3118.6345764160155</v>
      </c>
      <c r="AM8" s="57">
        <v>520.3548763275146</v>
      </c>
      <c r="AN8" s="57">
        <v>7504.5040710449211</v>
      </c>
      <c r="AO8" s="57">
        <v>2774.4318303426107</v>
      </c>
      <c r="AP8" s="57">
        <v>616.13111950556436</v>
      </c>
      <c r="AQ8" s="57">
        <v>4303.7907587687178</v>
      </c>
      <c r="AR8" s="57">
        <v>456.08659820556636</v>
      </c>
      <c r="AS8" s="57">
        <v>723.55599877039617</v>
      </c>
    </row>
    <row r="9" spans="1:49" x14ac:dyDescent="0.25">
      <c r="A9" s="11">
        <v>43283</v>
      </c>
      <c r="B9" s="59"/>
      <c r="C9" s="60">
        <v>84.437437061469566</v>
      </c>
      <c r="D9" s="60">
        <v>1319.5977234522491</v>
      </c>
      <c r="E9" s="60">
        <v>33.191249985992904</v>
      </c>
      <c r="F9" s="60">
        <v>0</v>
      </c>
      <c r="G9" s="60">
        <v>2792.0763581593783</v>
      </c>
      <c r="H9" s="61">
        <v>42.193873351812421</v>
      </c>
      <c r="I9" s="59">
        <v>248.36554120381658</v>
      </c>
      <c r="J9" s="60">
        <v>813.05526199340716</v>
      </c>
      <c r="K9" s="60">
        <v>44.653115047017778</v>
      </c>
      <c r="L9" s="60">
        <v>0</v>
      </c>
      <c r="M9" s="60">
        <v>0</v>
      </c>
      <c r="N9" s="61">
        <v>0</v>
      </c>
      <c r="O9" s="49">
        <v>0</v>
      </c>
      <c r="P9" s="50">
        <v>0</v>
      </c>
      <c r="Q9" s="50">
        <v>0</v>
      </c>
      <c r="R9" s="50">
        <v>0</v>
      </c>
      <c r="S9" s="60">
        <v>0</v>
      </c>
      <c r="T9" s="64">
        <v>0</v>
      </c>
      <c r="U9" s="65">
        <v>721.51334958711197</v>
      </c>
      <c r="V9" s="62">
        <v>279.96300696162325</v>
      </c>
      <c r="W9" s="62">
        <v>110.84166452161068</v>
      </c>
      <c r="X9" s="62">
        <v>43.008997288628819</v>
      </c>
      <c r="Y9" s="66">
        <v>416.41903333814588</v>
      </c>
      <c r="Z9" s="66">
        <v>161.57971962142364</v>
      </c>
      <c r="AA9" s="67">
        <v>0</v>
      </c>
      <c r="AB9" s="68">
        <v>239.72741669548827</v>
      </c>
      <c r="AC9" s="69">
        <v>0</v>
      </c>
      <c r="AD9" s="412">
        <v>25.563831170947378</v>
      </c>
      <c r="AE9" s="412">
        <v>9.6069513174805099</v>
      </c>
      <c r="AF9" s="69">
        <v>34.245123414198595</v>
      </c>
      <c r="AG9" s="68">
        <v>24.333580357669831</v>
      </c>
      <c r="AH9" s="68">
        <v>9.4419629671079726</v>
      </c>
      <c r="AI9" s="68">
        <v>0.72044970894128213</v>
      </c>
      <c r="AJ9" s="69">
        <v>231.65916805267335</v>
      </c>
      <c r="AK9" s="69">
        <v>866.4398939768472</v>
      </c>
      <c r="AL9" s="69">
        <v>3144.287534713746</v>
      </c>
      <c r="AM9" s="69">
        <v>505.07256908416741</v>
      </c>
      <c r="AN9" s="69">
        <v>7540.2217107137049</v>
      </c>
      <c r="AO9" s="69">
        <v>2914.1275168100983</v>
      </c>
      <c r="AP9" s="69">
        <v>560.5119333585103</v>
      </c>
      <c r="AQ9" s="69">
        <v>4159.9700031280518</v>
      </c>
      <c r="AR9" s="69">
        <v>487.75011186599738</v>
      </c>
      <c r="AS9" s="69">
        <v>914.46170539855962</v>
      </c>
    </row>
    <row r="10" spans="1:49" x14ac:dyDescent="0.25">
      <c r="A10" s="11">
        <v>43284</v>
      </c>
      <c r="B10" s="59"/>
      <c r="C10" s="60">
        <v>84.186775624752542</v>
      </c>
      <c r="D10" s="60">
        <v>1330.8564381917324</v>
      </c>
      <c r="E10" s="60">
        <v>33.432402546207179</v>
      </c>
      <c r="F10" s="60">
        <v>0</v>
      </c>
      <c r="G10" s="60">
        <v>2743.9088473002157</v>
      </c>
      <c r="H10" s="61">
        <v>42.144451036055919</v>
      </c>
      <c r="I10" s="59">
        <v>262.07667371431972</v>
      </c>
      <c r="J10" s="60">
        <v>814.13455746968577</v>
      </c>
      <c r="K10" s="60">
        <v>44.644716367125568</v>
      </c>
      <c r="L10" s="60">
        <v>0</v>
      </c>
      <c r="M10" s="60">
        <v>0</v>
      </c>
      <c r="N10" s="61">
        <v>0</v>
      </c>
      <c r="O10" s="49">
        <v>0</v>
      </c>
      <c r="P10" s="50">
        <v>0</v>
      </c>
      <c r="Q10" s="50">
        <v>0</v>
      </c>
      <c r="R10" s="50">
        <v>0</v>
      </c>
      <c r="S10" s="60">
        <v>0</v>
      </c>
      <c r="T10" s="64">
        <v>0</v>
      </c>
      <c r="U10" s="65">
        <v>712.22425471234612</v>
      </c>
      <c r="V10" s="62">
        <v>274.74427348420119</v>
      </c>
      <c r="W10" s="62">
        <v>111.45071088390661</v>
      </c>
      <c r="X10" s="62">
        <v>42.992701229283036</v>
      </c>
      <c r="Y10" s="66">
        <v>419.28388282526902</v>
      </c>
      <c r="Z10" s="66">
        <v>161.74097555409551</v>
      </c>
      <c r="AA10" s="67">
        <v>0</v>
      </c>
      <c r="AB10" s="68">
        <v>244.7457477887456</v>
      </c>
      <c r="AC10" s="69">
        <v>0</v>
      </c>
      <c r="AD10" s="412">
        <v>25.598061184774949</v>
      </c>
      <c r="AE10" s="412">
        <v>9.6005253527136656</v>
      </c>
      <c r="AF10" s="69">
        <v>34.435982780986414</v>
      </c>
      <c r="AG10" s="68">
        <v>24.489011386863307</v>
      </c>
      <c r="AH10" s="68">
        <v>9.4467656743134736</v>
      </c>
      <c r="AI10" s="68">
        <v>0.72162813135872561</v>
      </c>
      <c r="AJ10" s="69">
        <v>225.14511003494263</v>
      </c>
      <c r="AK10" s="69">
        <v>883.21106322606408</v>
      </c>
      <c r="AL10" s="69">
        <v>3129.4649906158447</v>
      </c>
      <c r="AM10" s="69">
        <v>558.10721848805747</v>
      </c>
      <c r="AN10" s="69">
        <v>5035.3583129882818</v>
      </c>
      <c r="AO10" s="69">
        <v>2917.1398769378661</v>
      </c>
      <c r="AP10" s="69">
        <v>639.90733272234604</v>
      </c>
      <c r="AQ10" s="69">
        <v>4293.5424875895187</v>
      </c>
      <c r="AR10" s="69">
        <v>497.4834123929341</v>
      </c>
      <c r="AS10" s="69">
        <v>918.36971003214524</v>
      </c>
    </row>
    <row r="11" spans="1:49" x14ac:dyDescent="0.25">
      <c r="A11" s="11">
        <v>43285</v>
      </c>
      <c r="B11" s="59"/>
      <c r="C11" s="60">
        <v>83.676178435484886</v>
      </c>
      <c r="D11" s="60">
        <v>1348.8800451914487</v>
      </c>
      <c r="E11" s="60">
        <v>33.166506560643519</v>
      </c>
      <c r="F11" s="60">
        <v>0</v>
      </c>
      <c r="G11" s="60">
        <v>2678.4450225830069</v>
      </c>
      <c r="H11" s="61">
        <v>42.203610809644097</v>
      </c>
      <c r="I11" s="59">
        <v>266.18747954368581</v>
      </c>
      <c r="J11" s="60">
        <v>814.727196248371</v>
      </c>
      <c r="K11" s="60">
        <v>44.658458688855212</v>
      </c>
      <c r="L11" s="60">
        <v>0</v>
      </c>
      <c r="M11" s="60">
        <v>0</v>
      </c>
      <c r="N11" s="61">
        <v>0</v>
      </c>
      <c r="O11" s="49">
        <v>0</v>
      </c>
      <c r="P11" s="50">
        <v>0</v>
      </c>
      <c r="Q11" s="50">
        <v>0</v>
      </c>
      <c r="R11" s="50">
        <v>0</v>
      </c>
      <c r="S11" s="60">
        <v>0</v>
      </c>
      <c r="T11" s="64">
        <v>0</v>
      </c>
      <c r="U11" s="65">
        <v>725.23517095453849</v>
      </c>
      <c r="V11" s="62">
        <v>278.46391851961084</v>
      </c>
      <c r="W11" s="62">
        <v>115.39123030584668</v>
      </c>
      <c r="X11" s="62">
        <v>44.306034015798105</v>
      </c>
      <c r="Y11" s="66">
        <v>429.25407650737117</v>
      </c>
      <c r="Z11" s="66">
        <v>164.81794729761151</v>
      </c>
      <c r="AA11" s="67">
        <v>0</v>
      </c>
      <c r="AB11" s="68">
        <v>244.74752544827075</v>
      </c>
      <c r="AC11" s="69">
        <v>0</v>
      </c>
      <c r="AD11" s="412">
        <v>25.615039909520867</v>
      </c>
      <c r="AE11" s="412">
        <v>9.5982137795118554</v>
      </c>
      <c r="AF11" s="69">
        <v>35.10940404733023</v>
      </c>
      <c r="AG11" s="68">
        <v>25.001040106344309</v>
      </c>
      <c r="AH11" s="68">
        <v>9.5994897571163076</v>
      </c>
      <c r="AI11" s="68">
        <v>0.72256234817797671</v>
      </c>
      <c r="AJ11" s="69">
        <v>241.47359859148662</v>
      </c>
      <c r="AK11" s="69">
        <v>882.95990269978824</v>
      </c>
      <c r="AL11" s="69">
        <v>3220.4160758972162</v>
      </c>
      <c r="AM11" s="69">
        <v>567.95334568023679</v>
      </c>
      <c r="AN11" s="69">
        <v>4382.9184913635263</v>
      </c>
      <c r="AO11" s="69">
        <v>2822.3662100474039</v>
      </c>
      <c r="AP11" s="69">
        <v>622.68189268112189</v>
      </c>
      <c r="AQ11" s="69">
        <v>4195.1203651428232</v>
      </c>
      <c r="AR11" s="69">
        <v>495.5637267430622</v>
      </c>
      <c r="AS11" s="69">
        <v>870.22265904744472</v>
      </c>
    </row>
    <row r="12" spans="1:49" x14ac:dyDescent="0.25">
      <c r="A12" s="11">
        <v>43286</v>
      </c>
      <c r="B12" s="59"/>
      <c r="C12" s="60">
        <v>84.931448348362949</v>
      </c>
      <c r="D12" s="60">
        <v>1358.5481356302892</v>
      </c>
      <c r="E12" s="60">
        <v>33.129949089388091</v>
      </c>
      <c r="F12" s="60">
        <v>0</v>
      </c>
      <c r="G12" s="60">
        <v>2779.3638421376495</v>
      </c>
      <c r="H12" s="61">
        <v>42.23703483144449</v>
      </c>
      <c r="I12" s="59">
        <v>256.66253248850472</v>
      </c>
      <c r="J12" s="60">
        <v>814.23608916600494</v>
      </c>
      <c r="K12" s="60">
        <v>44.689886267980015</v>
      </c>
      <c r="L12" s="60">
        <v>0</v>
      </c>
      <c r="M12" s="60">
        <v>0</v>
      </c>
      <c r="N12" s="61">
        <v>0</v>
      </c>
      <c r="O12" s="49">
        <v>0</v>
      </c>
      <c r="P12" s="50">
        <v>0</v>
      </c>
      <c r="Q12" s="50">
        <v>0</v>
      </c>
      <c r="R12" s="50">
        <v>0</v>
      </c>
      <c r="S12" s="60">
        <v>0</v>
      </c>
      <c r="T12" s="64">
        <v>0</v>
      </c>
      <c r="U12" s="65">
        <v>698.24696226716185</v>
      </c>
      <c r="V12" s="62">
        <v>263.00662554038462</v>
      </c>
      <c r="W12" s="62">
        <v>111.23282071644631</v>
      </c>
      <c r="X12" s="62">
        <v>41.897738775664962</v>
      </c>
      <c r="Y12" s="66">
        <v>422.29827818207008</v>
      </c>
      <c r="Z12" s="66">
        <v>159.06584792800655</v>
      </c>
      <c r="AA12" s="67">
        <v>0</v>
      </c>
      <c r="AB12" s="68">
        <v>245.03976304796109</v>
      </c>
      <c r="AC12" s="69">
        <v>0</v>
      </c>
      <c r="AD12" s="412">
        <v>25.61367099893587</v>
      </c>
      <c r="AE12" s="412">
        <v>9.6158444901278735</v>
      </c>
      <c r="AF12" s="69">
        <v>34.398578931225657</v>
      </c>
      <c r="AG12" s="68">
        <v>24.60534660369618</v>
      </c>
      <c r="AH12" s="68">
        <v>9.2680233931524558</v>
      </c>
      <c r="AI12" s="68">
        <v>0.7263920479711734</v>
      </c>
      <c r="AJ12" s="69">
        <v>231.85527801513672</v>
      </c>
      <c r="AK12" s="69">
        <v>860.75318959554045</v>
      </c>
      <c r="AL12" s="69">
        <v>3110.2713102976481</v>
      </c>
      <c r="AM12" s="69">
        <v>542.76802361806222</v>
      </c>
      <c r="AN12" s="69">
        <v>4308.0668693542475</v>
      </c>
      <c r="AO12" s="69">
        <v>2876.1726646423335</v>
      </c>
      <c r="AP12" s="69">
        <v>549.93906731605534</v>
      </c>
      <c r="AQ12" s="69">
        <v>4164.1669335683182</v>
      </c>
      <c r="AR12" s="69">
        <v>462.62149130503332</v>
      </c>
      <c r="AS12" s="69">
        <v>828.47852058410638</v>
      </c>
    </row>
    <row r="13" spans="1:49" x14ac:dyDescent="0.25">
      <c r="A13" s="11">
        <v>43287</v>
      </c>
      <c r="B13" s="59"/>
      <c r="C13" s="60">
        <v>85.662773116429207</v>
      </c>
      <c r="D13" s="60">
        <v>1366.7165458043421</v>
      </c>
      <c r="E13" s="60">
        <v>33.424025144179673</v>
      </c>
      <c r="F13" s="60">
        <v>0</v>
      </c>
      <c r="G13" s="60">
        <v>2849.5122701009082</v>
      </c>
      <c r="H13" s="61">
        <v>42.602213731408099</v>
      </c>
      <c r="I13" s="59">
        <v>255.53020660082473</v>
      </c>
      <c r="J13" s="60">
        <v>810.48450673421178</v>
      </c>
      <c r="K13" s="60">
        <v>44.492192186911922</v>
      </c>
      <c r="L13" s="60">
        <v>0</v>
      </c>
      <c r="M13" s="60">
        <v>0</v>
      </c>
      <c r="N13" s="61">
        <v>0</v>
      </c>
      <c r="O13" s="49">
        <v>0</v>
      </c>
      <c r="P13" s="50">
        <v>0</v>
      </c>
      <c r="Q13" s="50">
        <v>0</v>
      </c>
      <c r="R13" s="50">
        <v>0</v>
      </c>
      <c r="S13" s="60">
        <v>0</v>
      </c>
      <c r="T13" s="64">
        <v>0</v>
      </c>
      <c r="U13" s="65">
        <v>728.19267745324419</v>
      </c>
      <c r="V13" s="62">
        <v>283.00929381276131</v>
      </c>
      <c r="W13" s="62">
        <v>107.90225379319682</v>
      </c>
      <c r="X13" s="62">
        <v>41.935797478241902</v>
      </c>
      <c r="Y13" s="66">
        <v>420.36681258293731</v>
      </c>
      <c r="Z13" s="66">
        <v>163.37395095415135</v>
      </c>
      <c r="AA13" s="67">
        <v>0</v>
      </c>
      <c r="AB13" s="68">
        <v>241.93101130591648</v>
      </c>
      <c r="AC13" s="69">
        <v>0</v>
      </c>
      <c r="AD13" s="412">
        <v>25.483396707722974</v>
      </c>
      <c r="AE13" s="412">
        <v>9.6729360608774115</v>
      </c>
      <c r="AF13" s="69">
        <v>34.593211015065521</v>
      </c>
      <c r="AG13" s="68">
        <v>24.636750565410725</v>
      </c>
      <c r="AH13" s="68">
        <v>9.5749787044593315</v>
      </c>
      <c r="AI13" s="68">
        <v>0.72012584839165306</v>
      </c>
      <c r="AJ13" s="69">
        <v>229.53797149658203</v>
      </c>
      <c r="AK13" s="69">
        <v>868.85936088562016</v>
      </c>
      <c r="AL13" s="69">
        <v>3036.1718090057375</v>
      </c>
      <c r="AM13" s="69">
        <v>514.23656651178999</v>
      </c>
      <c r="AN13" s="69">
        <v>4623.495455932617</v>
      </c>
      <c r="AO13" s="69">
        <v>2878.3680680592856</v>
      </c>
      <c r="AP13" s="69">
        <v>575.15878429412862</v>
      </c>
      <c r="AQ13" s="69">
        <v>4172.7974005381266</v>
      </c>
      <c r="AR13" s="69">
        <v>461.97784128189085</v>
      </c>
      <c r="AS13" s="69">
        <v>840.35201244354232</v>
      </c>
    </row>
    <row r="14" spans="1:49" x14ac:dyDescent="0.25">
      <c r="A14" s="11">
        <v>43288</v>
      </c>
      <c r="B14" s="59"/>
      <c r="C14" s="60">
        <v>85.230689144134416</v>
      </c>
      <c r="D14" s="60">
        <v>1415.3597627639795</v>
      </c>
      <c r="E14" s="60">
        <v>34.109295265376574</v>
      </c>
      <c r="F14" s="60">
        <v>0</v>
      </c>
      <c r="G14" s="60">
        <v>2993.7637502034477</v>
      </c>
      <c r="H14" s="61">
        <v>41.350540713469172</v>
      </c>
      <c r="I14" s="59">
        <v>254.85161341031363</v>
      </c>
      <c r="J14" s="60">
        <v>808.60030358632321</v>
      </c>
      <c r="K14" s="60">
        <v>44.304968940218245</v>
      </c>
      <c r="L14" s="60">
        <v>0</v>
      </c>
      <c r="M14" s="60">
        <v>0</v>
      </c>
      <c r="N14" s="61">
        <v>0</v>
      </c>
      <c r="O14" s="49">
        <v>0</v>
      </c>
      <c r="P14" s="50">
        <v>0</v>
      </c>
      <c r="Q14" s="50">
        <v>0</v>
      </c>
      <c r="R14" s="50">
        <v>0</v>
      </c>
      <c r="S14" s="60">
        <v>0</v>
      </c>
      <c r="T14" s="64">
        <v>0</v>
      </c>
      <c r="U14" s="65">
        <v>743.25068505308047</v>
      </c>
      <c r="V14" s="62">
        <v>288.3611662364595</v>
      </c>
      <c r="W14" s="62">
        <v>105.99180186647204</v>
      </c>
      <c r="X14" s="62">
        <v>41.121952811300602</v>
      </c>
      <c r="Y14" s="66">
        <v>423.78940262486344</v>
      </c>
      <c r="Z14" s="66">
        <v>164.41882777522187</v>
      </c>
      <c r="AA14" s="67">
        <v>0</v>
      </c>
      <c r="AB14" s="68">
        <v>240.38034073511963</v>
      </c>
      <c r="AC14" s="69">
        <v>0</v>
      </c>
      <c r="AD14" s="412">
        <v>25.424645430433159</v>
      </c>
      <c r="AE14" s="412">
        <v>9.717462959542118</v>
      </c>
      <c r="AF14" s="69">
        <v>35.031723025110082</v>
      </c>
      <c r="AG14" s="68">
        <v>25.001727490192899</v>
      </c>
      <c r="AH14" s="68">
        <v>9.699994149999732</v>
      </c>
      <c r="AI14" s="68">
        <v>0.72047513231260285</v>
      </c>
      <c r="AJ14" s="69">
        <v>231.80059636433919</v>
      </c>
      <c r="AK14" s="69">
        <v>880.27142979303983</v>
      </c>
      <c r="AL14" s="69">
        <v>3134.4517387390133</v>
      </c>
      <c r="AM14" s="69">
        <v>502.67459106445313</v>
      </c>
      <c r="AN14" s="69">
        <v>4730.8861083984375</v>
      </c>
      <c r="AO14" s="69">
        <v>2826.9570396423337</v>
      </c>
      <c r="AP14" s="69">
        <v>614.15624612172451</v>
      </c>
      <c r="AQ14" s="69">
        <v>4286.7636446634924</v>
      </c>
      <c r="AR14" s="69">
        <v>488.45548299153654</v>
      </c>
      <c r="AS14" s="69">
        <v>883.53164329528795</v>
      </c>
    </row>
    <row r="15" spans="1:49" x14ac:dyDescent="0.25">
      <c r="A15" s="11">
        <v>43289</v>
      </c>
      <c r="B15" s="59"/>
      <c r="C15" s="60">
        <v>85.895661934217202</v>
      </c>
      <c r="D15" s="60">
        <v>1408.2084798812841</v>
      </c>
      <c r="E15" s="60">
        <v>33.903642516334855</v>
      </c>
      <c r="F15" s="60">
        <v>0</v>
      </c>
      <c r="G15" s="60">
        <v>2965.4968233744298</v>
      </c>
      <c r="H15" s="61">
        <v>43.109674388170184</v>
      </c>
      <c r="I15" s="59">
        <v>254.89938314755767</v>
      </c>
      <c r="J15" s="60">
        <v>808.96881249745525</v>
      </c>
      <c r="K15" s="60">
        <v>44.342568088571234</v>
      </c>
      <c r="L15" s="60">
        <v>0</v>
      </c>
      <c r="M15" s="60">
        <v>0</v>
      </c>
      <c r="N15" s="61">
        <v>0</v>
      </c>
      <c r="O15" s="49">
        <v>0</v>
      </c>
      <c r="P15" s="50">
        <v>0</v>
      </c>
      <c r="Q15" s="50">
        <v>0</v>
      </c>
      <c r="R15" s="50">
        <v>0</v>
      </c>
      <c r="S15" s="60">
        <v>0</v>
      </c>
      <c r="T15" s="64">
        <v>0</v>
      </c>
      <c r="U15" s="65">
        <v>739.22796495836064</v>
      </c>
      <c r="V15" s="62">
        <v>286.84714863485101</v>
      </c>
      <c r="W15" s="62">
        <v>106.25514410095469</v>
      </c>
      <c r="X15" s="62">
        <v>41.230833461313772</v>
      </c>
      <c r="Y15" s="66">
        <v>420.41108864497812</v>
      </c>
      <c r="Z15" s="66">
        <v>163.13468611685758</v>
      </c>
      <c r="AA15" s="67">
        <v>0</v>
      </c>
      <c r="AB15" s="68">
        <v>240.37739204830697</v>
      </c>
      <c r="AC15" s="69">
        <v>0</v>
      </c>
      <c r="AD15" s="412">
        <v>25.432211773105436</v>
      </c>
      <c r="AE15" s="412">
        <v>9.7234768475855144</v>
      </c>
      <c r="AF15" s="69">
        <v>34.650279671616055</v>
      </c>
      <c r="AG15" s="68">
        <v>24.720129876011995</v>
      </c>
      <c r="AH15" s="68">
        <v>9.5923031932600793</v>
      </c>
      <c r="AI15" s="68">
        <v>0.72044234887410807</v>
      </c>
      <c r="AJ15" s="69">
        <v>232.93897247314453</v>
      </c>
      <c r="AK15" s="69">
        <v>890.18844655354849</v>
      </c>
      <c r="AL15" s="69">
        <v>3629.4383150736485</v>
      </c>
      <c r="AM15" s="69">
        <v>502.67459106445313</v>
      </c>
      <c r="AN15" s="69">
        <v>4730.8861083984375</v>
      </c>
      <c r="AO15" s="69">
        <v>2850.5500031789143</v>
      </c>
      <c r="AP15" s="69">
        <v>620.73954755465195</v>
      </c>
      <c r="AQ15" s="69">
        <v>4423.6557144165035</v>
      </c>
      <c r="AR15" s="69">
        <v>502.20026181538901</v>
      </c>
      <c r="AS15" s="69">
        <v>880.01840117772417</v>
      </c>
    </row>
    <row r="16" spans="1:49" x14ac:dyDescent="0.25">
      <c r="A16" s="11">
        <v>43290</v>
      </c>
      <c r="B16" s="59"/>
      <c r="C16" s="60">
        <v>86.132774829864516</v>
      </c>
      <c r="D16" s="60">
        <v>1384.2599959691354</v>
      </c>
      <c r="E16" s="60">
        <v>33.690982191264695</v>
      </c>
      <c r="F16" s="60">
        <v>0</v>
      </c>
      <c r="G16" s="60">
        <v>2802.3136858622265</v>
      </c>
      <c r="H16" s="61">
        <v>42.683280426263821</v>
      </c>
      <c r="I16" s="59">
        <v>255.08498713175419</v>
      </c>
      <c r="J16" s="60">
        <v>808.74960734049341</v>
      </c>
      <c r="K16" s="60">
        <v>44.360555154085148</v>
      </c>
      <c r="L16" s="60">
        <v>0</v>
      </c>
      <c r="M16" s="60">
        <v>0</v>
      </c>
      <c r="N16" s="61">
        <v>0</v>
      </c>
      <c r="O16" s="49">
        <v>0</v>
      </c>
      <c r="P16" s="50">
        <v>0</v>
      </c>
      <c r="Q16" s="50">
        <v>0</v>
      </c>
      <c r="R16" s="50">
        <v>0</v>
      </c>
      <c r="S16" s="60">
        <v>0</v>
      </c>
      <c r="T16" s="64">
        <v>0</v>
      </c>
      <c r="U16" s="65">
        <v>734.85696169703203</v>
      </c>
      <c r="V16" s="62">
        <v>280.83652292720137</v>
      </c>
      <c r="W16" s="62">
        <v>108.16657328470889</v>
      </c>
      <c r="X16" s="62">
        <v>41.337465549862863</v>
      </c>
      <c r="Y16" s="66">
        <v>418.44452864006456</v>
      </c>
      <c r="Z16" s="66">
        <v>159.91480326975051</v>
      </c>
      <c r="AA16" s="67">
        <v>0</v>
      </c>
      <c r="AB16" s="68">
        <v>240.14664457109274</v>
      </c>
      <c r="AC16" s="69">
        <v>0</v>
      </c>
      <c r="AD16" s="412">
        <v>25.427251750690608</v>
      </c>
      <c r="AE16" s="412">
        <v>9.7079414420623422</v>
      </c>
      <c r="AF16" s="69">
        <v>34.189157435629149</v>
      </c>
      <c r="AG16" s="68">
        <v>24.504034845399605</v>
      </c>
      <c r="AH16" s="68">
        <v>9.364581547648422</v>
      </c>
      <c r="AI16" s="68">
        <v>0.72350268345858315</v>
      </c>
      <c r="AJ16" s="69">
        <v>232.7789225737254</v>
      </c>
      <c r="AK16" s="69">
        <v>893.61488885879487</v>
      </c>
      <c r="AL16" s="69">
        <v>3321.150776672363</v>
      </c>
      <c r="AM16" s="69">
        <v>502.67459106445313</v>
      </c>
      <c r="AN16" s="69">
        <v>4730.8861083984375</v>
      </c>
      <c r="AO16" s="69">
        <v>2938.5437314351402</v>
      </c>
      <c r="AP16" s="69">
        <v>660.44582603772506</v>
      </c>
      <c r="AQ16" s="69">
        <v>4200.5148043314621</v>
      </c>
      <c r="AR16" s="69">
        <v>495.16851180394491</v>
      </c>
      <c r="AS16" s="69">
        <v>981.60629097620642</v>
      </c>
    </row>
    <row r="17" spans="1:45" x14ac:dyDescent="0.25">
      <c r="A17" s="11">
        <v>43291</v>
      </c>
      <c r="B17" s="49"/>
      <c r="C17" s="50">
        <v>86.594574848811405</v>
      </c>
      <c r="D17" s="50">
        <v>1384.7845073699968</v>
      </c>
      <c r="E17" s="50">
        <v>33.712042434513634</v>
      </c>
      <c r="F17" s="50">
        <v>0</v>
      </c>
      <c r="G17" s="50">
        <v>2781.691344579066</v>
      </c>
      <c r="H17" s="51">
        <v>42.652781216303474</v>
      </c>
      <c r="I17" s="49">
        <v>254.72901886304186</v>
      </c>
      <c r="J17" s="50">
        <v>808.41602509816448</v>
      </c>
      <c r="K17" s="50">
        <v>44.318953802188219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50">
        <v>0</v>
      </c>
      <c r="S17" s="50">
        <v>0</v>
      </c>
      <c r="T17" s="52">
        <v>0</v>
      </c>
      <c r="U17" s="71">
        <v>740.40747526907035</v>
      </c>
      <c r="V17" s="66">
        <v>288.79182278424747</v>
      </c>
      <c r="W17" s="62">
        <v>105.7576357586377</v>
      </c>
      <c r="X17" s="62">
        <v>41.250178346714144</v>
      </c>
      <c r="Y17" s="66">
        <v>424.46038661484772</v>
      </c>
      <c r="Z17" s="66">
        <v>165.55841593260712</v>
      </c>
      <c r="AA17" s="67">
        <v>0</v>
      </c>
      <c r="AB17" s="68">
        <v>240.17323313818954</v>
      </c>
      <c r="AC17" s="69">
        <v>0</v>
      </c>
      <c r="AD17" s="412">
        <v>25.416354933048801</v>
      </c>
      <c r="AE17" s="412">
        <v>9.7101593637210826</v>
      </c>
      <c r="AF17" s="69">
        <v>34.707009082370355</v>
      </c>
      <c r="AG17" s="68">
        <v>24.732685993169664</v>
      </c>
      <c r="AH17" s="68">
        <v>9.6468467822022106</v>
      </c>
      <c r="AI17" s="68">
        <v>0.71940145768610253</v>
      </c>
      <c r="AJ17" s="69">
        <v>232.60640028317769</v>
      </c>
      <c r="AK17" s="69">
        <v>898.13345413208015</v>
      </c>
      <c r="AL17" s="69">
        <v>3105.2453394571939</v>
      </c>
      <c r="AM17" s="69">
        <v>502.67459106445313</v>
      </c>
      <c r="AN17" s="69">
        <v>4730.8861083984375</v>
      </c>
      <c r="AO17" s="69">
        <v>2905.5401515960693</v>
      </c>
      <c r="AP17" s="69">
        <v>665.17482609748845</v>
      </c>
      <c r="AQ17" s="69">
        <v>4272.0047945658362</v>
      </c>
      <c r="AR17" s="69">
        <v>512.27221746444695</v>
      </c>
      <c r="AS17" s="69">
        <v>1063.5533474604288</v>
      </c>
    </row>
    <row r="18" spans="1:45" x14ac:dyDescent="0.25">
      <c r="A18" s="11">
        <v>43292</v>
      </c>
      <c r="B18" s="59"/>
      <c r="C18" s="60">
        <v>85.986269362767345</v>
      </c>
      <c r="D18" s="60">
        <v>1398.1600044886268</v>
      </c>
      <c r="E18" s="60">
        <v>33.697643807033728</v>
      </c>
      <c r="F18" s="60">
        <v>0</v>
      </c>
      <c r="G18" s="60">
        <v>2773.4098248799664</v>
      </c>
      <c r="H18" s="61">
        <v>42.630933117866576</v>
      </c>
      <c r="I18" s="59">
        <v>255.09012468655874</v>
      </c>
      <c r="J18" s="60">
        <v>808.68711280822799</v>
      </c>
      <c r="K18" s="60">
        <v>44.301485641797356</v>
      </c>
      <c r="L18" s="60">
        <v>0</v>
      </c>
      <c r="M18" s="60">
        <v>0</v>
      </c>
      <c r="N18" s="61">
        <v>0</v>
      </c>
      <c r="O18" s="49">
        <v>0</v>
      </c>
      <c r="P18" s="50">
        <v>0</v>
      </c>
      <c r="Q18" s="50">
        <v>0</v>
      </c>
      <c r="R18" s="50">
        <v>0</v>
      </c>
      <c r="S18" s="60">
        <v>0</v>
      </c>
      <c r="T18" s="64">
        <v>0</v>
      </c>
      <c r="U18" s="65">
        <v>743.42665239208657</v>
      </c>
      <c r="V18" s="62">
        <v>288.39430627524229</v>
      </c>
      <c r="W18" s="62">
        <v>108.50432732783334</v>
      </c>
      <c r="X18" s="62">
        <v>42.09161738671262</v>
      </c>
      <c r="Y18" s="66">
        <v>428.16857458956605</v>
      </c>
      <c r="Z18" s="66">
        <v>166.09759502204744</v>
      </c>
      <c r="AA18" s="67">
        <v>0</v>
      </c>
      <c r="AB18" s="68">
        <v>240.11681906382512</v>
      </c>
      <c r="AC18" s="69">
        <v>0</v>
      </c>
      <c r="AD18" s="412">
        <v>25.422947198346183</v>
      </c>
      <c r="AE18" s="412">
        <v>9.7026331744542045</v>
      </c>
      <c r="AF18" s="69">
        <v>34.823723794354336</v>
      </c>
      <c r="AG18" s="68">
        <v>24.854236238005765</v>
      </c>
      <c r="AH18" s="68">
        <v>9.6415970490123364</v>
      </c>
      <c r="AI18" s="68">
        <v>0.7204996624145682</v>
      </c>
      <c r="AJ18" s="69">
        <v>235.14240214029948</v>
      </c>
      <c r="AK18" s="69">
        <v>895.02582311630249</v>
      </c>
      <c r="AL18" s="69">
        <v>3076.9938144683833</v>
      </c>
      <c r="AM18" s="69">
        <v>502.67459106445313</v>
      </c>
      <c r="AN18" s="69">
        <v>4730.8861083984375</v>
      </c>
      <c r="AO18" s="69">
        <v>2823.612239583334</v>
      </c>
      <c r="AP18" s="69">
        <v>647.28259202639276</v>
      </c>
      <c r="AQ18" s="69">
        <v>4274.1123484293621</v>
      </c>
      <c r="AR18" s="69">
        <v>498.02079267501836</v>
      </c>
      <c r="AS18" s="69">
        <v>973.15316759745281</v>
      </c>
    </row>
    <row r="19" spans="1:45" x14ac:dyDescent="0.25">
      <c r="A19" s="11">
        <v>43293</v>
      </c>
      <c r="B19" s="59"/>
      <c r="C19" s="60">
        <v>85.244705239931704</v>
      </c>
      <c r="D19" s="60">
        <v>1425.7531240781143</v>
      </c>
      <c r="E19" s="60">
        <v>33.727406013508684</v>
      </c>
      <c r="F19" s="60">
        <v>0</v>
      </c>
      <c r="G19" s="60">
        <v>3407.2155711491869</v>
      </c>
      <c r="H19" s="61">
        <v>42.579050121704825</v>
      </c>
      <c r="I19" s="59">
        <v>258.41192717949531</v>
      </c>
      <c r="J19" s="60">
        <v>807.66628850300935</v>
      </c>
      <c r="K19" s="60">
        <v>44.138893640538043</v>
      </c>
      <c r="L19" s="60">
        <v>0</v>
      </c>
      <c r="M19" s="60">
        <v>0</v>
      </c>
      <c r="N19" s="61">
        <v>0</v>
      </c>
      <c r="O19" s="49">
        <v>0</v>
      </c>
      <c r="P19" s="50">
        <v>0</v>
      </c>
      <c r="Q19" s="50">
        <v>0</v>
      </c>
      <c r="R19" s="50">
        <v>0</v>
      </c>
      <c r="S19" s="60">
        <v>0</v>
      </c>
      <c r="T19" s="64">
        <v>0</v>
      </c>
      <c r="U19" s="65">
        <v>687.18376825729911</v>
      </c>
      <c r="V19" s="62">
        <v>267.99584871319388</v>
      </c>
      <c r="W19" s="62">
        <v>109.52648072257251</v>
      </c>
      <c r="X19" s="62">
        <v>42.71439971909335</v>
      </c>
      <c r="Y19" s="66">
        <v>424.92121613711527</v>
      </c>
      <c r="Z19" s="66">
        <v>165.71567492593945</v>
      </c>
      <c r="AA19" s="67">
        <v>0</v>
      </c>
      <c r="AB19" s="68">
        <v>240.2023108694311</v>
      </c>
      <c r="AC19" s="69">
        <v>0</v>
      </c>
      <c r="AD19" s="412">
        <v>25.432675810838845</v>
      </c>
      <c r="AE19" s="412">
        <v>9.7112878062039147</v>
      </c>
      <c r="AF19" s="69">
        <v>34.630415085289243</v>
      </c>
      <c r="AG19" s="68">
        <v>24.647817884911078</v>
      </c>
      <c r="AH19" s="68">
        <v>9.6124401915758177</v>
      </c>
      <c r="AI19" s="68">
        <v>0.71942884463637724</v>
      </c>
      <c r="AJ19" s="69">
        <v>241.03671685854593</v>
      </c>
      <c r="AK19" s="69">
        <v>884.67679297129303</v>
      </c>
      <c r="AL19" s="69">
        <v>3119.7200393676753</v>
      </c>
      <c r="AM19" s="69">
        <v>498.4335575580597</v>
      </c>
      <c r="AN19" s="69">
        <v>4685.8578941345213</v>
      </c>
      <c r="AO19" s="69">
        <v>2866.8137578328451</v>
      </c>
      <c r="AP19" s="69">
        <v>643.42356656392417</v>
      </c>
      <c r="AQ19" s="69">
        <v>4172.7969010670986</v>
      </c>
      <c r="AR19" s="69">
        <v>489.17495249112454</v>
      </c>
      <c r="AS19" s="69">
        <v>943.67601118087771</v>
      </c>
    </row>
    <row r="20" spans="1:45" x14ac:dyDescent="0.25">
      <c r="A20" s="11">
        <v>43294</v>
      </c>
      <c r="B20" s="59"/>
      <c r="C20" s="60">
        <v>86.12928092082285</v>
      </c>
      <c r="D20" s="60">
        <v>1435.1702689488743</v>
      </c>
      <c r="E20" s="60">
        <v>33.507381304601921</v>
      </c>
      <c r="F20" s="60">
        <v>0</v>
      </c>
      <c r="G20" s="60">
        <v>3448.2435442606607</v>
      </c>
      <c r="H20" s="61">
        <v>42.67835774421691</v>
      </c>
      <c r="I20" s="59">
        <v>258.9082800944642</v>
      </c>
      <c r="J20" s="60">
        <v>808.94338843027754</v>
      </c>
      <c r="K20" s="60">
        <v>44.382164371013616</v>
      </c>
      <c r="L20" s="60">
        <v>0</v>
      </c>
      <c r="M20" s="60">
        <v>0</v>
      </c>
      <c r="N20" s="61">
        <v>0</v>
      </c>
      <c r="O20" s="49">
        <v>0</v>
      </c>
      <c r="P20" s="50">
        <v>0</v>
      </c>
      <c r="Q20" s="50">
        <v>0</v>
      </c>
      <c r="R20" s="50">
        <v>0</v>
      </c>
      <c r="S20" s="60">
        <v>0</v>
      </c>
      <c r="T20" s="64">
        <v>0</v>
      </c>
      <c r="U20" s="65">
        <v>681.5391640481929</v>
      </c>
      <c r="V20" s="62">
        <v>260.21660678344682</v>
      </c>
      <c r="W20" s="62">
        <v>109.06527460418326</v>
      </c>
      <c r="X20" s="62">
        <v>41.641914614019981</v>
      </c>
      <c r="Y20" s="66">
        <v>433.68255503770217</v>
      </c>
      <c r="Z20" s="66">
        <v>165.58315185113315</v>
      </c>
      <c r="AA20" s="67">
        <v>0</v>
      </c>
      <c r="AB20" s="68">
        <v>240.33925633960641</v>
      </c>
      <c r="AC20" s="69">
        <v>0</v>
      </c>
      <c r="AD20" s="412">
        <v>25.434766742965479</v>
      </c>
      <c r="AE20" s="412">
        <v>9.7086273858057268</v>
      </c>
      <c r="AF20" s="69">
        <v>34.693837368488332</v>
      </c>
      <c r="AG20" s="68">
        <v>24.860701823959207</v>
      </c>
      <c r="AH20" s="68">
        <v>9.4919966630534862</v>
      </c>
      <c r="AI20" s="68">
        <v>0.72368992594156722</v>
      </c>
      <c r="AJ20" s="69">
        <v>242.31429290771484</v>
      </c>
      <c r="AK20" s="69">
        <v>880.27271966934211</v>
      </c>
      <c r="AL20" s="69">
        <v>3074.1158538818358</v>
      </c>
      <c r="AM20" s="69">
        <v>163.39191055297852</v>
      </c>
      <c r="AN20" s="69">
        <v>1128.6289672851563</v>
      </c>
      <c r="AO20" s="69">
        <v>2854.8368319193532</v>
      </c>
      <c r="AP20" s="69">
        <v>635.46614173253386</v>
      </c>
      <c r="AQ20" s="69">
        <v>4181.545170084637</v>
      </c>
      <c r="AR20" s="69">
        <v>479.90935888290409</v>
      </c>
      <c r="AS20" s="69">
        <v>933.04527600606264</v>
      </c>
    </row>
    <row r="21" spans="1:45" x14ac:dyDescent="0.25">
      <c r="A21" s="11">
        <v>43295</v>
      </c>
      <c r="B21" s="59"/>
      <c r="C21" s="60">
        <v>85.993987162907104</v>
      </c>
      <c r="D21" s="60">
        <v>1434.6184868494647</v>
      </c>
      <c r="E21" s="60">
        <v>33.378221636513899</v>
      </c>
      <c r="F21" s="60">
        <v>0</v>
      </c>
      <c r="G21" s="60">
        <v>3321.0039730071985</v>
      </c>
      <c r="H21" s="61">
        <v>42.653744798898721</v>
      </c>
      <c r="I21" s="59">
        <v>263.30390375455164</v>
      </c>
      <c r="J21" s="60">
        <v>809.56967010497965</v>
      </c>
      <c r="K21" s="60">
        <v>44.299268720547381</v>
      </c>
      <c r="L21" s="60">
        <v>0</v>
      </c>
      <c r="M21" s="60">
        <v>0</v>
      </c>
      <c r="N21" s="61">
        <v>0</v>
      </c>
      <c r="O21" s="49">
        <v>0</v>
      </c>
      <c r="P21" s="50">
        <v>0</v>
      </c>
      <c r="Q21" s="50">
        <v>0</v>
      </c>
      <c r="R21" s="50">
        <v>0</v>
      </c>
      <c r="S21" s="60">
        <v>0</v>
      </c>
      <c r="T21" s="64">
        <v>0</v>
      </c>
      <c r="U21" s="65">
        <v>679.27126602227065</v>
      </c>
      <c r="V21" s="62">
        <v>264.81301725545126</v>
      </c>
      <c r="W21" s="62">
        <v>107.766028746893</v>
      </c>
      <c r="X21" s="62">
        <v>42.012445774744123</v>
      </c>
      <c r="Y21" s="66">
        <v>425.40342810166226</v>
      </c>
      <c r="Z21" s="66">
        <v>165.84297169832027</v>
      </c>
      <c r="AA21" s="67">
        <v>0</v>
      </c>
      <c r="AB21" s="68">
        <v>240.40384685728523</v>
      </c>
      <c r="AC21" s="69">
        <v>0</v>
      </c>
      <c r="AD21" s="412">
        <v>25.455573829013225</v>
      </c>
      <c r="AE21" s="412">
        <v>9.7048912130934966</v>
      </c>
      <c r="AF21" s="69">
        <v>34.564507416884098</v>
      </c>
      <c r="AG21" s="68">
        <v>24.621044827476346</v>
      </c>
      <c r="AH21" s="68">
        <v>9.5984822189313164</v>
      </c>
      <c r="AI21" s="68">
        <v>0.71950277962889142</v>
      </c>
      <c r="AJ21" s="69">
        <v>242.16787819862367</v>
      </c>
      <c r="AK21" s="69">
        <v>903.76161518096922</v>
      </c>
      <c r="AL21" s="69">
        <v>3167.2557294209796</v>
      </c>
      <c r="AM21" s="69">
        <v>348.39527693589525</v>
      </c>
      <c r="AN21" s="69">
        <v>1128.6289672851563</v>
      </c>
      <c r="AO21" s="69">
        <v>2806.1044621785491</v>
      </c>
      <c r="AP21" s="69">
        <v>642.27950533231103</v>
      </c>
      <c r="AQ21" s="69">
        <v>4180.759729385376</v>
      </c>
      <c r="AR21" s="69">
        <v>498.51816269556684</v>
      </c>
      <c r="AS21" s="69">
        <v>980.18815126419042</v>
      </c>
    </row>
    <row r="22" spans="1:45" x14ac:dyDescent="0.25">
      <c r="A22" s="11">
        <v>43296</v>
      </c>
      <c r="B22" s="59"/>
      <c r="C22" s="60">
        <v>85.405045815309251</v>
      </c>
      <c r="D22" s="60">
        <v>1433.7550828297956</v>
      </c>
      <c r="E22" s="60">
        <v>33.225870416065078</v>
      </c>
      <c r="F22" s="60">
        <v>0</v>
      </c>
      <c r="G22" s="60">
        <v>3365.9007109324225</v>
      </c>
      <c r="H22" s="61">
        <v>42.631628509362571</v>
      </c>
      <c r="I22" s="59">
        <v>263.73486537933337</v>
      </c>
      <c r="J22" s="60">
        <v>809.75150744120322</v>
      </c>
      <c r="K22" s="60">
        <v>44.340643533070882</v>
      </c>
      <c r="L22" s="60">
        <v>0</v>
      </c>
      <c r="M22" s="60">
        <v>0</v>
      </c>
      <c r="N22" s="61">
        <v>0</v>
      </c>
      <c r="O22" s="49">
        <v>0</v>
      </c>
      <c r="P22" s="50">
        <v>0</v>
      </c>
      <c r="Q22" s="50">
        <v>0</v>
      </c>
      <c r="R22" s="50">
        <v>0</v>
      </c>
      <c r="S22" s="60">
        <v>0</v>
      </c>
      <c r="T22" s="64">
        <v>0</v>
      </c>
      <c r="U22" s="65">
        <v>723.84836746433098</v>
      </c>
      <c r="V22" s="62">
        <v>282.22210326083376</v>
      </c>
      <c r="W22" s="62">
        <v>108.94064475243475</v>
      </c>
      <c r="X22" s="62">
        <v>42.474997906434439</v>
      </c>
      <c r="Y22" s="66">
        <v>423.93929119759196</v>
      </c>
      <c r="Z22" s="66">
        <v>165.29019584006619</v>
      </c>
      <c r="AA22" s="67">
        <v>0</v>
      </c>
      <c r="AB22" s="68">
        <v>240.41593169106494</v>
      </c>
      <c r="AC22" s="69">
        <v>0</v>
      </c>
      <c r="AD22" s="412">
        <v>25.462699287559321</v>
      </c>
      <c r="AE22" s="412">
        <v>9.6991273722196016</v>
      </c>
      <c r="AF22" s="69">
        <v>34.372057162390774</v>
      </c>
      <c r="AG22" s="68">
        <v>24.449956619771683</v>
      </c>
      <c r="AH22" s="68">
        <v>9.5328227457916288</v>
      </c>
      <c r="AI22" s="68">
        <v>0.71948078044929487</v>
      </c>
      <c r="AJ22" s="69">
        <v>241.91789245605469</v>
      </c>
      <c r="AK22" s="69">
        <v>884.10700314839687</v>
      </c>
      <c r="AL22" s="69">
        <v>3023.9661439259844</v>
      </c>
      <c r="AM22" s="69">
        <v>499.33749389648438</v>
      </c>
      <c r="AN22" s="69">
        <v>1128.6289672851563</v>
      </c>
      <c r="AO22" s="69">
        <v>2806.9405184427901</v>
      </c>
      <c r="AP22" s="69">
        <v>578.59877721468604</v>
      </c>
      <c r="AQ22" s="69">
        <v>4200.494477081299</v>
      </c>
      <c r="AR22" s="69">
        <v>475.06028254826856</v>
      </c>
      <c r="AS22" s="69">
        <v>830.62082732518525</v>
      </c>
    </row>
    <row r="23" spans="1:45" x14ac:dyDescent="0.25">
      <c r="A23" s="11">
        <v>43297</v>
      </c>
      <c r="B23" s="59"/>
      <c r="C23" s="60">
        <v>85.161166179180597</v>
      </c>
      <c r="D23" s="60">
        <v>1433.8118613561001</v>
      </c>
      <c r="E23" s="60">
        <v>33.256526208420603</v>
      </c>
      <c r="F23" s="60">
        <v>0</v>
      </c>
      <c r="G23" s="60">
        <v>3308.6297941843686</v>
      </c>
      <c r="H23" s="61">
        <v>42.530019338925662</v>
      </c>
      <c r="I23" s="59">
        <v>242.38619091908106</v>
      </c>
      <c r="J23" s="60">
        <v>606.83667583465785</v>
      </c>
      <c r="K23" s="60">
        <v>33.131030129889666</v>
      </c>
      <c r="L23" s="60">
        <v>0</v>
      </c>
      <c r="M23" s="60">
        <v>0</v>
      </c>
      <c r="N23" s="61">
        <v>0</v>
      </c>
      <c r="O23" s="49">
        <v>0</v>
      </c>
      <c r="P23" s="50">
        <v>0</v>
      </c>
      <c r="Q23" s="50">
        <v>0</v>
      </c>
      <c r="R23" s="50">
        <v>0</v>
      </c>
      <c r="S23" s="60">
        <v>0</v>
      </c>
      <c r="T23" s="64">
        <v>0</v>
      </c>
      <c r="U23" s="65">
        <v>534.7395062274627</v>
      </c>
      <c r="V23" s="62">
        <v>285.3167379233314</v>
      </c>
      <c r="W23" s="62">
        <v>81.46253471955545</v>
      </c>
      <c r="X23" s="62">
        <v>43.465321709862501</v>
      </c>
      <c r="Y23" s="66">
        <v>306.15566335781227</v>
      </c>
      <c r="Z23" s="66">
        <v>163.35306097404344</v>
      </c>
      <c r="AA23" s="67">
        <v>0</v>
      </c>
      <c r="AB23" s="68">
        <v>189.47427608702009</v>
      </c>
      <c r="AC23" s="69">
        <v>0</v>
      </c>
      <c r="AD23" s="412">
        <v>19.075437894768783</v>
      </c>
      <c r="AE23" s="412">
        <v>9.6988509448654323</v>
      </c>
      <c r="AF23" s="69">
        <v>28.127787988715689</v>
      </c>
      <c r="AG23" s="68">
        <v>18.054906570358192</v>
      </c>
      <c r="AH23" s="68">
        <v>9.6334140009731772</v>
      </c>
      <c r="AI23" s="68">
        <v>0.65207662284336365</v>
      </c>
      <c r="AJ23" s="69">
        <v>241.91789245605469</v>
      </c>
      <c r="AK23" s="69">
        <v>859.22820545832315</v>
      </c>
      <c r="AL23" s="69">
        <v>3110.8471862792967</v>
      </c>
      <c r="AM23" s="69">
        <v>499.33749389648438</v>
      </c>
      <c r="AN23" s="69">
        <v>1128.6289672851563</v>
      </c>
      <c r="AO23" s="69">
        <v>2794.4010906219482</v>
      </c>
      <c r="AP23" s="69">
        <v>534.98346578280143</v>
      </c>
      <c r="AQ23" s="69">
        <v>3558.5321584065755</v>
      </c>
      <c r="AR23" s="69">
        <v>456.28952147165944</v>
      </c>
      <c r="AS23" s="69">
        <v>901.56551742553722</v>
      </c>
    </row>
    <row r="24" spans="1:45" x14ac:dyDescent="0.25">
      <c r="A24" s="11">
        <v>43298</v>
      </c>
      <c r="B24" s="59"/>
      <c r="C24" s="60">
        <v>84.931370290120896</v>
      </c>
      <c r="D24" s="60">
        <v>1433.6461634953821</v>
      </c>
      <c r="E24" s="60">
        <v>33.318201483289407</v>
      </c>
      <c r="F24" s="60">
        <v>0</v>
      </c>
      <c r="G24" s="60">
        <v>2677.2051639556908</v>
      </c>
      <c r="H24" s="61">
        <v>42.548943324883844</v>
      </c>
      <c r="I24" s="59">
        <v>256.44165994326261</v>
      </c>
      <c r="J24" s="60">
        <v>695.84316749572747</v>
      </c>
      <c r="K24" s="60">
        <v>38.048000537355691</v>
      </c>
      <c r="L24" s="60">
        <v>0</v>
      </c>
      <c r="M24" s="60">
        <v>0</v>
      </c>
      <c r="N24" s="61">
        <v>0</v>
      </c>
      <c r="O24" s="49">
        <v>0</v>
      </c>
      <c r="P24" s="60">
        <v>0</v>
      </c>
      <c r="Q24" s="50">
        <v>0</v>
      </c>
      <c r="R24" s="50">
        <v>0</v>
      </c>
      <c r="S24" s="60">
        <v>0</v>
      </c>
      <c r="T24" s="64">
        <v>0</v>
      </c>
      <c r="U24" s="65">
        <v>589.14591064707554</v>
      </c>
      <c r="V24" s="62">
        <v>269.00950766415076</v>
      </c>
      <c r="W24" s="62">
        <v>93.960823816546409</v>
      </c>
      <c r="X24" s="62">
        <v>42.903386916231717</v>
      </c>
      <c r="Y24" s="66">
        <v>348.80043191031234</v>
      </c>
      <c r="Z24" s="66">
        <v>159.26552449151254</v>
      </c>
      <c r="AA24" s="67">
        <v>0</v>
      </c>
      <c r="AB24" s="68">
        <v>186.5689837243809</v>
      </c>
      <c r="AC24" s="69">
        <v>0</v>
      </c>
      <c r="AD24" s="412">
        <v>21.880725461838026</v>
      </c>
      <c r="AE24" s="412">
        <v>9.6979599021897247</v>
      </c>
      <c r="AF24" s="69">
        <v>31.214092387093419</v>
      </c>
      <c r="AG24" s="68">
        <v>21.135617738494176</v>
      </c>
      <c r="AH24" s="68">
        <v>9.6507198289219502</v>
      </c>
      <c r="AI24" s="68">
        <v>0.68652588805704029</v>
      </c>
      <c r="AJ24" s="69">
        <v>241.91789245605469</v>
      </c>
      <c r="AK24" s="69">
        <v>881.29315271377561</v>
      </c>
      <c r="AL24" s="69">
        <v>3061.2482477823892</v>
      </c>
      <c r="AM24" s="69">
        <v>499.33749389648438</v>
      </c>
      <c r="AN24" s="69">
        <v>1128.6289672851563</v>
      </c>
      <c r="AO24" s="69">
        <v>2777.7367818196612</v>
      </c>
      <c r="AP24" s="69">
        <v>548.78151267369594</v>
      </c>
      <c r="AQ24" s="69">
        <v>3745.0559488932295</v>
      </c>
      <c r="AR24" s="69">
        <v>461.91777880986541</v>
      </c>
      <c r="AS24" s="69">
        <v>912.12148529688511</v>
      </c>
    </row>
    <row r="25" spans="1:45" x14ac:dyDescent="0.25">
      <c r="A25" s="11">
        <v>43299</v>
      </c>
      <c r="B25" s="59"/>
      <c r="C25" s="60">
        <v>85.884732286134536</v>
      </c>
      <c r="D25" s="60">
        <v>1436.2648410797121</v>
      </c>
      <c r="E25" s="60">
        <v>33.614021941026031</v>
      </c>
      <c r="F25" s="60">
        <v>0</v>
      </c>
      <c r="G25" s="60">
        <v>2631.9732518514006</v>
      </c>
      <c r="H25" s="61">
        <v>42.667941313982148</v>
      </c>
      <c r="I25" s="59">
        <v>261.15799136161803</v>
      </c>
      <c r="J25" s="60">
        <v>733.00783007939572</v>
      </c>
      <c r="K25" s="60">
        <v>40.101484365264568</v>
      </c>
      <c r="L25" s="60">
        <v>0</v>
      </c>
      <c r="M25" s="60">
        <v>0</v>
      </c>
      <c r="N25" s="61">
        <v>0</v>
      </c>
      <c r="O25" s="49">
        <v>0</v>
      </c>
      <c r="P25" s="60">
        <v>0</v>
      </c>
      <c r="Q25" s="50">
        <v>0</v>
      </c>
      <c r="R25" s="50">
        <v>0</v>
      </c>
      <c r="S25" s="60">
        <v>0</v>
      </c>
      <c r="T25" s="64">
        <v>0</v>
      </c>
      <c r="U25" s="65">
        <v>607.68054199163305</v>
      </c>
      <c r="V25" s="62">
        <v>256.6477962075615</v>
      </c>
      <c r="W25" s="62">
        <v>97.399744758236963</v>
      </c>
      <c r="X25" s="62">
        <v>41.13580757654848</v>
      </c>
      <c r="Y25" s="66">
        <v>365.32926847990592</v>
      </c>
      <c r="Z25" s="66">
        <v>154.29316090686902</v>
      </c>
      <c r="AA25" s="67">
        <v>0</v>
      </c>
      <c r="AB25" s="68">
        <v>190.66739966074709</v>
      </c>
      <c r="AC25" s="69">
        <v>0</v>
      </c>
      <c r="AD25" s="412">
        <v>23.046106870608305</v>
      </c>
      <c r="AE25" s="412">
        <v>9.715735883627584</v>
      </c>
      <c r="AF25" s="69">
        <v>31.95395685831711</v>
      </c>
      <c r="AG25" s="68">
        <v>22.152609347634211</v>
      </c>
      <c r="AH25" s="68">
        <v>9.355932889810429</v>
      </c>
      <c r="AI25" s="68">
        <v>0.70306678045257609</v>
      </c>
      <c r="AJ25" s="69">
        <v>241.32284835179647</v>
      </c>
      <c r="AK25" s="69">
        <v>876.14023650487263</v>
      </c>
      <c r="AL25" s="69">
        <v>3107.4963816324871</v>
      </c>
      <c r="AM25" s="69">
        <v>512.44999361038208</v>
      </c>
      <c r="AN25" s="69">
        <v>1128.6289672851563</v>
      </c>
      <c r="AO25" s="69">
        <v>2804.2011746724443</v>
      </c>
      <c r="AP25" s="69">
        <v>576.61794619560237</v>
      </c>
      <c r="AQ25" s="69">
        <v>3923.7427532196043</v>
      </c>
      <c r="AR25" s="69">
        <v>480.40739316940301</v>
      </c>
      <c r="AS25" s="69">
        <v>990.06914361317934</v>
      </c>
    </row>
    <row r="26" spans="1:45" x14ac:dyDescent="0.25">
      <c r="A26" s="11">
        <v>43300</v>
      </c>
      <c r="B26" s="59"/>
      <c r="C26" s="60">
        <v>85.303538219133827</v>
      </c>
      <c r="D26" s="60">
        <v>1436.1066360473626</v>
      </c>
      <c r="E26" s="60">
        <v>33.771716661751285</v>
      </c>
      <c r="F26" s="60">
        <v>0</v>
      </c>
      <c r="G26" s="60">
        <v>2636.0607156117826</v>
      </c>
      <c r="H26" s="61">
        <v>42.478242603937879</v>
      </c>
      <c r="I26" s="59">
        <v>260.99729917844138</v>
      </c>
      <c r="J26" s="60">
        <v>732.81841580072933</v>
      </c>
      <c r="K26" s="60">
        <v>40.139796837170877</v>
      </c>
      <c r="L26" s="60">
        <v>0</v>
      </c>
      <c r="M26" s="60">
        <v>0</v>
      </c>
      <c r="N26" s="61">
        <v>0</v>
      </c>
      <c r="O26" s="49">
        <v>0</v>
      </c>
      <c r="P26" s="60">
        <v>0</v>
      </c>
      <c r="Q26" s="50">
        <v>0</v>
      </c>
      <c r="R26" s="50">
        <v>0</v>
      </c>
      <c r="S26" s="60">
        <v>0</v>
      </c>
      <c r="T26" s="64">
        <v>0</v>
      </c>
      <c r="U26" s="65">
        <v>617.02099828348923</v>
      </c>
      <c r="V26" s="62">
        <v>254.67669162061938</v>
      </c>
      <c r="W26" s="62">
        <v>98.731236725794773</v>
      </c>
      <c r="X26" s="62">
        <v>40.751521907500766</v>
      </c>
      <c r="Y26" s="66">
        <v>375.73107761841999</v>
      </c>
      <c r="Z26" s="66">
        <v>155.08377843397926</v>
      </c>
      <c r="AA26" s="67">
        <v>0</v>
      </c>
      <c r="AB26" s="68">
        <v>190.60361584557344</v>
      </c>
      <c r="AC26" s="69">
        <v>0</v>
      </c>
      <c r="AD26" s="412">
        <v>23.040603767259796</v>
      </c>
      <c r="AE26" s="412">
        <v>9.7144004673272253</v>
      </c>
      <c r="AF26" s="69">
        <v>32.086789502037874</v>
      </c>
      <c r="AG26" s="68">
        <v>22.402796197409465</v>
      </c>
      <c r="AH26" s="68">
        <v>9.2468004078944901</v>
      </c>
      <c r="AI26" s="68">
        <v>0.70783828548560779</v>
      </c>
      <c r="AJ26" s="69">
        <v>237.64286648432414</v>
      </c>
      <c r="AK26" s="69">
        <v>892.78155701955166</v>
      </c>
      <c r="AL26" s="69">
        <v>3170.093851216634</v>
      </c>
      <c r="AM26" s="69">
        <v>565.12843322753906</v>
      </c>
      <c r="AN26" s="69">
        <v>1128.6289672851563</v>
      </c>
      <c r="AO26" s="69">
        <v>2835.7824765523278</v>
      </c>
      <c r="AP26" s="69">
        <v>606.14504496256507</v>
      </c>
      <c r="AQ26" s="69">
        <v>3908.2287396748852</v>
      </c>
      <c r="AR26" s="69">
        <v>495.18850498199464</v>
      </c>
      <c r="AS26" s="69">
        <v>938.462913131714</v>
      </c>
    </row>
    <row r="27" spans="1:45" x14ac:dyDescent="0.25">
      <c r="A27" s="11">
        <v>43301</v>
      </c>
      <c r="B27" s="59"/>
      <c r="C27" s="60">
        <v>85.066283285616507</v>
      </c>
      <c r="D27" s="60">
        <v>1436.0157026290867</v>
      </c>
      <c r="E27" s="60">
        <v>33.947906719148222</v>
      </c>
      <c r="F27" s="60">
        <v>0</v>
      </c>
      <c r="G27" s="60">
        <v>2635.6266946156838</v>
      </c>
      <c r="H27" s="61">
        <v>42.74845133821173</v>
      </c>
      <c r="I27" s="59">
        <v>261.15576461156206</v>
      </c>
      <c r="J27" s="60">
        <v>732.93591642379704</v>
      </c>
      <c r="K27" s="60">
        <v>40.091712236404426</v>
      </c>
      <c r="L27" s="60">
        <v>0</v>
      </c>
      <c r="M27" s="60">
        <v>0</v>
      </c>
      <c r="N27" s="61">
        <v>0</v>
      </c>
      <c r="O27" s="49">
        <v>0</v>
      </c>
      <c r="P27" s="60">
        <v>0</v>
      </c>
      <c r="Q27" s="50">
        <v>0</v>
      </c>
      <c r="R27" s="50">
        <v>0</v>
      </c>
      <c r="S27" s="60">
        <v>0</v>
      </c>
      <c r="T27" s="64">
        <v>0</v>
      </c>
      <c r="U27" s="65">
        <v>614.01740325580636</v>
      </c>
      <c r="V27" s="62">
        <v>264.68993990928016</v>
      </c>
      <c r="W27" s="62">
        <v>98.364216901952446</v>
      </c>
      <c r="X27" s="62">
        <v>42.402737321362693</v>
      </c>
      <c r="Y27" s="62">
        <v>384.93093371928416</v>
      </c>
      <c r="Z27" s="62">
        <v>165.93559917866534</v>
      </c>
      <c r="AA27" s="72">
        <v>0</v>
      </c>
      <c r="AB27" s="69">
        <v>190.72289512422196</v>
      </c>
      <c r="AC27" s="69">
        <v>0</v>
      </c>
      <c r="AD27" s="412">
        <v>23.047096157666672</v>
      </c>
      <c r="AE27" s="412">
        <v>9.7139902522436419</v>
      </c>
      <c r="AF27" s="69">
        <v>32.464180714554239</v>
      </c>
      <c r="AG27" s="69">
        <v>22.380644591686909</v>
      </c>
      <c r="AH27" s="69">
        <v>9.6478234015731736</v>
      </c>
      <c r="AI27" s="69">
        <v>0.69877349726488891</v>
      </c>
      <c r="AJ27" s="69">
        <v>232.90824611981711</v>
      </c>
      <c r="AK27" s="69">
        <v>891.62180080413805</v>
      </c>
      <c r="AL27" s="69">
        <v>3129.2949996948246</v>
      </c>
      <c r="AM27" s="69">
        <v>565.12843322753906</v>
      </c>
      <c r="AN27" s="69">
        <v>1128.6289672851563</v>
      </c>
      <c r="AO27" s="69">
        <v>2844.0313664754226</v>
      </c>
      <c r="AP27" s="69">
        <v>624.38350435892744</v>
      </c>
      <c r="AQ27" s="69">
        <v>3971.0907784779861</v>
      </c>
      <c r="AR27" s="69">
        <v>500.92054713567086</v>
      </c>
      <c r="AS27" s="69">
        <v>962.39860734939577</v>
      </c>
    </row>
    <row r="28" spans="1:45" x14ac:dyDescent="0.25">
      <c r="A28" s="11">
        <v>43302</v>
      </c>
      <c r="B28" s="59"/>
      <c r="C28" s="60">
        <v>85.482522634664178</v>
      </c>
      <c r="D28" s="60">
        <v>1436.8010417938235</v>
      </c>
      <c r="E28" s="60">
        <v>33.734836259484297</v>
      </c>
      <c r="F28" s="60">
        <v>0</v>
      </c>
      <c r="G28" s="60">
        <v>2683.4769972483286</v>
      </c>
      <c r="H28" s="61">
        <v>42.809715924660438</v>
      </c>
      <c r="I28" s="59">
        <v>260.41450403531388</v>
      </c>
      <c r="J28" s="60">
        <v>731.76489051183012</v>
      </c>
      <c r="K28" s="60">
        <v>40.030184975266451</v>
      </c>
      <c r="L28" s="60">
        <v>0</v>
      </c>
      <c r="M28" s="60">
        <v>0</v>
      </c>
      <c r="N28" s="61">
        <v>0</v>
      </c>
      <c r="O28" s="49">
        <v>0</v>
      </c>
      <c r="P28" s="60">
        <v>0</v>
      </c>
      <c r="Q28" s="50">
        <v>0</v>
      </c>
      <c r="R28" s="50">
        <v>0</v>
      </c>
      <c r="S28" s="60">
        <v>0</v>
      </c>
      <c r="T28" s="64">
        <v>0</v>
      </c>
      <c r="U28" s="65">
        <v>610.46456737577103</v>
      </c>
      <c r="V28" s="62">
        <v>264.75583409145207</v>
      </c>
      <c r="W28" s="62">
        <v>93.65000606846705</v>
      </c>
      <c r="X28" s="62">
        <v>40.615601288558288</v>
      </c>
      <c r="Y28" s="66">
        <v>375.68660633144384</v>
      </c>
      <c r="Z28" s="66">
        <v>162.93365107797104</v>
      </c>
      <c r="AA28" s="67">
        <v>0</v>
      </c>
      <c r="AB28" s="68">
        <v>190.36313071780862</v>
      </c>
      <c r="AC28" s="69">
        <v>0</v>
      </c>
      <c r="AD28" s="412">
        <v>23.005531891558675</v>
      </c>
      <c r="AE28" s="412">
        <v>9.7196652880633199</v>
      </c>
      <c r="AF28" s="69">
        <v>32.192070466942297</v>
      </c>
      <c r="AG28" s="68">
        <v>22.172864098535548</v>
      </c>
      <c r="AH28" s="68">
        <v>9.6162749524341766</v>
      </c>
      <c r="AI28" s="68">
        <v>0.69749810030980275</v>
      </c>
      <c r="AJ28" s="69">
        <v>230.584641456604</v>
      </c>
      <c r="AK28" s="69">
        <v>897.47013003031418</v>
      </c>
      <c r="AL28" s="69">
        <v>3537.9944043477381</v>
      </c>
      <c r="AM28" s="69">
        <v>565.12843322753906</v>
      </c>
      <c r="AN28" s="69">
        <v>1128.6289672851563</v>
      </c>
      <c r="AO28" s="69">
        <v>2809.523245112101</v>
      </c>
      <c r="AP28" s="69">
        <v>872.76929326057439</v>
      </c>
      <c r="AQ28" s="69">
        <v>3972.2154338836663</v>
      </c>
      <c r="AR28" s="69">
        <v>519.76401062011723</v>
      </c>
      <c r="AS28" s="69">
        <v>889.74537143707255</v>
      </c>
    </row>
    <row r="29" spans="1:45" x14ac:dyDescent="0.25">
      <c r="A29" s="11">
        <v>43303</v>
      </c>
      <c r="B29" s="59"/>
      <c r="C29" s="60">
        <v>85.850113228955848</v>
      </c>
      <c r="D29" s="60">
        <v>1439.4655731201137</v>
      </c>
      <c r="E29" s="60">
        <v>33.897771060963493</v>
      </c>
      <c r="F29" s="60">
        <v>0</v>
      </c>
      <c r="G29" s="60">
        <v>2798.9562160491978</v>
      </c>
      <c r="H29" s="61">
        <v>42.850220910708231</v>
      </c>
      <c r="I29" s="59">
        <v>259.58634934425345</v>
      </c>
      <c r="J29" s="60">
        <v>728.92338997522938</v>
      </c>
      <c r="K29" s="60">
        <v>39.871889291206926</v>
      </c>
      <c r="L29" s="60">
        <v>0</v>
      </c>
      <c r="M29" s="60">
        <v>0</v>
      </c>
      <c r="N29" s="61">
        <v>0</v>
      </c>
      <c r="O29" s="49">
        <v>0</v>
      </c>
      <c r="P29" s="60">
        <v>0</v>
      </c>
      <c r="Q29" s="50">
        <v>0</v>
      </c>
      <c r="R29" s="50">
        <v>0</v>
      </c>
      <c r="S29" s="60">
        <v>0</v>
      </c>
      <c r="T29" s="64">
        <v>0</v>
      </c>
      <c r="U29" s="65">
        <v>657.81486768536513</v>
      </c>
      <c r="V29" s="62">
        <v>280.50744074902025</v>
      </c>
      <c r="W29" s="62">
        <v>95.953821668211702</v>
      </c>
      <c r="X29" s="62">
        <v>40.916923998610258</v>
      </c>
      <c r="Y29" s="66">
        <v>374.45732928793979</v>
      </c>
      <c r="Z29" s="66">
        <v>159.67724700091938</v>
      </c>
      <c r="AA29" s="67">
        <v>0</v>
      </c>
      <c r="AB29" s="68">
        <v>189.98657300737176</v>
      </c>
      <c r="AC29" s="69">
        <v>0</v>
      </c>
      <c r="AD29" s="412">
        <v>22.916986465613704</v>
      </c>
      <c r="AE29" s="412">
        <v>9.7373561360696232</v>
      </c>
      <c r="AF29" s="69">
        <v>31.701021840837218</v>
      </c>
      <c r="AG29" s="68">
        <v>21.992016806272233</v>
      </c>
      <c r="AH29" s="68">
        <v>9.3779035018519572</v>
      </c>
      <c r="AI29" s="68">
        <v>0.70105427716297819</v>
      </c>
      <c r="AJ29" s="69">
        <v>237.79538726806641</v>
      </c>
      <c r="AK29" s="69">
        <v>894.00974238713593</v>
      </c>
      <c r="AL29" s="69">
        <v>3055.3400255839028</v>
      </c>
      <c r="AM29" s="69">
        <v>565.12843322753906</v>
      </c>
      <c r="AN29" s="69">
        <v>1128.6289672851563</v>
      </c>
      <c r="AO29" s="69">
        <v>2841.5269051869709</v>
      </c>
      <c r="AP29" s="69">
        <v>1135.0767784118652</v>
      </c>
      <c r="AQ29" s="69">
        <v>3852.8647844950365</v>
      </c>
      <c r="AR29" s="69">
        <v>505.52882375717161</v>
      </c>
      <c r="AS29" s="69">
        <v>840.80572547912573</v>
      </c>
    </row>
    <row r="30" spans="1:45" x14ac:dyDescent="0.25">
      <c r="A30" s="11">
        <v>43304</v>
      </c>
      <c r="B30" s="59"/>
      <c r="C30" s="60">
        <v>85.841489799816856</v>
      </c>
      <c r="D30" s="60">
        <v>1439.5939650853497</v>
      </c>
      <c r="E30" s="60">
        <v>33.376798429588582</v>
      </c>
      <c r="F30" s="60">
        <v>0</v>
      </c>
      <c r="G30" s="60">
        <v>2820.656577046715</v>
      </c>
      <c r="H30" s="61">
        <v>42.865077865123801</v>
      </c>
      <c r="I30" s="59">
        <v>244.61892177263886</v>
      </c>
      <c r="J30" s="60">
        <v>635.00267887115626</v>
      </c>
      <c r="K30" s="60">
        <v>34.655114203691404</v>
      </c>
      <c r="L30" s="60">
        <v>0</v>
      </c>
      <c r="M30" s="60">
        <v>0</v>
      </c>
      <c r="N30" s="61">
        <v>0</v>
      </c>
      <c r="O30" s="49">
        <v>0</v>
      </c>
      <c r="P30" s="60">
        <v>0</v>
      </c>
      <c r="Q30" s="50">
        <v>0</v>
      </c>
      <c r="R30" s="50">
        <v>0</v>
      </c>
      <c r="S30" s="60">
        <v>0</v>
      </c>
      <c r="T30" s="64">
        <v>0</v>
      </c>
      <c r="U30" s="65">
        <v>572.00043299787569</v>
      </c>
      <c r="V30" s="62">
        <v>283.6234412849613</v>
      </c>
      <c r="W30" s="62">
        <v>88.640551700455759</v>
      </c>
      <c r="X30" s="62">
        <v>43.951956782477048</v>
      </c>
      <c r="Y30" s="66">
        <v>328.76717961197033</v>
      </c>
      <c r="Z30" s="66">
        <v>163.01749698753164</v>
      </c>
      <c r="AA30" s="67">
        <v>0</v>
      </c>
      <c r="AB30" s="68">
        <v>172.73020309871981</v>
      </c>
      <c r="AC30" s="69">
        <v>0</v>
      </c>
      <c r="AD30" s="412">
        <v>19.960796052940296</v>
      </c>
      <c r="AE30" s="412">
        <v>9.7383668362907496</v>
      </c>
      <c r="AF30" s="69">
        <v>29.368692223230997</v>
      </c>
      <c r="AG30" s="68">
        <v>19.432032792441916</v>
      </c>
      <c r="AH30" s="68">
        <v>9.6352724470316282</v>
      </c>
      <c r="AI30" s="68">
        <v>0.66851855142227357</v>
      </c>
      <c r="AJ30" s="69">
        <v>227.32728045781454</v>
      </c>
      <c r="AK30" s="69">
        <v>867.61580362319944</v>
      </c>
      <c r="AL30" s="69">
        <v>3129.7356269836423</v>
      </c>
      <c r="AM30" s="69">
        <v>565.12843322753906</v>
      </c>
      <c r="AN30" s="69">
        <v>1128.6289672851563</v>
      </c>
      <c r="AO30" s="69">
        <v>2916.6775183359782</v>
      </c>
      <c r="AP30" s="69">
        <v>1086.0966900666556</v>
      </c>
      <c r="AQ30" s="69">
        <v>3717.2326880137116</v>
      </c>
      <c r="AR30" s="69">
        <v>465.17489093144729</v>
      </c>
      <c r="AS30" s="69">
        <v>918.04733683268262</v>
      </c>
    </row>
    <row r="31" spans="1:45" x14ac:dyDescent="0.25">
      <c r="A31" s="11">
        <v>43305</v>
      </c>
      <c r="B31" s="59"/>
      <c r="C31" s="60">
        <v>85.575409340859167</v>
      </c>
      <c r="D31" s="60">
        <v>1439.0686974843336</v>
      </c>
      <c r="E31" s="60">
        <v>33.251127320528077</v>
      </c>
      <c r="F31" s="60">
        <v>0</v>
      </c>
      <c r="G31" s="60">
        <v>2717.1983608245864</v>
      </c>
      <c r="H31" s="61">
        <v>42.751055866479966</v>
      </c>
      <c r="I31" s="59">
        <v>177.4928689638773</v>
      </c>
      <c r="J31" s="60">
        <v>410.66431589126614</v>
      </c>
      <c r="K31" s="60">
        <v>22.533954996367271</v>
      </c>
      <c r="L31" s="60">
        <v>0</v>
      </c>
      <c r="M31" s="60">
        <v>0</v>
      </c>
      <c r="N31" s="61">
        <v>0</v>
      </c>
      <c r="O31" s="49">
        <v>0</v>
      </c>
      <c r="P31" s="60">
        <v>0</v>
      </c>
      <c r="Q31" s="50">
        <v>0</v>
      </c>
      <c r="R31" s="50">
        <v>0</v>
      </c>
      <c r="S31" s="60">
        <v>0</v>
      </c>
      <c r="T31" s="64">
        <v>0</v>
      </c>
      <c r="U31" s="65">
        <v>376.2013515858601</v>
      </c>
      <c r="V31" s="62">
        <v>290.84084023746192</v>
      </c>
      <c r="W31" s="62">
        <v>55.775961306215422</v>
      </c>
      <c r="X31" s="62">
        <v>43.120332723338294</v>
      </c>
      <c r="Y31" s="66">
        <v>182.4958382611905</v>
      </c>
      <c r="Z31" s="66">
        <v>141.08732654994418</v>
      </c>
      <c r="AA31" s="67">
        <v>0</v>
      </c>
      <c r="AB31" s="68">
        <v>131.6855962912224</v>
      </c>
      <c r="AC31" s="69">
        <v>0</v>
      </c>
      <c r="AD31" s="412">
        <v>12.906696199421138</v>
      </c>
      <c r="AE31" s="412">
        <v>9.7334420115179441</v>
      </c>
      <c r="AF31" s="69">
        <v>22.0910691148705</v>
      </c>
      <c r="AG31" s="68">
        <v>12.302290870563029</v>
      </c>
      <c r="AH31" s="68">
        <v>9.5108871846346954</v>
      </c>
      <c r="AI31" s="68">
        <v>0.56398434191626623</v>
      </c>
      <c r="AJ31" s="69">
        <v>219.46135711669922</v>
      </c>
      <c r="AK31" s="69">
        <v>832.92640298207607</v>
      </c>
      <c r="AL31" s="69">
        <v>3180.2956144968671</v>
      </c>
      <c r="AM31" s="69">
        <v>565.12843322753906</v>
      </c>
      <c r="AN31" s="69">
        <v>1128.6289672851563</v>
      </c>
      <c r="AO31" s="69">
        <v>2957.1938578287754</v>
      </c>
      <c r="AP31" s="69">
        <v>931.72227277755746</v>
      </c>
      <c r="AQ31" s="69">
        <v>3046.9963736216218</v>
      </c>
      <c r="AR31" s="69">
        <v>471.30359223683683</v>
      </c>
      <c r="AS31" s="69">
        <v>954.91368452707934</v>
      </c>
    </row>
    <row r="32" spans="1:45" s="418" customFormat="1" x14ac:dyDescent="0.25">
      <c r="A32" s="11">
        <v>43306</v>
      </c>
      <c r="B32" s="413"/>
      <c r="C32" s="414">
        <v>85.199017055829984</v>
      </c>
      <c r="D32" s="414">
        <v>1440.5703320185341</v>
      </c>
      <c r="E32" s="414">
        <v>33.277611407140874</v>
      </c>
      <c r="F32" s="414">
        <v>0</v>
      </c>
      <c r="G32" s="414">
        <v>2678.9381219228126</v>
      </c>
      <c r="H32" s="415">
        <v>42.709676704804266</v>
      </c>
      <c r="I32" s="413">
        <v>158.65023748874665</v>
      </c>
      <c r="J32" s="414">
        <v>346.18487079938319</v>
      </c>
      <c r="K32" s="414">
        <v>18.791219326357023</v>
      </c>
      <c r="L32" s="50">
        <v>0</v>
      </c>
      <c r="M32" s="414">
        <v>0</v>
      </c>
      <c r="N32" s="415">
        <v>0</v>
      </c>
      <c r="O32" s="49">
        <v>0</v>
      </c>
      <c r="P32" s="414">
        <v>0</v>
      </c>
      <c r="Q32" s="50">
        <v>0</v>
      </c>
      <c r="R32" s="50">
        <v>0</v>
      </c>
      <c r="S32" s="414">
        <v>0</v>
      </c>
      <c r="T32" s="415">
        <v>0</v>
      </c>
      <c r="U32" s="413">
        <v>319.8893630214771</v>
      </c>
      <c r="V32" s="414">
        <v>295.4919387100494</v>
      </c>
      <c r="W32" s="414">
        <v>47.794921130146726</v>
      </c>
      <c r="X32" s="414">
        <v>44.149682789836156</v>
      </c>
      <c r="Y32" s="414">
        <v>129.63669909550208</v>
      </c>
      <c r="Z32" s="414">
        <v>119.74952584193723</v>
      </c>
      <c r="AA32" s="415">
        <v>0</v>
      </c>
      <c r="AB32" s="416">
        <v>120.04118542141326</v>
      </c>
      <c r="AC32" s="56">
        <v>0</v>
      </c>
      <c r="AD32" s="417">
        <v>10.885116991783789</v>
      </c>
      <c r="AE32" s="416">
        <v>9.7453969611290354</v>
      </c>
      <c r="AF32" s="56">
        <v>20.318824340237484</v>
      </c>
      <c r="AG32" s="56">
        <v>10.432892124543665</v>
      </c>
      <c r="AH32" s="56">
        <v>9.6371929692055271</v>
      </c>
      <c r="AI32" s="56">
        <v>0.51982301399374631</v>
      </c>
      <c r="AJ32" s="56">
        <v>219.46135711669922</v>
      </c>
      <c r="AK32" s="56">
        <v>862.9762450218202</v>
      </c>
      <c r="AL32" s="56">
        <v>3085.5642851511639</v>
      </c>
      <c r="AM32" s="56">
        <v>565.12843322753906</v>
      </c>
      <c r="AN32" s="56">
        <v>1128.6289672851563</v>
      </c>
      <c r="AO32" s="56">
        <v>2925.2068837483725</v>
      </c>
      <c r="AP32" s="56">
        <v>543.02549131711328</v>
      </c>
      <c r="AQ32" s="56">
        <v>2817.161300150553</v>
      </c>
      <c r="AR32" s="56">
        <v>474.05362799962376</v>
      </c>
      <c r="AS32" s="56">
        <v>848.80176073710118</v>
      </c>
    </row>
    <row r="33" spans="1:45" x14ac:dyDescent="0.25">
      <c r="A33" s="11">
        <v>43307</v>
      </c>
      <c r="B33" s="59"/>
      <c r="C33" s="60">
        <v>86.011775501569289</v>
      </c>
      <c r="D33" s="60">
        <v>1442.2223798116038</v>
      </c>
      <c r="E33" s="60">
        <v>33.568960334360625</v>
      </c>
      <c r="F33" s="60">
        <v>0</v>
      </c>
      <c r="G33" s="60">
        <v>2760.1547211964967</v>
      </c>
      <c r="H33" s="61">
        <v>42.712191875775687</v>
      </c>
      <c r="I33" s="59">
        <v>158.66175409952803</v>
      </c>
      <c r="J33" s="60">
        <v>346.20995489756331</v>
      </c>
      <c r="K33" s="60">
        <v>18.979462730387876</v>
      </c>
      <c r="L33" s="60">
        <v>0</v>
      </c>
      <c r="M33" s="60">
        <v>0</v>
      </c>
      <c r="N33" s="61">
        <v>0</v>
      </c>
      <c r="O33" s="49">
        <v>0</v>
      </c>
      <c r="P33" s="60">
        <v>0</v>
      </c>
      <c r="Q33" s="50">
        <v>0</v>
      </c>
      <c r="R33" s="50">
        <v>0</v>
      </c>
      <c r="S33" s="60">
        <v>0</v>
      </c>
      <c r="T33" s="64">
        <v>0</v>
      </c>
      <c r="U33" s="65">
        <v>320.41136959512994</v>
      </c>
      <c r="V33" s="62">
        <v>296.04837197608049</v>
      </c>
      <c r="W33" s="62">
        <v>46.856069397628069</v>
      </c>
      <c r="X33" s="62">
        <v>43.293292244573585</v>
      </c>
      <c r="Y33" s="66">
        <v>122.62162780868108</v>
      </c>
      <c r="Z33" s="66">
        <v>113.29789366615749</v>
      </c>
      <c r="AA33" s="67">
        <v>0</v>
      </c>
      <c r="AB33" s="68">
        <v>120.12076800664201</v>
      </c>
      <c r="AC33" s="69">
        <v>0</v>
      </c>
      <c r="AD33" s="412">
        <v>10.886014113100934</v>
      </c>
      <c r="AE33" s="412">
        <v>9.7556474963664872</v>
      </c>
      <c r="AF33" s="69">
        <v>20.208077745305168</v>
      </c>
      <c r="AG33" s="68">
        <v>10.375376456057433</v>
      </c>
      <c r="AH33" s="68">
        <v>9.5864678969913992</v>
      </c>
      <c r="AI33" s="68">
        <v>0.51976041254288063</v>
      </c>
      <c r="AJ33" s="69">
        <v>212.12445004781085</v>
      </c>
      <c r="AK33" s="69">
        <v>858.47144956588727</v>
      </c>
      <c r="AL33" s="69">
        <v>3153.4639286041261</v>
      </c>
      <c r="AM33" s="69">
        <v>565.12843322753906</v>
      </c>
      <c r="AN33" s="69">
        <v>1128.6289672851563</v>
      </c>
      <c r="AO33" s="69">
        <v>2929.9609244028729</v>
      </c>
      <c r="AP33" s="69">
        <v>532.46477464040117</v>
      </c>
      <c r="AQ33" s="69">
        <v>2822.4629241943358</v>
      </c>
      <c r="AR33" s="69">
        <v>469.63532752990727</v>
      </c>
      <c r="AS33" s="69">
        <v>871.20347948074334</v>
      </c>
    </row>
    <row r="34" spans="1:45" x14ac:dyDescent="0.25">
      <c r="A34" s="11">
        <v>43308</v>
      </c>
      <c r="B34" s="59"/>
      <c r="C34" s="60">
        <v>86.331145083904545</v>
      </c>
      <c r="D34" s="60">
        <v>1440.2241045633932</v>
      </c>
      <c r="E34" s="60">
        <v>33.880192391077742</v>
      </c>
      <c r="F34" s="60">
        <v>0</v>
      </c>
      <c r="G34" s="60">
        <v>2779.023511377975</v>
      </c>
      <c r="H34" s="61">
        <v>42.690236067771949</v>
      </c>
      <c r="I34" s="59">
        <v>158.66329561869296</v>
      </c>
      <c r="J34" s="60">
        <v>346.0563272317259</v>
      </c>
      <c r="K34" s="60">
        <v>18.872729606926448</v>
      </c>
      <c r="L34" s="60">
        <v>0</v>
      </c>
      <c r="M34" s="60">
        <v>0</v>
      </c>
      <c r="N34" s="61">
        <v>0</v>
      </c>
      <c r="O34" s="49">
        <v>0</v>
      </c>
      <c r="P34" s="60">
        <v>0</v>
      </c>
      <c r="Q34" s="50">
        <v>0</v>
      </c>
      <c r="R34" s="50">
        <v>0</v>
      </c>
      <c r="S34" s="60">
        <v>0</v>
      </c>
      <c r="T34" s="64">
        <v>0</v>
      </c>
      <c r="U34" s="65">
        <v>317.73667589522654</v>
      </c>
      <c r="V34" s="62">
        <v>287.82575399911104</v>
      </c>
      <c r="W34" s="62">
        <v>47.16087953585582</v>
      </c>
      <c r="X34" s="62">
        <v>42.721274380503068</v>
      </c>
      <c r="Y34" s="66">
        <v>123.57049529651874</v>
      </c>
      <c r="Z34" s="66">
        <v>111.9378834078702</v>
      </c>
      <c r="AA34" s="67">
        <v>0</v>
      </c>
      <c r="AB34" s="68">
        <v>120.04680994881525</v>
      </c>
      <c r="AC34" s="69">
        <v>0</v>
      </c>
      <c r="AD34" s="412">
        <v>10.880338582896988</v>
      </c>
      <c r="AE34" s="412">
        <v>9.7423006474683298</v>
      </c>
      <c r="AF34" s="69">
        <v>19.983893782562671</v>
      </c>
      <c r="AG34" s="68">
        <v>10.352439184689018</v>
      </c>
      <c r="AH34" s="68">
        <v>9.3778869111276695</v>
      </c>
      <c r="AI34" s="68">
        <v>0.52469681111271593</v>
      </c>
      <c r="AJ34" s="69">
        <v>219.66045640309653</v>
      </c>
      <c r="AK34" s="69">
        <v>866.62168594996137</v>
      </c>
      <c r="AL34" s="69">
        <v>2982.6327521006265</v>
      </c>
      <c r="AM34" s="69">
        <v>565.12843322753906</v>
      </c>
      <c r="AN34" s="69">
        <v>1128.6289672851563</v>
      </c>
      <c r="AO34" s="69">
        <v>2920.4465768178311</v>
      </c>
      <c r="AP34" s="69">
        <v>526.03345821698508</v>
      </c>
      <c r="AQ34" s="69">
        <v>2808.5352823893231</v>
      </c>
      <c r="AR34" s="69">
        <v>467.52503509521489</v>
      </c>
      <c r="AS34" s="69">
        <v>832.72773631413793</v>
      </c>
    </row>
    <row r="35" spans="1:45" x14ac:dyDescent="0.25">
      <c r="A35" s="11">
        <v>43309</v>
      </c>
      <c r="B35" s="59"/>
      <c r="C35" s="60">
        <v>85.687213401000335</v>
      </c>
      <c r="D35" s="60">
        <v>1440.1069406509378</v>
      </c>
      <c r="E35" s="60">
        <v>33.236755473415059</v>
      </c>
      <c r="F35" s="60">
        <v>0</v>
      </c>
      <c r="G35" s="60">
        <v>2781.3555266062385</v>
      </c>
      <c r="H35" s="61">
        <v>42.631664756933908</v>
      </c>
      <c r="I35" s="59">
        <v>158.27753069400788</v>
      </c>
      <c r="J35" s="60">
        <v>346.01938521067359</v>
      </c>
      <c r="K35" s="60">
        <v>18.761846087872968</v>
      </c>
      <c r="L35" s="60">
        <v>0</v>
      </c>
      <c r="M35" s="60">
        <v>0</v>
      </c>
      <c r="N35" s="61">
        <v>0</v>
      </c>
      <c r="O35" s="49">
        <v>0</v>
      </c>
      <c r="P35" s="60">
        <v>0</v>
      </c>
      <c r="Q35" s="50">
        <v>0</v>
      </c>
      <c r="R35" s="50">
        <v>0</v>
      </c>
      <c r="S35" s="60">
        <v>0</v>
      </c>
      <c r="T35" s="64">
        <v>0</v>
      </c>
      <c r="U35" s="65">
        <v>316.50455618717632</v>
      </c>
      <c r="V35" s="62">
        <v>292.45125291859318</v>
      </c>
      <c r="W35" s="62">
        <v>47.990997315634679</v>
      </c>
      <c r="X35" s="62">
        <v>44.343839668045995</v>
      </c>
      <c r="Y35" s="66">
        <v>125.8467007869783</v>
      </c>
      <c r="Z35" s="66">
        <v>116.28276623941467</v>
      </c>
      <c r="AA35" s="67">
        <v>0</v>
      </c>
      <c r="AB35" s="68">
        <v>119.99632893668327</v>
      </c>
      <c r="AC35" s="69">
        <v>0</v>
      </c>
      <c r="AD35" s="412">
        <v>10.878981905755925</v>
      </c>
      <c r="AE35" s="412">
        <v>9.7417578009780179</v>
      </c>
      <c r="AF35" s="69">
        <v>20.443087526162465</v>
      </c>
      <c r="AG35" s="68">
        <v>10.499635112798474</v>
      </c>
      <c r="AH35" s="68">
        <v>9.7016974444754585</v>
      </c>
      <c r="AI35" s="68">
        <v>0.5197496295370797</v>
      </c>
      <c r="AJ35" s="69">
        <v>219.69346618652344</v>
      </c>
      <c r="AK35" s="69">
        <v>870.84104560216258</v>
      </c>
      <c r="AL35" s="69">
        <v>3005.585323969523</v>
      </c>
      <c r="AM35" s="69">
        <v>565.12843322753906</v>
      </c>
      <c r="AN35" s="69">
        <v>1128.6289672851563</v>
      </c>
      <c r="AO35" s="69">
        <v>2837.7506053924567</v>
      </c>
      <c r="AP35" s="69">
        <v>508.24369597435003</v>
      </c>
      <c r="AQ35" s="69">
        <v>2799.4251255035401</v>
      </c>
      <c r="AR35" s="69">
        <v>462.19975662231445</v>
      </c>
      <c r="AS35" s="69">
        <v>746.63121652603149</v>
      </c>
    </row>
    <row r="36" spans="1:45" x14ac:dyDescent="0.25">
      <c r="A36" s="11">
        <v>43310</v>
      </c>
      <c r="B36" s="59"/>
      <c r="C36" s="60">
        <v>85.187027943134254</v>
      </c>
      <c r="D36" s="60">
        <v>1440.3396109898886</v>
      </c>
      <c r="E36" s="60">
        <v>33.392144195735483</v>
      </c>
      <c r="F36" s="60">
        <v>0</v>
      </c>
      <c r="G36" s="60">
        <v>2776.5421085357657</v>
      </c>
      <c r="H36" s="61">
        <v>37.843321371078495</v>
      </c>
      <c r="I36" s="59">
        <v>157.08323130607599</v>
      </c>
      <c r="J36" s="60">
        <v>346.08324945767799</v>
      </c>
      <c r="K36" s="60">
        <v>18.857702441513545</v>
      </c>
      <c r="L36" s="60">
        <v>0</v>
      </c>
      <c r="M36" s="60">
        <v>0</v>
      </c>
      <c r="N36" s="61">
        <v>0</v>
      </c>
      <c r="O36" s="49">
        <v>0</v>
      </c>
      <c r="P36" s="60">
        <v>0</v>
      </c>
      <c r="Q36" s="50">
        <v>0</v>
      </c>
      <c r="R36" s="50">
        <v>0</v>
      </c>
      <c r="S36" s="60">
        <v>0</v>
      </c>
      <c r="T36" s="64">
        <v>0</v>
      </c>
      <c r="U36" s="65">
        <v>312.85429076083722</v>
      </c>
      <c r="V36" s="62">
        <v>289.05321974229741</v>
      </c>
      <c r="W36" s="62">
        <v>47.332372191998822</v>
      </c>
      <c r="X36" s="62">
        <v>43.731458970454007</v>
      </c>
      <c r="Y36" s="66">
        <v>126.97003134510331</v>
      </c>
      <c r="Z36" s="66">
        <v>117.31050989209172</v>
      </c>
      <c r="AA36" s="67">
        <v>0</v>
      </c>
      <c r="AB36" s="68">
        <v>120.00115391943193</v>
      </c>
      <c r="AC36" s="69">
        <v>0</v>
      </c>
      <c r="AD36" s="412">
        <v>10.881391167033929</v>
      </c>
      <c r="AE36" s="412">
        <v>9.7432243824201805</v>
      </c>
      <c r="AF36" s="69">
        <v>20.442345306608416</v>
      </c>
      <c r="AG36" s="68">
        <v>10.499500662799461</v>
      </c>
      <c r="AH36" s="68">
        <v>9.7007283003467659</v>
      </c>
      <c r="AI36" s="68">
        <v>0.51977136902532128</v>
      </c>
      <c r="AJ36" s="69">
        <v>213.87715978622435</v>
      </c>
      <c r="AK36" s="69">
        <v>875.10566593805947</v>
      </c>
      <c r="AL36" s="69">
        <v>3052.4137945810953</v>
      </c>
      <c r="AM36" s="69">
        <v>565.12843322753906</v>
      </c>
      <c r="AN36" s="69">
        <v>1128.6289672851563</v>
      </c>
      <c r="AO36" s="69">
        <v>2840.3215810139977</v>
      </c>
      <c r="AP36" s="69">
        <v>508.67071835199988</v>
      </c>
      <c r="AQ36" s="69">
        <v>2804.2400458017983</v>
      </c>
      <c r="AR36" s="69">
        <v>461.85912141799918</v>
      </c>
      <c r="AS36" s="69">
        <v>722.78937950134275</v>
      </c>
    </row>
    <row r="37" spans="1:45" s="372" customFormat="1" ht="15" customHeight="1" x14ac:dyDescent="0.25">
      <c r="A37" s="11">
        <v>43311</v>
      </c>
      <c r="B37" s="366"/>
      <c r="C37" s="367">
        <v>85.132664430141475</v>
      </c>
      <c r="D37" s="367">
        <v>1425.7311059474957</v>
      </c>
      <c r="E37" s="367">
        <v>33.475398728251534</v>
      </c>
      <c r="F37" s="367">
        <v>0</v>
      </c>
      <c r="G37" s="367">
        <v>2793.5474717458142</v>
      </c>
      <c r="H37" s="368">
        <v>42.498129651943842</v>
      </c>
      <c r="I37" s="366">
        <v>153.67074163357412</v>
      </c>
      <c r="J37" s="367">
        <v>345.39532780647318</v>
      </c>
      <c r="K37" s="367">
        <v>18.817184795935948</v>
      </c>
      <c r="L37" s="369">
        <v>0</v>
      </c>
      <c r="M37" s="367">
        <v>0</v>
      </c>
      <c r="N37" s="368">
        <v>0</v>
      </c>
      <c r="O37" s="49">
        <v>0</v>
      </c>
      <c r="P37" s="367">
        <v>0</v>
      </c>
      <c r="Q37" s="50">
        <v>0</v>
      </c>
      <c r="R37" s="50">
        <v>0</v>
      </c>
      <c r="S37" s="367">
        <v>0</v>
      </c>
      <c r="T37" s="368">
        <v>0</v>
      </c>
      <c r="U37" s="366">
        <v>308.6943929720037</v>
      </c>
      <c r="V37" s="367">
        <v>252.40702553377378</v>
      </c>
      <c r="W37" s="367">
        <v>46.550564325174875</v>
      </c>
      <c r="X37" s="367">
        <v>38.062529627163016</v>
      </c>
      <c r="Y37" s="367">
        <v>123.840308290929</v>
      </c>
      <c r="Z37" s="367">
        <v>101.25925371029923</v>
      </c>
      <c r="AA37" s="368">
        <v>0</v>
      </c>
      <c r="AB37" s="370">
        <v>119.20344858169527</v>
      </c>
      <c r="AC37" s="371">
        <v>0</v>
      </c>
      <c r="AD37" s="412">
        <v>10.865900501795302</v>
      </c>
      <c r="AE37" s="412">
        <v>9.6675011001028519</v>
      </c>
      <c r="AF37" s="371">
        <v>18.989958529339884</v>
      </c>
      <c r="AG37" s="371">
        <v>10.314856969546716</v>
      </c>
      <c r="AH37" s="371">
        <v>8.4340448863472677</v>
      </c>
      <c r="AI37" s="371">
        <v>0.55015792651899198</v>
      </c>
      <c r="AJ37" s="371">
        <v>211.83401104609172</v>
      </c>
      <c r="AK37" s="371">
        <v>778.73894577026374</v>
      </c>
      <c r="AL37" s="371">
        <v>3023.9362854003907</v>
      </c>
      <c r="AM37" s="371">
        <v>402.27918869654343</v>
      </c>
      <c r="AN37" s="371">
        <v>1119.1134597778321</v>
      </c>
      <c r="AO37" s="371">
        <v>2939.017560450236</v>
      </c>
      <c r="AP37" s="371">
        <v>503.52738184928893</v>
      </c>
      <c r="AQ37" s="371">
        <v>2782.1577731450393</v>
      </c>
      <c r="AR37" s="371">
        <v>455.59730304082245</v>
      </c>
      <c r="AS37" s="371">
        <v>737.26713765462239</v>
      </c>
    </row>
    <row r="38" spans="1:45" s="372" customFormat="1" ht="15" customHeight="1" thickBot="1" x14ac:dyDescent="0.3">
      <c r="A38" s="11">
        <v>43312</v>
      </c>
      <c r="B38" s="366"/>
      <c r="C38" s="367">
        <v>85.315622146923744</v>
      </c>
      <c r="D38" s="367">
        <v>1425.2465869267737</v>
      </c>
      <c r="E38" s="367">
        <v>33.522006546457625</v>
      </c>
      <c r="F38" s="367">
        <v>0</v>
      </c>
      <c r="G38" s="367">
        <v>2871.8887457529786</v>
      </c>
      <c r="H38" s="368">
        <v>42.251338805755005</v>
      </c>
      <c r="I38" s="366">
        <v>194.44791270097113</v>
      </c>
      <c r="J38" s="367">
        <v>469.53254597981754</v>
      </c>
      <c r="K38" s="367">
        <v>25.592193148533546</v>
      </c>
      <c r="L38" s="369">
        <v>0</v>
      </c>
      <c r="M38" s="367">
        <v>0</v>
      </c>
      <c r="N38" s="368">
        <v>0</v>
      </c>
      <c r="O38" s="49">
        <v>0</v>
      </c>
      <c r="P38" s="367">
        <v>0</v>
      </c>
      <c r="Q38" s="50">
        <v>0</v>
      </c>
      <c r="R38" s="50">
        <v>0</v>
      </c>
      <c r="S38" s="367">
        <v>0</v>
      </c>
      <c r="T38" s="373">
        <v>0</v>
      </c>
      <c r="U38" s="366">
        <v>397.82199890273023</v>
      </c>
      <c r="V38" s="367">
        <v>265.54103125542133</v>
      </c>
      <c r="W38" s="367">
        <v>63.28856194281466</v>
      </c>
      <c r="X38" s="367">
        <v>42.244295316299763</v>
      </c>
      <c r="Y38" s="367">
        <v>177.93518539953749</v>
      </c>
      <c r="Z38" s="367">
        <v>118.76943144908999</v>
      </c>
      <c r="AA38" s="368">
        <v>0</v>
      </c>
      <c r="AB38" s="370">
        <v>142.04226895438231</v>
      </c>
      <c r="AC38" s="371">
        <v>0</v>
      </c>
      <c r="AD38" s="412">
        <v>14.766044613592923</v>
      </c>
      <c r="AE38" s="412">
        <v>9.6405120131804889</v>
      </c>
      <c r="AF38" s="371">
        <v>23.60303710963991</v>
      </c>
      <c r="AG38" s="371">
        <v>14.003243797925697</v>
      </c>
      <c r="AH38" s="371">
        <v>9.3469838502607594</v>
      </c>
      <c r="AI38" s="371">
        <v>0.59970480840315443</v>
      </c>
      <c r="AJ38" s="371">
        <v>212.01599798202514</v>
      </c>
      <c r="AK38" s="371">
        <v>727.28651949564596</v>
      </c>
      <c r="AL38" s="371">
        <v>3046.9124111175538</v>
      </c>
      <c r="AM38" s="371">
        <v>448.20263671875</v>
      </c>
      <c r="AN38" s="371">
        <v>1116.9773254394531</v>
      </c>
      <c r="AO38" s="371">
        <v>2949.9279880523668</v>
      </c>
      <c r="AP38" s="371">
        <v>522.66852755546574</v>
      </c>
      <c r="AQ38" s="371">
        <v>3224.1482814788824</v>
      </c>
      <c r="AR38" s="371">
        <v>453.14826879501339</v>
      </c>
      <c r="AS38" s="371">
        <v>788.35739752451582</v>
      </c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2562.465840431053</v>
      </c>
      <c r="D39" s="30">
        <f t="shared" si="0"/>
        <v>42324.281123081841</v>
      </c>
      <c r="E39" s="30">
        <f t="shared" si="0"/>
        <v>1004.1088619853069</v>
      </c>
      <c r="F39" s="30">
        <f t="shared" si="0"/>
        <v>0</v>
      </c>
      <c r="G39" s="30">
        <f t="shared" si="0"/>
        <v>85981.781562868782</v>
      </c>
      <c r="H39" s="31">
        <f t="shared" si="0"/>
        <v>1271.8244683494183</v>
      </c>
      <c r="I39" s="29">
        <f t="shared" si="0"/>
        <v>7024.2028887947363</v>
      </c>
      <c r="J39" s="30">
        <f t="shared" si="0"/>
        <v>20238.65464185079</v>
      </c>
      <c r="K39" s="30">
        <f t="shared" si="0"/>
        <v>1108.0176326920587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17890.819585145473</v>
      </c>
      <c r="V39" s="262">
        <f t="shared" si="0"/>
        <v>8341.7759093897985</v>
      </c>
      <c r="W39" s="262">
        <f t="shared" si="0"/>
        <v>2723.2275848658478</v>
      </c>
      <c r="X39" s="262">
        <f t="shared" si="0"/>
        <v>1267.3648165154864</v>
      </c>
      <c r="Y39" s="262">
        <f t="shared" si="0"/>
        <v>10145.985235130356</v>
      </c>
      <c r="Z39" s="262">
        <f t="shared" si="0"/>
        <v>4558.0114344879339</v>
      </c>
      <c r="AA39" s="270">
        <f t="shared" si="0"/>
        <v>0</v>
      </c>
      <c r="AB39" s="273">
        <f t="shared" si="0"/>
        <v>5964.0834304385826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SUM(AJ8:AJ37)</f>
        <v>6923.1131626764927</v>
      </c>
      <c r="AK39" s="273">
        <f t="shared" si="1"/>
        <v>26199.419776471459</v>
      </c>
      <c r="AL39" s="273">
        <f t="shared" si="1"/>
        <v>94197.526755777988</v>
      </c>
      <c r="AM39" s="273">
        <f t="shared" si="1"/>
        <v>15361.240729578338</v>
      </c>
      <c r="AN39" s="273">
        <f t="shared" si="1"/>
        <v>82040.659251149496</v>
      </c>
      <c r="AO39" s="273">
        <f t="shared" si="1"/>
        <v>85836.283451080293</v>
      </c>
      <c r="AP39" s="273">
        <f t="shared" si="1"/>
        <v>19310.439187399548</v>
      </c>
      <c r="AQ39" s="273">
        <f t="shared" si="1"/>
        <v>114011.97764263151</v>
      </c>
      <c r="AR39" s="273">
        <f t="shared" si="1"/>
        <v>14447.628439982731</v>
      </c>
      <c r="AS39" s="273">
        <f t="shared" si="1"/>
        <v>26632.384217866263</v>
      </c>
    </row>
    <row r="40" spans="1:45" ht="15.75" thickBot="1" x14ac:dyDescent="0.3">
      <c r="A40" s="47" t="s">
        <v>172</v>
      </c>
      <c r="B40" s="32">
        <f>Projection!$AC$30</f>
        <v>0.82128400199999985</v>
      </c>
      <c r="C40" s="33">
        <f>Projection!$AC$28</f>
        <v>1.2667292399999999</v>
      </c>
      <c r="D40" s="33">
        <f>Projection!$AC$31</f>
        <v>3.0824639999999999</v>
      </c>
      <c r="E40" s="33">
        <f>Projection!$AC$26</f>
        <v>3.9898560000000005</v>
      </c>
      <c r="F40" s="33">
        <f>Projection!$AC$23</f>
        <v>0</v>
      </c>
      <c r="G40" s="33">
        <f>Projection!$AC$24</f>
        <v>5.5265000000000002E-2</v>
      </c>
      <c r="H40" s="34">
        <f>Projection!$AC$29</f>
        <v>3.5497125</v>
      </c>
      <c r="I40" s="32">
        <f>Projection!$AC$30</f>
        <v>0.82128400199999985</v>
      </c>
      <c r="J40" s="33">
        <f>Projection!$AC$28</f>
        <v>1.2667292399999999</v>
      </c>
      <c r="K40" s="33">
        <f>Projection!$AC$26</f>
        <v>3.9898560000000005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1.2667292399999999</v>
      </c>
      <c r="T40" s="38">
        <f>Projection!$AC$28</f>
        <v>1.2667292399999999</v>
      </c>
      <c r="U40" s="26">
        <f>Projection!$AC$27</f>
        <v>0.29460000000000003</v>
      </c>
      <c r="V40" s="27">
        <f>Projection!$AC$27</f>
        <v>0.29460000000000003</v>
      </c>
      <c r="W40" s="27">
        <f>Projection!$AC$22</f>
        <v>0.74349432000000004</v>
      </c>
      <c r="X40" s="27">
        <f>Projection!$AC$22</f>
        <v>0.74349432000000004</v>
      </c>
      <c r="Y40" s="27">
        <f>Projection!$AC$31</f>
        <v>3.0824639999999999</v>
      </c>
      <c r="Z40" s="27">
        <f>Projection!$AC$31</f>
        <v>3.0824639999999999</v>
      </c>
      <c r="AA40" s="28">
        <v>0</v>
      </c>
      <c r="AB40" s="41">
        <f>Projection!$AC$27</f>
        <v>0.29460000000000003</v>
      </c>
      <c r="AC40" s="41">
        <f>Projection!$AC$30</f>
        <v>0.82128400199999985</v>
      </c>
      <c r="AD40" s="404">
        <f>SUM(AD8:AD38)</f>
        <v>651.14430381846159</v>
      </c>
      <c r="AE40" s="404">
        <f>SUM(AE8:AE38)</f>
        <v>300.59244501576637</v>
      </c>
      <c r="AF40" s="277">
        <f>SUM(AF8:AF37)</f>
        <v>910.9631038308147</v>
      </c>
      <c r="AG40" s="277">
        <f>SUM(AG8:AG37)</f>
        <v>614.95727098077657</v>
      </c>
      <c r="AH40" s="277">
        <f>SUM(AH8:AH37)</f>
        <v>285.22459553673548</v>
      </c>
      <c r="AI40" s="277">
        <f>IF(SUM(AG40:AH40)&gt;0, AG40/(AG40+AH40), 0)</f>
        <v>0.68314781029730198</v>
      </c>
      <c r="AJ40" s="313">
        <v>6.3E-2</v>
      </c>
      <c r="AK40" s="313">
        <f t="shared" ref="AK40:AS40" si="2">$AJ$40</f>
        <v>6.3E-2</v>
      </c>
      <c r="AL40" s="313">
        <f t="shared" si="2"/>
        <v>6.3E-2</v>
      </c>
      <c r="AM40" s="313">
        <f t="shared" si="2"/>
        <v>6.3E-2</v>
      </c>
      <c r="AN40" s="313">
        <f t="shared" si="2"/>
        <v>6.3E-2</v>
      </c>
      <c r="AO40" s="313">
        <f t="shared" si="2"/>
        <v>6.3E-2</v>
      </c>
      <c r="AP40" s="313">
        <f t="shared" si="2"/>
        <v>6.3E-2</v>
      </c>
      <c r="AQ40" s="313">
        <f t="shared" si="2"/>
        <v>6.3E-2</v>
      </c>
      <c r="AR40" s="313">
        <f t="shared" si="2"/>
        <v>6.3E-2</v>
      </c>
      <c r="AS40" s="313">
        <f t="shared" si="2"/>
        <v>6.3E-2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3245.9504065751889</v>
      </c>
      <c r="D41" s="36">
        <f t="shared" si="3"/>
        <v>130463.07288777934</v>
      </c>
      <c r="E41" s="36">
        <f t="shared" si="3"/>
        <v>4006.2497676452494</v>
      </c>
      <c r="F41" s="36">
        <f t="shared" si="3"/>
        <v>0</v>
      </c>
      <c r="G41" s="36">
        <f t="shared" si="3"/>
        <v>4751.783158071943</v>
      </c>
      <c r="H41" s="37">
        <f t="shared" si="3"/>
        <v>4514.6112131057844</v>
      </c>
      <c r="I41" s="35">
        <f t="shared" si="3"/>
        <v>5768.8654593693009</v>
      </c>
      <c r="J41" s="36">
        <f t="shared" si="3"/>
        <v>25636.895613094119</v>
      </c>
      <c r="K41" s="36">
        <f t="shared" si="3"/>
        <v>4420.8307999022072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5270.6354497838565</v>
      </c>
      <c r="V41" s="268">
        <f t="shared" si="3"/>
        <v>2457.4871829062349</v>
      </c>
      <c r="W41" s="268">
        <f t="shared" si="3"/>
        <v>2024.704241415076</v>
      </c>
      <c r="X41" s="268">
        <f t="shared" si="3"/>
        <v>942.27854244710636</v>
      </c>
      <c r="Y41" s="268">
        <f t="shared" si="3"/>
        <v>31274.634231820855</v>
      </c>
      <c r="Z41" s="268">
        <f t="shared" si="3"/>
        <v>14049.906158397414</v>
      </c>
      <c r="AA41" s="272">
        <f t="shared" si="3"/>
        <v>0</v>
      </c>
      <c r="AB41" s="275">
        <f t="shared" si="3"/>
        <v>1757.0189786072067</v>
      </c>
      <c r="AC41" s="275">
        <f t="shared" si="3"/>
        <v>0</v>
      </c>
      <c r="AJ41" s="278">
        <f t="shared" ref="AJ41:AS41" si="4">AJ40*AJ39</f>
        <v>436.15612924861904</v>
      </c>
      <c r="AK41" s="278">
        <f t="shared" si="4"/>
        <v>1650.563445917702</v>
      </c>
      <c r="AL41" s="278">
        <f t="shared" si="4"/>
        <v>5934.4441856140129</v>
      </c>
      <c r="AM41" s="278">
        <f t="shared" si="4"/>
        <v>967.75816596343532</v>
      </c>
      <c r="AN41" s="278">
        <f t="shared" si="4"/>
        <v>5168.5615328224185</v>
      </c>
      <c r="AO41" s="278">
        <f t="shared" si="4"/>
        <v>5407.6858574180587</v>
      </c>
      <c r="AP41" s="278">
        <f t="shared" si="4"/>
        <v>1216.5576688061715</v>
      </c>
      <c r="AQ41" s="278">
        <f t="shared" si="4"/>
        <v>7182.7545914857847</v>
      </c>
      <c r="AR41" s="278">
        <f t="shared" si="4"/>
        <v>910.20059171891205</v>
      </c>
      <c r="AS41" s="278">
        <f t="shared" si="4"/>
        <v>1677.8402057255746</v>
      </c>
    </row>
    <row r="42" spans="1:45" ht="49.5" customHeight="1" thickTop="1" thickBot="1" x14ac:dyDescent="0.3">
      <c r="A42" s="637">
        <f>JUNE!$A$42+30</f>
        <v>43283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283.23</v>
      </c>
      <c r="AK42" s="278" t="s">
        <v>197</v>
      </c>
      <c r="AL42" s="278">
        <v>98.41</v>
      </c>
      <c r="AM42" s="278">
        <v>230.24</v>
      </c>
      <c r="AN42" s="278">
        <v>160.91999999999999</v>
      </c>
      <c r="AO42" s="278">
        <v>968.96</v>
      </c>
      <c r="AP42" s="278">
        <v>238.56</v>
      </c>
      <c r="AQ42" s="278" t="s">
        <v>197</v>
      </c>
      <c r="AR42" s="278">
        <v>71.48</v>
      </c>
      <c r="AS42" s="278">
        <v>149.93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240584.92409092089</v>
      </c>
      <c r="C44" s="12"/>
      <c r="D44" s="282" t="s">
        <v>135</v>
      </c>
      <c r="E44" s="283">
        <f>SUM(B41:H41)+P41+R41+T41+V41+X41+Z41</f>
        <v>164431.33931692829</v>
      </c>
      <c r="F44" s="12"/>
      <c r="G44" s="282" t="s">
        <v>135</v>
      </c>
      <c r="H44" s="283">
        <f>SUM(I41:N41)+O41+Q41+S41+U41+W41+Y41</f>
        <v>74396.565795385424</v>
      </c>
      <c r="I44" s="12"/>
      <c r="J44" s="282" t="s">
        <v>198</v>
      </c>
      <c r="K44" s="283">
        <v>148493.62999999998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30552.522374720687</v>
      </c>
      <c r="C45" s="12"/>
      <c r="D45" s="284" t="s">
        <v>183</v>
      </c>
      <c r="E45" s="285">
        <f>AJ41*(1-$AI$40)+AK41+AL41*0.5+AN41+AO41*(1-$AI$40)+AP41*(1-$AI$40)+AQ41*(1-$AI$40)+AR41*0.5+AS41*0.5</f>
        <v>15593.342081691495</v>
      </c>
      <c r="F45" s="24"/>
      <c r="G45" s="284" t="s">
        <v>183</v>
      </c>
      <c r="H45" s="285">
        <f>AJ41*AI40+AL41*0.5+AM41+AO41*AI40+AP41*AI40+AQ41*AI40+AR41*0.5+AS41*0.5</f>
        <v>14959.180293029194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3990.5924013813342</v>
      </c>
      <c r="U45" s="256">
        <f>(T45*8.34*0.895)/27000</f>
        <v>1.1032214393196553</v>
      </c>
    </row>
    <row r="46" spans="1:45" ht="32.25" thickBot="1" x14ac:dyDescent="0.3">
      <c r="A46" s="286" t="s">
        <v>184</v>
      </c>
      <c r="B46" s="287">
        <f>SUM(AJ42:AS42)</f>
        <v>2201.7299999999996</v>
      </c>
      <c r="C46" s="12"/>
      <c r="D46" s="286" t="s">
        <v>184</v>
      </c>
      <c r="E46" s="287">
        <f>AJ42*(1-$AI$40)+AL42*0.5+AN42+AO42*(1-$AI$40)+AP42*(1-$AI$40)+AR42*0.5+AS42*0.5</f>
        <v>793.17740179929717</v>
      </c>
      <c r="F46" s="23"/>
      <c r="G46" s="286" t="s">
        <v>184</v>
      </c>
      <c r="H46" s="287">
        <f>AJ42*AI40+AL42*0.5+AM42+AO42*AI40+AP42*AI40+AR42*0.5+AS42*0.5</f>
        <v>1408.552598200703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148493.62999999998</v>
      </c>
      <c r="C47" s="12"/>
      <c r="D47" s="286" t="s">
        <v>187</v>
      </c>
      <c r="E47" s="287">
        <f>K44*0.5</f>
        <v>74246.814999999988</v>
      </c>
      <c r="F47" s="24"/>
      <c r="G47" s="286" t="s">
        <v>185</v>
      </c>
      <c r="H47" s="287">
        <f>K44*0.5</f>
        <v>74246.814999999988</v>
      </c>
      <c r="I47" s="12"/>
      <c r="J47" s="282" t="s">
        <v>198</v>
      </c>
      <c r="K47" s="283">
        <v>65767.259999999966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85981.781562868782</v>
      </c>
      <c r="U47" s="256">
        <f>T47/40000</f>
        <v>2.1495445390717194</v>
      </c>
    </row>
    <row r="48" spans="1:45" ht="24" thickBot="1" x14ac:dyDescent="0.3">
      <c r="A48" s="286" t="s">
        <v>186</v>
      </c>
      <c r="B48" s="287">
        <f>K47</f>
        <v>65767.259999999966</v>
      </c>
      <c r="C48" s="12"/>
      <c r="D48" s="286" t="s">
        <v>186</v>
      </c>
      <c r="E48" s="287">
        <f>K47*0.5</f>
        <v>32883.629999999983</v>
      </c>
      <c r="F48" s="23"/>
      <c r="G48" s="286" t="s">
        <v>186</v>
      </c>
      <c r="H48" s="287">
        <f>K47*0.5</f>
        <v>32883.629999999983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194</v>
      </c>
      <c r="B49" s="292">
        <f>AF40</f>
        <v>910.9631038308147</v>
      </c>
      <c r="C49" s="12"/>
      <c r="D49" s="291" t="s">
        <v>195</v>
      </c>
      <c r="E49" s="292">
        <f>AH40</f>
        <v>285.22459553673548</v>
      </c>
      <c r="F49" s="375">
        <f>E44/E49</f>
        <v>576.49775611917858</v>
      </c>
      <c r="G49" s="291" t="s">
        <v>196</v>
      </c>
      <c r="H49" s="292">
        <f>AG40</f>
        <v>614.95727098077657</v>
      </c>
      <c r="I49" s="374">
        <f>H44/H49</f>
        <v>120.9784310326677</v>
      </c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2112.1264946773654</v>
      </c>
      <c r="U49" s="256">
        <f>(T49*8.34*1.04)/45000</f>
        <v>0.40710534142741334</v>
      </c>
    </row>
    <row r="50" spans="1:25" ht="48" customHeight="1" thickTop="1" thickBot="1" x14ac:dyDescent="0.3">
      <c r="A50" s="291" t="s">
        <v>223</v>
      </c>
      <c r="B50" s="292">
        <f>SUM(E50+H50)</f>
        <v>951.73674883422791</v>
      </c>
      <c r="C50" s="12"/>
      <c r="D50" s="291" t="s">
        <v>224</v>
      </c>
      <c r="E50" s="292">
        <f>AE40</f>
        <v>300.59244501576637</v>
      </c>
      <c r="F50" s="375"/>
      <c r="G50" s="291" t="s">
        <v>225</v>
      </c>
      <c r="H50" s="292">
        <f>AD40</f>
        <v>651.14430381846159</v>
      </c>
      <c r="I50" s="374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512.32661454220136</v>
      </c>
      <c r="C51" s="12"/>
      <c r="D51" s="291" t="s">
        <v>188</v>
      </c>
      <c r="E51" s="294">
        <f>SUM(E44:E48)/E50</f>
        <v>957.93593144137708</v>
      </c>
      <c r="F51" s="23"/>
      <c r="G51" s="291" t="s">
        <v>189</v>
      </c>
      <c r="H51" s="294">
        <f>SUM(H44:H48)/H50</f>
        <v>303.91841336262098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32196.678924973854</v>
      </c>
      <c r="U51" s="256">
        <f>T51/2000/8</f>
        <v>2.0122924328108658</v>
      </c>
    </row>
    <row r="52" spans="1:25" ht="47.25" customHeight="1" thickTop="1" thickBot="1" x14ac:dyDescent="0.3">
      <c r="A52" s="281" t="s">
        <v>191</v>
      </c>
      <c r="B52" s="294">
        <f>B51/1000</f>
        <v>0.51232661454220141</v>
      </c>
      <c r="C52" s="12"/>
      <c r="D52" s="281" t="s">
        <v>192</v>
      </c>
      <c r="E52" s="294">
        <f>E51/1000</f>
        <v>0.95793593144137712</v>
      </c>
      <c r="F52" s="12"/>
      <c r="G52" s="281" t="s">
        <v>193</v>
      </c>
      <c r="H52" s="294">
        <f>H51/1000</f>
        <v>0.30391841336262099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22801.120482281844</v>
      </c>
      <c r="U52" s="256">
        <f>(T52*8.34*1.4)/45000</f>
        <v>5.9161307278027291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1271.8244683494183</v>
      </c>
      <c r="U53" s="256">
        <f>(T53*8.34*1.135)/45000</f>
        <v>0.2675325163321946</v>
      </c>
    </row>
    <row r="54" spans="1:25" ht="48" customHeight="1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7024.2028887947363</v>
      </c>
      <c r="U54" s="256">
        <f>(T54*8.34*1.029*0.03)/3300</f>
        <v>0.5480065982111999</v>
      </c>
    </row>
    <row r="55" spans="1:25" ht="51.75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57028.27779270013</v>
      </c>
      <c r="U55" s="259">
        <f>(T55*1.54*8.34)/45000</f>
        <v>16.276630859073851</v>
      </c>
    </row>
    <row r="56" spans="1:25" ht="24" thickTop="1" x14ac:dyDescent="0.25">
      <c r="A56" s="642"/>
      <c r="B56" s="64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4"/>
      <c r="B57" s="645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0"/>
      <c r="B58" s="64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1"/>
      <c r="B59" s="64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0"/>
      <c r="B60" s="64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1"/>
      <c r="B61" s="641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  <row r="63" spans="1:25" x14ac:dyDescent="0.25">
      <c r="A63" s="12"/>
      <c r="B63" s="12"/>
    </row>
  </sheetData>
  <sheetProtection algorithmName="SHA-512" hashValue="/Cl+eguRrB/AjQIggyMehW7wAh7dzfe28Vakhrqn2nqb676uEe0qdtgFzT/dVKjGPhXhUIbNrakMmjAbT6W1Tw==" saltValue="Wr51Lqhnd8BVyeYxPN1KsQ==" spinCount="100000" sheet="1" objects="1" scenarios="1" selectLockedCells="1" selectUnlockedCells="1"/>
  <mergeCells count="36"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R43:U43"/>
    <mergeCell ref="AD4:AD5"/>
    <mergeCell ref="AE4:AE5"/>
    <mergeCell ref="A54:E54"/>
    <mergeCell ref="A55:E55"/>
    <mergeCell ref="R55:S55"/>
    <mergeCell ref="A42:K42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W62"/>
  <sheetViews>
    <sheetView zoomScale="80" zoomScaleNormal="80" workbookViewId="0">
      <selection activeCell="AQ43" sqref="AQ43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  <c r="AV4" t="s">
        <v>169</v>
      </c>
      <c r="AW4" s="338" t="s">
        <v>207</v>
      </c>
    </row>
    <row r="5" spans="1:49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43313</v>
      </c>
      <c r="B8" s="49"/>
      <c r="C8" s="50">
        <v>85.524547288815398</v>
      </c>
      <c r="D8" s="50">
        <v>1426.0983013153082</v>
      </c>
      <c r="E8" s="50">
        <v>33.624353966116928</v>
      </c>
      <c r="F8" s="50">
        <v>0</v>
      </c>
      <c r="G8" s="50">
        <v>2868.445287958783</v>
      </c>
      <c r="H8" s="51">
        <v>42.34417329033213</v>
      </c>
      <c r="I8" s="49">
        <v>232.83150056203203</v>
      </c>
      <c r="J8" s="50">
        <v>600.51921037038301</v>
      </c>
      <c r="K8" s="50">
        <v>32.825724976261455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498.40071492136883</v>
      </c>
      <c r="V8" s="54">
        <v>259.72660475365876</v>
      </c>
      <c r="W8" s="54">
        <v>81.264042418940093</v>
      </c>
      <c r="X8" s="54">
        <v>42.348321730153444</v>
      </c>
      <c r="Y8" s="54">
        <v>278.1820412330988</v>
      </c>
      <c r="Z8" s="54">
        <v>144.96623883116604</v>
      </c>
      <c r="AA8" s="55">
        <v>0</v>
      </c>
      <c r="AB8" s="56">
        <v>166.03100979063242</v>
      </c>
      <c r="AC8" s="57">
        <v>0</v>
      </c>
      <c r="AD8" s="411">
        <v>18.882892020658559</v>
      </c>
      <c r="AE8" s="411">
        <v>9.6469331500020381</v>
      </c>
      <c r="AF8" s="57">
        <v>27.997804147667335</v>
      </c>
      <c r="AG8" s="58">
        <v>18.218462602978146</v>
      </c>
      <c r="AH8" s="58">
        <v>9.4940061160416729</v>
      </c>
      <c r="AI8" s="58">
        <v>0.65741030825140168</v>
      </c>
      <c r="AJ8" s="57">
        <v>217.75494621594746</v>
      </c>
      <c r="AK8" s="57">
        <v>741.43174626032533</v>
      </c>
      <c r="AL8" s="57">
        <v>3057.7930836995442</v>
      </c>
      <c r="AM8" s="57">
        <v>448.20263671875</v>
      </c>
      <c r="AN8" s="57">
        <v>1116.9773254394531</v>
      </c>
      <c r="AO8" s="57">
        <v>2911.4747773488371</v>
      </c>
      <c r="AP8" s="57">
        <v>576.67426684697477</v>
      </c>
      <c r="AQ8" s="57">
        <v>3647.1205615997319</v>
      </c>
      <c r="AR8" s="57">
        <v>453.78086560567209</v>
      </c>
      <c r="AS8" s="57">
        <v>848.84244848887113</v>
      </c>
    </row>
    <row r="9" spans="1:49" x14ac:dyDescent="0.25">
      <c r="A9" s="11">
        <v>43314</v>
      </c>
      <c r="B9" s="59"/>
      <c r="C9" s="60">
        <v>85.372160871823766</v>
      </c>
      <c r="D9" s="60">
        <v>1426.3630346298198</v>
      </c>
      <c r="E9" s="60">
        <v>33.489968475699442</v>
      </c>
      <c r="F9" s="60">
        <v>0</v>
      </c>
      <c r="G9" s="60">
        <v>2787.1804796854658</v>
      </c>
      <c r="H9" s="61">
        <v>42.440663290023807</v>
      </c>
      <c r="I9" s="59">
        <v>255.81760042508418</v>
      </c>
      <c r="J9" s="60">
        <v>679.64448550542352</v>
      </c>
      <c r="K9" s="60">
        <v>37.141111450394035</v>
      </c>
      <c r="L9" s="60">
        <v>0</v>
      </c>
      <c r="M9" s="60">
        <v>0</v>
      </c>
      <c r="N9" s="61">
        <v>0</v>
      </c>
      <c r="O9" s="49">
        <v>0</v>
      </c>
      <c r="P9" s="60">
        <v>0</v>
      </c>
      <c r="Q9" s="50">
        <v>0</v>
      </c>
      <c r="R9" s="50">
        <v>0</v>
      </c>
      <c r="S9" s="60">
        <v>0</v>
      </c>
      <c r="T9" s="64">
        <v>0</v>
      </c>
      <c r="U9" s="65">
        <v>560.57251292284889</v>
      </c>
      <c r="V9" s="62">
        <v>256.30208526236731</v>
      </c>
      <c r="W9" s="62">
        <v>91.148731165386494</v>
      </c>
      <c r="X9" s="62">
        <v>41.67455472423908</v>
      </c>
      <c r="Y9" s="66">
        <v>349.49915784197111</v>
      </c>
      <c r="Z9" s="66">
        <v>159.79620992345534</v>
      </c>
      <c r="AA9" s="67">
        <v>0</v>
      </c>
      <c r="AB9" s="68">
        <v>180.49334443410416</v>
      </c>
      <c r="AC9" s="69">
        <v>0</v>
      </c>
      <c r="AD9" s="412">
        <v>21.371151384901076</v>
      </c>
      <c r="AE9" s="412">
        <v>9.6484851602479793</v>
      </c>
      <c r="AF9" s="69">
        <v>30.567284501923524</v>
      </c>
      <c r="AG9" s="68">
        <v>20.763846816998278</v>
      </c>
      <c r="AH9" s="68">
        <v>9.4935393987065897</v>
      </c>
      <c r="AI9" s="68">
        <v>0.68624059821204775</v>
      </c>
      <c r="AJ9" s="69">
        <v>229.11527080535888</v>
      </c>
      <c r="AK9" s="69">
        <v>745.75487537384038</v>
      </c>
      <c r="AL9" s="69">
        <v>3030.8864060719807</v>
      </c>
      <c r="AM9" s="69">
        <v>448.20263671875</v>
      </c>
      <c r="AN9" s="69">
        <v>1116.9773254394531</v>
      </c>
      <c r="AO9" s="69">
        <v>2898.1948841094973</v>
      </c>
      <c r="AP9" s="69">
        <v>589.56800508499146</v>
      </c>
      <c r="AQ9" s="69">
        <v>3962.9387613932295</v>
      </c>
      <c r="AR9" s="69">
        <v>459.65785255432127</v>
      </c>
      <c r="AS9" s="69">
        <v>881.81906398137403</v>
      </c>
    </row>
    <row r="10" spans="1:49" x14ac:dyDescent="0.25">
      <c r="A10" s="11">
        <v>43315</v>
      </c>
      <c r="B10" s="59"/>
      <c r="C10" s="60">
        <v>84.631736532847256</v>
      </c>
      <c r="D10" s="60">
        <v>1424.7550330479944</v>
      </c>
      <c r="E10" s="60">
        <v>33.155052606264817</v>
      </c>
      <c r="F10" s="60">
        <v>0</v>
      </c>
      <c r="G10" s="60">
        <v>2691.2050535837816</v>
      </c>
      <c r="H10" s="61">
        <v>42.412162349621454</v>
      </c>
      <c r="I10" s="59">
        <v>256.13611408869417</v>
      </c>
      <c r="J10" s="60">
        <v>680.57297499974675</v>
      </c>
      <c r="K10" s="60">
        <v>37.229463335871685</v>
      </c>
      <c r="L10" s="60">
        <v>0</v>
      </c>
      <c r="M10" s="60">
        <v>0</v>
      </c>
      <c r="N10" s="61">
        <v>0</v>
      </c>
      <c r="O10" s="49">
        <v>0</v>
      </c>
      <c r="P10" s="60">
        <v>0</v>
      </c>
      <c r="Q10" s="50">
        <v>0</v>
      </c>
      <c r="R10" s="50">
        <v>0</v>
      </c>
      <c r="S10" s="60">
        <v>0</v>
      </c>
      <c r="T10" s="64">
        <v>0</v>
      </c>
      <c r="U10" s="65">
        <v>568.21522915635785</v>
      </c>
      <c r="V10" s="62">
        <v>256.58965967489053</v>
      </c>
      <c r="W10" s="62">
        <v>91.010432231030734</v>
      </c>
      <c r="X10" s="62">
        <v>41.097694385447234</v>
      </c>
      <c r="Y10" s="66">
        <v>363.83809628401553</v>
      </c>
      <c r="Z10" s="66">
        <v>164.29882289653693</v>
      </c>
      <c r="AA10" s="67">
        <v>0</v>
      </c>
      <c r="AB10" s="68">
        <v>178.34636693530481</v>
      </c>
      <c r="AC10" s="69">
        <v>0</v>
      </c>
      <c r="AD10" s="412">
        <v>21.397576033688733</v>
      </c>
      <c r="AE10" s="412">
        <v>9.6452684771020838</v>
      </c>
      <c r="AF10" s="69">
        <v>30.163651977645042</v>
      </c>
      <c r="AG10" s="68">
        <v>20.567470941479815</v>
      </c>
      <c r="AH10" s="68">
        <v>9.2876785035891807</v>
      </c>
      <c r="AI10" s="68">
        <v>0.68890865809672996</v>
      </c>
      <c r="AJ10" s="69">
        <v>227.04010613759357</v>
      </c>
      <c r="AK10" s="69">
        <v>746.15660848617563</v>
      </c>
      <c r="AL10" s="69">
        <v>3003.4919410705565</v>
      </c>
      <c r="AM10" s="69">
        <v>448.20263671875</v>
      </c>
      <c r="AN10" s="69">
        <v>1116.9773254394531</v>
      </c>
      <c r="AO10" s="69">
        <v>2870.7637045542397</v>
      </c>
      <c r="AP10" s="69">
        <v>549.12301923433938</v>
      </c>
      <c r="AQ10" s="69">
        <v>3883.3946409861242</v>
      </c>
      <c r="AR10" s="69">
        <v>455.27447557449335</v>
      </c>
      <c r="AS10" s="69">
        <v>876.6052177429201</v>
      </c>
    </row>
    <row r="11" spans="1:49" x14ac:dyDescent="0.25">
      <c r="A11" s="11">
        <v>43316</v>
      </c>
      <c r="B11" s="59"/>
      <c r="C11" s="60">
        <v>84.461833993594055</v>
      </c>
      <c r="D11" s="60">
        <v>1422.4274424235075</v>
      </c>
      <c r="E11" s="60">
        <v>33.109089033305665</v>
      </c>
      <c r="F11" s="60">
        <v>0</v>
      </c>
      <c r="G11" s="60">
        <v>2726.145088704428</v>
      </c>
      <c r="H11" s="61">
        <v>42.355997983614664</v>
      </c>
      <c r="I11" s="59">
        <v>256.32253092130043</v>
      </c>
      <c r="J11" s="60">
        <v>680.69951006571603</v>
      </c>
      <c r="K11" s="60">
        <v>37.264014428854047</v>
      </c>
      <c r="L11" s="60">
        <v>0</v>
      </c>
      <c r="M11" s="60">
        <v>0</v>
      </c>
      <c r="N11" s="61">
        <v>0</v>
      </c>
      <c r="O11" s="49">
        <v>0</v>
      </c>
      <c r="P11" s="60">
        <v>0</v>
      </c>
      <c r="Q11" s="50">
        <v>0</v>
      </c>
      <c r="R11" s="50">
        <v>0</v>
      </c>
      <c r="S11" s="60">
        <v>0</v>
      </c>
      <c r="T11" s="64">
        <v>0</v>
      </c>
      <c r="U11" s="65">
        <v>584.94316534512518</v>
      </c>
      <c r="V11" s="62">
        <v>268.81054940706866</v>
      </c>
      <c r="W11" s="62">
        <v>91.963922206706727</v>
      </c>
      <c r="X11" s="62">
        <v>42.262007522436946</v>
      </c>
      <c r="Y11" s="66">
        <v>373.06401141236671</v>
      </c>
      <c r="Z11" s="66">
        <v>171.44151400178245</v>
      </c>
      <c r="AA11" s="67">
        <v>0</v>
      </c>
      <c r="AB11" s="68">
        <v>176.50093303256693</v>
      </c>
      <c r="AC11" s="69">
        <v>0</v>
      </c>
      <c r="AD11" s="412">
        <v>21.403263140034035</v>
      </c>
      <c r="AE11" s="412">
        <v>9.6218323642216905</v>
      </c>
      <c r="AF11" s="69">
        <v>30.417694614993163</v>
      </c>
      <c r="AG11" s="68">
        <v>20.631403921757961</v>
      </c>
      <c r="AH11" s="68">
        <v>9.4811587720231287</v>
      </c>
      <c r="AI11" s="68">
        <v>0.68514274695121857</v>
      </c>
      <c r="AJ11" s="69">
        <v>224.41603239377341</v>
      </c>
      <c r="AK11" s="69">
        <v>730.96150140762313</v>
      </c>
      <c r="AL11" s="69">
        <v>3017.1750649770106</v>
      </c>
      <c r="AM11" s="69">
        <v>592.06530373891201</v>
      </c>
      <c r="AN11" s="69">
        <v>1116.9773254394531</v>
      </c>
      <c r="AO11" s="69">
        <v>2840.8745840708416</v>
      </c>
      <c r="AP11" s="69">
        <v>540.66970779101052</v>
      </c>
      <c r="AQ11" s="69">
        <v>3903.3285233815509</v>
      </c>
      <c r="AR11" s="69">
        <v>454.63043855031333</v>
      </c>
      <c r="AS11" s="69">
        <v>824.41162490844715</v>
      </c>
    </row>
    <row r="12" spans="1:49" x14ac:dyDescent="0.25">
      <c r="A12" s="11">
        <v>43317</v>
      </c>
      <c r="B12" s="59"/>
      <c r="C12" s="60">
        <v>84.924705576896628</v>
      </c>
      <c r="D12" s="60">
        <v>1422.4923222223906</v>
      </c>
      <c r="E12" s="60">
        <v>33.124218628803895</v>
      </c>
      <c r="F12" s="60">
        <v>0</v>
      </c>
      <c r="G12" s="60">
        <v>2717.47123222351</v>
      </c>
      <c r="H12" s="61">
        <v>42.424379414320157</v>
      </c>
      <c r="I12" s="59">
        <v>256.53450299898748</v>
      </c>
      <c r="J12" s="60">
        <v>681.34497178395713</v>
      </c>
      <c r="K12" s="60">
        <v>37.285349251826617</v>
      </c>
      <c r="L12" s="60">
        <v>0</v>
      </c>
      <c r="M12" s="60">
        <v>0</v>
      </c>
      <c r="N12" s="61">
        <v>0</v>
      </c>
      <c r="O12" s="49">
        <v>0</v>
      </c>
      <c r="P12" s="60">
        <v>0</v>
      </c>
      <c r="Q12" s="50">
        <v>0</v>
      </c>
      <c r="R12" s="50">
        <v>0</v>
      </c>
      <c r="S12" s="60">
        <v>0</v>
      </c>
      <c r="T12" s="64">
        <v>0</v>
      </c>
      <c r="U12" s="65">
        <v>578.6305923808543</v>
      </c>
      <c r="V12" s="62">
        <v>264.49843314201235</v>
      </c>
      <c r="W12" s="62">
        <v>93.527668430603129</v>
      </c>
      <c r="X12" s="62">
        <v>42.752529992464858</v>
      </c>
      <c r="Y12" s="66">
        <v>379.85684027512298</v>
      </c>
      <c r="Z12" s="66">
        <v>173.63675615152297</v>
      </c>
      <c r="AA12" s="67">
        <v>0</v>
      </c>
      <c r="AB12" s="68">
        <v>176.67235262129344</v>
      </c>
      <c r="AC12" s="69">
        <v>0</v>
      </c>
      <c r="AD12" s="412">
        <v>21.422222801212346</v>
      </c>
      <c r="AE12" s="412">
        <v>9.6219323165976256</v>
      </c>
      <c r="AF12" s="69">
        <v>30.918141614066215</v>
      </c>
      <c r="AG12" s="68">
        <v>21.002487943870253</v>
      </c>
      <c r="AH12" s="68">
        <v>9.6004691531783148</v>
      </c>
      <c r="AI12" s="68">
        <v>0.68628949409257545</v>
      </c>
      <c r="AJ12" s="69">
        <v>223.6741643746694</v>
      </c>
      <c r="AK12" s="69">
        <v>704.97395677566521</v>
      </c>
      <c r="AL12" s="69">
        <v>3181.7225001017255</v>
      </c>
      <c r="AM12" s="69">
        <v>547.19727579752612</v>
      </c>
      <c r="AN12" s="69">
        <v>1116.9773254394531</v>
      </c>
      <c r="AO12" s="69">
        <v>2828.4985736846925</v>
      </c>
      <c r="AP12" s="69">
        <v>538.44360998471575</v>
      </c>
      <c r="AQ12" s="69">
        <v>3856.2435025533046</v>
      </c>
      <c r="AR12" s="69">
        <v>454.85717178980502</v>
      </c>
      <c r="AS12" s="69">
        <v>810.67399584452323</v>
      </c>
    </row>
    <row r="13" spans="1:49" x14ac:dyDescent="0.25">
      <c r="A13" s="11">
        <v>43318</v>
      </c>
      <c r="B13" s="59"/>
      <c r="C13" s="60">
        <v>85.057933457692613</v>
      </c>
      <c r="D13" s="60">
        <v>1422.3484964370734</v>
      </c>
      <c r="E13" s="60">
        <v>33.027307382226006</v>
      </c>
      <c r="F13" s="60">
        <v>0</v>
      </c>
      <c r="G13" s="60">
        <v>2643.9705167134675</v>
      </c>
      <c r="H13" s="61">
        <v>42.310231870412828</v>
      </c>
      <c r="I13" s="59">
        <v>256.46237583160394</v>
      </c>
      <c r="J13" s="60">
        <v>681.19031499227071</v>
      </c>
      <c r="K13" s="60">
        <v>37.25313291748364</v>
      </c>
      <c r="L13" s="60">
        <v>0</v>
      </c>
      <c r="M13" s="60">
        <v>0</v>
      </c>
      <c r="N13" s="61">
        <v>0</v>
      </c>
      <c r="O13" s="49">
        <v>0</v>
      </c>
      <c r="P13" s="60">
        <v>0</v>
      </c>
      <c r="Q13" s="50">
        <v>0</v>
      </c>
      <c r="R13" s="50">
        <v>0</v>
      </c>
      <c r="S13" s="60">
        <v>0</v>
      </c>
      <c r="T13" s="64">
        <v>0</v>
      </c>
      <c r="U13" s="65">
        <v>568.72201824517992</v>
      </c>
      <c r="V13" s="62">
        <v>260.005155242169</v>
      </c>
      <c r="W13" s="62">
        <v>93.015282710829723</v>
      </c>
      <c r="X13" s="62">
        <v>42.524207337260918</v>
      </c>
      <c r="Y13" s="66">
        <v>372.3158393082179</v>
      </c>
      <c r="Z13" s="66">
        <v>170.21327554214503</v>
      </c>
      <c r="AA13" s="67">
        <v>0</v>
      </c>
      <c r="AB13" s="68">
        <v>176.53939082887541</v>
      </c>
      <c r="AC13" s="69">
        <v>0</v>
      </c>
      <c r="AD13" s="412">
        <v>21.418996689334236</v>
      </c>
      <c r="AE13" s="412">
        <v>9.6212720285159747</v>
      </c>
      <c r="AF13" s="69">
        <v>30.541392115751904</v>
      </c>
      <c r="AG13" s="68">
        <v>20.735630521084467</v>
      </c>
      <c r="AH13" s="68">
        <v>9.4797997259085687</v>
      </c>
      <c r="AI13" s="68">
        <v>0.68625964785485805</v>
      </c>
      <c r="AJ13" s="69">
        <v>225.7708960533142</v>
      </c>
      <c r="AK13" s="69">
        <v>745.23565120697015</v>
      </c>
      <c r="AL13" s="69">
        <v>3047.8072578430174</v>
      </c>
      <c r="AM13" s="69">
        <v>469.52146911621094</v>
      </c>
      <c r="AN13" s="69">
        <v>1116.9773254394531</v>
      </c>
      <c r="AO13" s="69">
        <v>2870.0574839274091</v>
      </c>
      <c r="AP13" s="69">
        <v>541.06815021832779</v>
      </c>
      <c r="AQ13" s="69">
        <v>3770.1063220977776</v>
      </c>
      <c r="AR13" s="69">
        <v>465.62680110931404</v>
      </c>
      <c r="AS13" s="69">
        <v>874.25877602895071</v>
      </c>
    </row>
    <row r="14" spans="1:49" x14ac:dyDescent="0.25">
      <c r="A14" s="11">
        <v>43319</v>
      </c>
      <c r="B14" s="59"/>
      <c r="C14" s="60">
        <v>85.518902941545548</v>
      </c>
      <c r="D14" s="60">
        <v>1421.7556650797499</v>
      </c>
      <c r="E14" s="60">
        <v>33.430203446745892</v>
      </c>
      <c r="F14" s="60">
        <v>0</v>
      </c>
      <c r="G14" s="60">
        <v>2608.3061916351321</v>
      </c>
      <c r="H14" s="61">
        <v>42.355195021629449</v>
      </c>
      <c r="I14" s="59">
        <v>256.42971423466975</v>
      </c>
      <c r="J14" s="60">
        <v>681.19223931630597</v>
      </c>
      <c r="K14" s="60">
        <v>37.267387090126732</v>
      </c>
      <c r="L14" s="60">
        <v>0</v>
      </c>
      <c r="M14" s="60">
        <v>0</v>
      </c>
      <c r="N14" s="61">
        <v>0</v>
      </c>
      <c r="O14" s="49">
        <v>0</v>
      </c>
      <c r="P14" s="60">
        <v>0</v>
      </c>
      <c r="Q14" s="50">
        <v>0</v>
      </c>
      <c r="R14" s="50">
        <v>0</v>
      </c>
      <c r="S14" s="60">
        <v>0</v>
      </c>
      <c r="T14" s="64">
        <v>0</v>
      </c>
      <c r="U14" s="65">
        <v>569.08081932670325</v>
      </c>
      <c r="V14" s="62">
        <v>254.79404101299758</v>
      </c>
      <c r="W14" s="62">
        <v>93.574784782798247</v>
      </c>
      <c r="X14" s="62">
        <v>41.89615383617965</v>
      </c>
      <c r="Y14" s="66">
        <v>379.19329126510985</v>
      </c>
      <c r="Z14" s="66">
        <v>169.77586965725794</v>
      </c>
      <c r="AA14" s="67">
        <v>0</v>
      </c>
      <c r="AB14" s="68">
        <v>176.54719904793902</v>
      </c>
      <c r="AC14" s="69">
        <v>0</v>
      </c>
      <c r="AD14" s="412">
        <v>21.417293392209409</v>
      </c>
      <c r="AE14" s="412">
        <v>9.6172768951477572</v>
      </c>
      <c r="AF14" s="69">
        <v>30.405530789163397</v>
      </c>
      <c r="AG14" s="68">
        <v>20.775439936567928</v>
      </c>
      <c r="AH14" s="68">
        <v>9.301768950012768</v>
      </c>
      <c r="AI14" s="68">
        <v>0.69073696348989133</v>
      </c>
      <c r="AJ14" s="69">
        <v>229.34957885742188</v>
      </c>
      <c r="AK14" s="69">
        <v>746.49646053314223</v>
      </c>
      <c r="AL14" s="69">
        <v>3067.0575164794927</v>
      </c>
      <c r="AM14" s="69">
        <v>469.52146911621094</v>
      </c>
      <c r="AN14" s="69">
        <v>1116.9773254394531</v>
      </c>
      <c r="AO14" s="69">
        <v>2799.5102937062575</v>
      </c>
      <c r="AP14" s="69">
        <v>568.00394349098201</v>
      </c>
      <c r="AQ14" s="69">
        <v>3778.5155274709064</v>
      </c>
      <c r="AR14" s="69">
        <v>478.04157390594486</v>
      </c>
      <c r="AS14" s="69">
        <v>876.62978712717688</v>
      </c>
    </row>
    <row r="15" spans="1:49" x14ac:dyDescent="0.25">
      <c r="A15" s="11">
        <v>43320</v>
      </c>
      <c r="B15" s="59"/>
      <c r="C15" s="60">
        <v>84.991626445452766</v>
      </c>
      <c r="D15" s="60">
        <v>1421.5439701716114</v>
      </c>
      <c r="E15" s="60">
        <v>33.418863712747942</v>
      </c>
      <c r="F15" s="60">
        <v>0</v>
      </c>
      <c r="G15" s="60">
        <v>2532.1157622019414</v>
      </c>
      <c r="H15" s="61">
        <v>42.272420676549352</v>
      </c>
      <c r="I15" s="59">
        <v>217.53122259775787</v>
      </c>
      <c r="J15" s="60">
        <v>557.37755997975705</v>
      </c>
      <c r="K15" s="60">
        <v>30.521598323186247</v>
      </c>
      <c r="L15" s="60">
        <v>0</v>
      </c>
      <c r="M15" s="60">
        <v>0</v>
      </c>
      <c r="N15" s="61">
        <v>0</v>
      </c>
      <c r="O15" s="49">
        <v>0</v>
      </c>
      <c r="P15" s="60">
        <v>0</v>
      </c>
      <c r="Q15" s="50">
        <v>0</v>
      </c>
      <c r="R15" s="50">
        <v>0</v>
      </c>
      <c r="S15" s="60">
        <v>0</v>
      </c>
      <c r="T15" s="64">
        <v>0</v>
      </c>
      <c r="U15" s="65">
        <v>458.81310521962411</v>
      </c>
      <c r="V15" s="62">
        <v>257.153281872116</v>
      </c>
      <c r="W15" s="62">
        <v>72.996096676993346</v>
      </c>
      <c r="X15" s="62">
        <v>40.912488354834011</v>
      </c>
      <c r="Y15" s="66">
        <v>295.3848218688068</v>
      </c>
      <c r="Z15" s="66">
        <v>165.55581236593932</v>
      </c>
      <c r="AA15" s="67">
        <v>0</v>
      </c>
      <c r="AB15" s="68">
        <v>153.88497765858921</v>
      </c>
      <c r="AC15" s="69">
        <v>0</v>
      </c>
      <c r="AD15" s="412">
        <v>17.518887996376698</v>
      </c>
      <c r="AE15" s="412">
        <v>9.61551935483193</v>
      </c>
      <c r="AF15" s="69">
        <v>26.734347791141932</v>
      </c>
      <c r="AG15" s="68">
        <v>16.945340406036689</v>
      </c>
      <c r="AH15" s="68">
        <v>9.4974399124162829</v>
      </c>
      <c r="AI15" s="68">
        <v>0.64083051033069549</v>
      </c>
      <c r="AJ15" s="69">
        <v>227.55002657572427</v>
      </c>
      <c r="AK15" s="69">
        <v>742.37237046559642</v>
      </c>
      <c r="AL15" s="69">
        <v>3085.6345757802328</v>
      </c>
      <c r="AM15" s="69">
        <v>469.52146911621094</v>
      </c>
      <c r="AN15" s="69">
        <v>1116.9773254394531</v>
      </c>
      <c r="AO15" s="69">
        <v>2793.2151434580483</v>
      </c>
      <c r="AP15" s="69">
        <v>570.53195015589404</v>
      </c>
      <c r="AQ15" s="69">
        <v>3375.4524444580074</v>
      </c>
      <c r="AR15" s="69">
        <v>461.68550790150954</v>
      </c>
      <c r="AS15" s="69">
        <v>875.17867765426649</v>
      </c>
    </row>
    <row r="16" spans="1:49" x14ac:dyDescent="0.25">
      <c r="A16" s="11">
        <v>43321</v>
      </c>
      <c r="B16" s="59"/>
      <c r="C16" s="60">
        <v>84.783973050118021</v>
      </c>
      <c r="D16" s="60">
        <v>1420.553517977397</v>
      </c>
      <c r="E16" s="60">
        <v>33.473361783723121</v>
      </c>
      <c r="F16" s="60">
        <v>0</v>
      </c>
      <c r="G16" s="60">
        <v>2511.0215337117506</v>
      </c>
      <c r="H16" s="61">
        <v>42.200240500768103</v>
      </c>
      <c r="I16" s="59">
        <v>186.11642218430816</v>
      </c>
      <c r="J16" s="60">
        <v>457.24965384801203</v>
      </c>
      <c r="K16" s="60">
        <v>24.947905687491076</v>
      </c>
      <c r="L16" s="60">
        <v>0</v>
      </c>
      <c r="M16" s="60">
        <v>0</v>
      </c>
      <c r="N16" s="61">
        <v>0</v>
      </c>
      <c r="O16" s="49">
        <v>0</v>
      </c>
      <c r="P16" s="60">
        <v>0</v>
      </c>
      <c r="Q16" s="50">
        <v>0</v>
      </c>
      <c r="R16" s="50">
        <v>0</v>
      </c>
      <c r="S16" s="60">
        <v>0</v>
      </c>
      <c r="T16" s="64">
        <v>0</v>
      </c>
      <c r="U16" s="65">
        <v>388.62167119663229</v>
      </c>
      <c r="V16" s="62">
        <v>266.5530366823366</v>
      </c>
      <c r="W16" s="62">
        <v>59.264954342157132</v>
      </c>
      <c r="X16" s="62">
        <v>40.649440624604331</v>
      </c>
      <c r="Y16" s="66">
        <v>213.98946639903733</v>
      </c>
      <c r="Z16" s="66">
        <v>146.773961192287</v>
      </c>
      <c r="AA16" s="67">
        <v>0</v>
      </c>
      <c r="AB16" s="68">
        <v>135.71405139499268</v>
      </c>
      <c r="AC16" s="69">
        <v>0</v>
      </c>
      <c r="AD16" s="412">
        <v>14.376232150763457</v>
      </c>
      <c r="AE16" s="412">
        <v>9.6089756193257774</v>
      </c>
      <c r="AF16" s="69">
        <v>23.856130814552309</v>
      </c>
      <c r="AG16" s="68">
        <v>13.997120472451925</v>
      </c>
      <c r="AH16" s="68">
        <v>9.6005324542304997</v>
      </c>
      <c r="AI16" s="68">
        <v>0.59315731593903775</v>
      </c>
      <c r="AJ16" s="69">
        <v>231.67349297205607</v>
      </c>
      <c r="AK16" s="69">
        <v>756.31972684860216</v>
      </c>
      <c r="AL16" s="69">
        <v>3129.9533650716144</v>
      </c>
      <c r="AM16" s="69">
        <v>470.29063428243001</v>
      </c>
      <c r="AN16" s="69">
        <v>1116.9773254394531</v>
      </c>
      <c r="AO16" s="69">
        <v>2808.512870152791</v>
      </c>
      <c r="AP16" s="69">
        <v>586.82779992421479</v>
      </c>
      <c r="AQ16" s="69">
        <v>3045.0605319976803</v>
      </c>
      <c r="AR16" s="69">
        <v>466.03417167663571</v>
      </c>
      <c r="AS16" s="69">
        <v>873.92515830993659</v>
      </c>
    </row>
    <row r="17" spans="1:45" s="382" customFormat="1" ht="15" customHeight="1" x14ac:dyDescent="0.25">
      <c r="A17" s="11">
        <v>43322</v>
      </c>
      <c r="B17" s="376"/>
      <c r="C17" s="377">
        <v>84.466008849939129</v>
      </c>
      <c r="D17" s="377">
        <v>1421.2314462025972</v>
      </c>
      <c r="E17" s="377">
        <v>33.58068540692328</v>
      </c>
      <c r="F17" s="377">
        <v>0</v>
      </c>
      <c r="G17" s="377">
        <v>2492.3305885314953</v>
      </c>
      <c r="H17" s="378">
        <v>42.247433257103069</v>
      </c>
      <c r="I17" s="376">
        <v>203.05319085121158</v>
      </c>
      <c r="J17" s="377">
        <v>523.0290110905961</v>
      </c>
      <c r="K17" s="377">
        <v>28.506958562135683</v>
      </c>
      <c r="L17" s="379">
        <v>0</v>
      </c>
      <c r="M17" s="60">
        <v>0</v>
      </c>
      <c r="N17" s="378">
        <v>0</v>
      </c>
      <c r="O17" s="49">
        <v>0</v>
      </c>
      <c r="P17" s="377">
        <v>0</v>
      </c>
      <c r="Q17" s="50">
        <v>0</v>
      </c>
      <c r="R17" s="50">
        <v>0</v>
      </c>
      <c r="S17" s="377">
        <v>0</v>
      </c>
      <c r="T17" s="378">
        <v>0</v>
      </c>
      <c r="U17" s="376">
        <v>434.58852518116169</v>
      </c>
      <c r="V17" s="377">
        <v>261.44869003050064</v>
      </c>
      <c r="W17" s="377">
        <v>68.102881030010323</v>
      </c>
      <c r="X17" s="377">
        <v>40.970729784402167</v>
      </c>
      <c r="Y17" s="377">
        <v>243.92873078660304</v>
      </c>
      <c r="Z17" s="377">
        <v>146.74765537901621</v>
      </c>
      <c r="AA17" s="378">
        <v>0</v>
      </c>
      <c r="AB17" s="380">
        <v>147.6569710731512</v>
      </c>
      <c r="AC17" s="381">
        <v>0</v>
      </c>
      <c r="AD17" s="412">
        <v>16.447560539894553</v>
      </c>
      <c r="AE17" s="412">
        <v>9.6140423532400341</v>
      </c>
      <c r="AF17" s="381">
        <v>25.347785736454856</v>
      </c>
      <c r="AG17" s="381">
        <v>15.633945081785198</v>
      </c>
      <c r="AH17" s="381">
        <v>9.405389753302007</v>
      </c>
      <c r="AI17" s="381">
        <v>0.62437541511197059</v>
      </c>
      <c r="AJ17" s="381">
        <v>239.64108839035035</v>
      </c>
      <c r="AK17" s="381">
        <v>757.70074049631762</v>
      </c>
      <c r="AL17" s="381">
        <v>3038.82694384257</v>
      </c>
      <c r="AM17" s="381">
        <v>451.61567687988281</v>
      </c>
      <c r="AN17" s="381">
        <v>1116.9773254394531</v>
      </c>
      <c r="AO17" s="381">
        <v>2825.3727776845294</v>
      </c>
      <c r="AP17" s="381">
        <v>599.28331211407976</v>
      </c>
      <c r="AQ17" s="381">
        <v>3331.6872842152911</v>
      </c>
      <c r="AR17" s="381">
        <v>463.62303520838424</v>
      </c>
      <c r="AS17" s="381">
        <v>913.62094078063967</v>
      </c>
    </row>
    <row r="18" spans="1:45" x14ac:dyDescent="0.25">
      <c r="A18" s="11">
        <v>43323</v>
      </c>
      <c r="B18" s="59"/>
      <c r="C18" s="60">
        <v>84.698084779580611</v>
      </c>
      <c r="D18" s="60">
        <v>1422.158823903399</v>
      </c>
      <c r="E18" s="60">
        <v>33.304575014114391</v>
      </c>
      <c r="F18" s="60">
        <v>0</v>
      </c>
      <c r="G18" s="60">
        <v>2426.0725540161102</v>
      </c>
      <c r="H18" s="61">
        <v>42.247646820545214</v>
      </c>
      <c r="I18" s="59">
        <v>227.15569388071671</v>
      </c>
      <c r="J18" s="60">
        <v>619.93958762486659</v>
      </c>
      <c r="K18" s="60">
        <v>33.902624059716807</v>
      </c>
      <c r="L18" s="60">
        <v>0</v>
      </c>
      <c r="M18" s="60">
        <v>0</v>
      </c>
      <c r="N18" s="61">
        <v>0</v>
      </c>
      <c r="O18" s="49">
        <v>0</v>
      </c>
      <c r="P18" s="60">
        <v>0</v>
      </c>
      <c r="Q18" s="50">
        <v>0</v>
      </c>
      <c r="R18" s="50">
        <v>0</v>
      </c>
      <c r="S18" s="60">
        <v>0</v>
      </c>
      <c r="T18" s="64">
        <v>0</v>
      </c>
      <c r="U18" s="65">
        <v>499.74836567100363</v>
      </c>
      <c r="V18" s="62">
        <v>249.17860820171188</v>
      </c>
      <c r="W18" s="62">
        <v>80.314240969126871</v>
      </c>
      <c r="X18" s="62">
        <v>40.045335128997124</v>
      </c>
      <c r="Y18" s="66">
        <v>317.33696593149307</v>
      </c>
      <c r="Z18" s="66">
        <v>158.22679759160943</v>
      </c>
      <c r="AA18" s="67">
        <v>0</v>
      </c>
      <c r="AB18" s="68">
        <v>165.38152855767018</v>
      </c>
      <c r="AC18" s="69">
        <v>0</v>
      </c>
      <c r="AD18" s="412">
        <v>19.492376557174552</v>
      </c>
      <c r="AE18" s="412">
        <v>9.6207187678363066</v>
      </c>
      <c r="AF18" s="69">
        <v>27.96399392816755</v>
      </c>
      <c r="AG18" s="68">
        <v>18.402068905776932</v>
      </c>
      <c r="AH18" s="68">
        <v>9.1754215380309532</v>
      </c>
      <c r="AI18" s="68">
        <v>0.66728584108380473</v>
      </c>
      <c r="AJ18" s="69">
        <v>236.25127847989398</v>
      </c>
      <c r="AK18" s="69">
        <v>756.71293500264494</v>
      </c>
      <c r="AL18" s="69">
        <v>3037.2632002512619</v>
      </c>
      <c r="AM18" s="69">
        <v>451.61567687988281</v>
      </c>
      <c r="AN18" s="69">
        <v>1116.9773254394531</v>
      </c>
      <c r="AO18" s="69">
        <v>2805.7900400797525</v>
      </c>
      <c r="AP18" s="69">
        <v>588.47210534413648</v>
      </c>
      <c r="AQ18" s="69">
        <v>3613.220240275065</v>
      </c>
      <c r="AR18" s="69">
        <v>473.72580391565958</v>
      </c>
      <c r="AS18" s="69">
        <v>877.6761550267538</v>
      </c>
    </row>
    <row r="19" spans="1:45" x14ac:dyDescent="0.25">
      <c r="A19" s="11">
        <v>43324</v>
      </c>
      <c r="B19" s="59"/>
      <c r="C19" s="60">
        <v>85.243528370062862</v>
      </c>
      <c r="D19" s="60">
        <v>1422.7504544576018</v>
      </c>
      <c r="E19" s="60">
        <v>33.022186773518698</v>
      </c>
      <c r="F19" s="60">
        <v>0</v>
      </c>
      <c r="G19" s="60">
        <v>2502.0780291239457</v>
      </c>
      <c r="H19" s="61">
        <v>42.221517990032758</v>
      </c>
      <c r="I19" s="59">
        <v>226.89954759279854</v>
      </c>
      <c r="J19" s="60">
        <v>619.56534156799182</v>
      </c>
      <c r="K19" s="60">
        <v>33.923653910557398</v>
      </c>
      <c r="L19" s="60">
        <v>0</v>
      </c>
      <c r="M19" s="60">
        <v>0</v>
      </c>
      <c r="N19" s="61">
        <v>0</v>
      </c>
      <c r="O19" s="49">
        <v>0</v>
      </c>
      <c r="P19" s="60">
        <v>0</v>
      </c>
      <c r="Q19" s="50">
        <v>0</v>
      </c>
      <c r="R19" s="50">
        <v>0</v>
      </c>
      <c r="S19" s="60">
        <v>0</v>
      </c>
      <c r="T19" s="64">
        <v>0</v>
      </c>
      <c r="U19" s="65">
        <v>510.70247372854828</v>
      </c>
      <c r="V19" s="62">
        <v>257.96498287715292</v>
      </c>
      <c r="W19" s="62">
        <v>83.233321782723536</v>
      </c>
      <c r="X19" s="62">
        <v>42.042644265516877</v>
      </c>
      <c r="Y19" s="66">
        <v>324.73865131382269</v>
      </c>
      <c r="Z19" s="66">
        <v>164.03131947672253</v>
      </c>
      <c r="AA19" s="67">
        <v>0</v>
      </c>
      <c r="AB19" s="68">
        <v>165.28868963453527</v>
      </c>
      <c r="AC19" s="69">
        <v>0</v>
      </c>
      <c r="AD19" s="412">
        <v>19.480595414919797</v>
      </c>
      <c r="AE19" s="412">
        <v>9.6253518933181024</v>
      </c>
      <c r="AF19" s="69">
        <v>28.859618964460161</v>
      </c>
      <c r="AG19" s="68">
        <v>18.920780297112607</v>
      </c>
      <c r="AH19" s="68">
        <v>9.557225618533721</v>
      </c>
      <c r="AI19" s="68">
        <v>0.66439976005192103</v>
      </c>
      <c r="AJ19" s="69">
        <v>235.58966207504272</v>
      </c>
      <c r="AK19" s="69">
        <v>757.21151113510132</v>
      </c>
      <c r="AL19" s="69">
        <v>3103.6819389343264</v>
      </c>
      <c r="AM19" s="69">
        <v>451.61567687988281</v>
      </c>
      <c r="AN19" s="69">
        <v>1116.9773254394531</v>
      </c>
      <c r="AO19" s="69">
        <v>2779.6533101399732</v>
      </c>
      <c r="AP19" s="69">
        <v>578.39593168894464</v>
      </c>
      <c r="AQ19" s="69">
        <v>3601.822301419576</v>
      </c>
      <c r="AR19" s="69">
        <v>462.54822492599476</v>
      </c>
      <c r="AS19" s="69">
        <v>848.72667016983041</v>
      </c>
    </row>
    <row r="20" spans="1:45" x14ac:dyDescent="0.25">
      <c r="A20" s="11">
        <v>43325</v>
      </c>
      <c r="B20" s="59"/>
      <c r="C20" s="60">
        <v>85.196515162785929</v>
      </c>
      <c r="D20" s="60">
        <v>1421.6161827087401</v>
      </c>
      <c r="E20" s="60">
        <v>33.102621395885997</v>
      </c>
      <c r="F20" s="60">
        <v>0</v>
      </c>
      <c r="G20" s="60">
        <v>2550.1755101521817</v>
      </c>
      <c r="H20" s="61">
        <v>42.199383958180846</v>
      </c>
      <c r="I20" s="59">
        <v>200.23724414507532</v>
      </c>
      <c r="J20" s="60">
        <v>513.92993462880361</v>
      </c>
      <c r="K20" s="60">
        <v>28.155821425219372</v>
      </c>
      <c r="L20" s="60">
        <v>0</v>
      </c>
      <c r="M20" s="60">
        <v>0</v>
      </c>
      <c r="N20" s="61">
        <v>0</v>
      </c>
      <c r="O20" s="49">
        <v>0</v>
      </c>
      <c r="P20" s="60">
        <v>0</v>
      </c>
      <c r="Q20" s="50">
        <v>0</v>
      </c>
      <c r="R20" s="50">
        <v>0</v>
      </c>
      <c r="S20" s="60">
        <v>0</v>
      </c>
      <c r="T20" s="64">
        <v>0</v>
      </c>
      <c r="U20" s="65">
        <v>439.10469336454497</v>
      </c>
      <c r="V20" s="62">
        <v>267.76402520658672</v>
      </c>
      <c r="W20" s="62">
        <v>69.516151721003411</v>
      </c>
      <c r="X20" s="62">
        <v>42.390630031900784</v>
      </c>
      <c r="Y20" s="66">
        <v>263.67439187809282</v>
      </c>
      <c r="Z20" s="66">
        <v>160.78743311122577</v>
      </c>
      <c r="AA20" s="67">
        <v>0</v>
      </c>
      <c r="AB20" s="68">
        <v>146.01894713507698</v>
      </c>
      <c r="AC20" s="69">
        <v>0</v>
      </c>
      <c r="AD20" s="412">
        <v>16.157276253442767</v>
      </c>
      <c r="AE20" s="412">
        <v>9.6168417972710092</v>
      </c>
      <c r="AF20" s="69">
        <v>25.39413913620842</v>
      </c>
      <c r="AG20" s="68">
        <v>15.586740142490337</v>
      </c>
      <c r="AH20" s="68">
        <v>9.5047225490195366</v>
      </c>
      <c r="AI20" s="68">
        <v>0.62119695189250079</v>
      </c>
      <c r="AJ20" s="69">
        <v>237.23385605812072</v>
      </c>
      <c r="AK20" s="69">
        <v>749.03498611450198</v>
      </c>
      <c r="AL20" s="69">
        <v>3006.4903826395666</v>
      </c>
      <c r="AM20" s="69">
        <v>451.61567687988281</v>
      </c>
      <c r="AN20" s="69">
        <v>1116.9773254394531</v>
      </c>
      <c r="AO20" s="69">
        <v>2827.1826030731208</v>
      </c>
      <c r="AP20" s="69">
        <v>557.30967221260062</v>
      </c>
      <c r="AQ20" s="69">
        <v>3265.366923395793</v>
      </c>
      <c r="AR20" s="69">
        <v>458.23180853525793</v>
      </c>
      <c r="AS20" s="69">
        <v>853.75273838043199</v>
      </c>
    </row>
    <row r="21" spans="1:45" x14ac:dyDescent="0.25">
      <c r="A21" s="11">
        <v>43326</v>
      </c>
      <c r="B21" s="59"/>
      <c r="C21" s="60">
        <v>84.66134630441681</v>
      </c>
      <c r="D21" s="60">
        <v>1421.7775340398148</v>
      </c>
      <c r="E21" s="60">
        <v>33.061990311741837</v>
      </c>
      <c r="F21" s="60">
        <v>0</v>
      </c>
      <c r="G21" s="60">
        <v>2493.0105548858674</v>
      </c>
      <c r="H21" s="61">
        <v>42.212100811799374</v>
      </c>
      <c r="I21" s="59">
        <v>189.54161624113695</v>
      </c>
      <c r="J21" s="60">
        <v>457.13724845250357</v>
      </c>
      <c r="K21" s="60">
        <v>24.883110975722477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399.27068158538344</v>
      </c>
      <c r="V21" s="62">
        <v>273.8618621056184</v>
      </c>
      <c r="W21" s="62">
        <v>61.657277236337706</v>
      </c>
      <c r="X21" s="62">
        <v>42.291050996427458</v>
      </c>
      <c r="Y21" s="66">
        <v>214.77187026179664</v>
      </c>
      <c r="Z21" s="66">
        <v>147.313156288496</v>
      </c>
      <c r="AA21" s="67">
        <v>0</v>
      </c>
      <c r="AB21" s="68">
        <v>135.60188642078063</v>
      </c>
      <c r="AC21" s="69">
        <v>0</v>
      </c>
      <c r="AD21" s="412">
        <v>14.372008425111403</v>
      </c>
      <c r="AE21" s="412">
        <v>9.6214760459620177</v>
      </c>
      <c r="AF21" s="69">
        <v>23.851103468736028</v>
      </c>
      <c r="AG21" s="68">
        <v>13.999175564866217</v>
      </c>
      <c r="AH21" s="68">
        <v>9.6021082061791052</v>
      </c>
      <c r="AI21" s="68">
        <v>0.59315313949323278</v>
      </c>
      <c r="AJ21" s="69">
        <v>238.67304636637368</v>
      </c>
      <c r="AK21" s="69">
        <v>747.39684890111289</v>
      </c>
      <c r="AL21" s="69">
        <v>3002.0595378875732</v>
      </c>
      <c r="AM21" s="69">
        <v>451.61567687988281</v>
      </c>
      <c r="AN21" s="69">
        <v>1116.9773254394531</v>
      </c>
      <c r="AO21" s="69">
        <v>2847.9126766204836</v>
      </c>
      <c r="AP21" s="69">
        <v>557.70257323582962</v>
      </c>
      <c r="AQ21" s="69">
        <v>3060.0198828379312</v>
      </c>
      <c r="AR21" s="69">
        <v>458.90976282755531</v>
      </c>
      <c r="AS21" s="69">
        <v>833.05745124816895</v>
      </c>
    </row>
    <row r="22" spans="1:45" x14ac:dyDescent="0.25">
      <c r="A22" s="11">
        <v>43327</v>
      </c>
      <c r="B22" s="59"/>
      <c r="C22" s="60">
        <v>85.317873891194907</v>
      </c>
      <c r="D22" s="60">
        <v>1423.201863034566</v>
      </c>
      <c r="E22" s="60">
        <v>33.462121831874114</v>
      </c>
      <c r="F22" s="60">
        <v>0</v>
      </c>
      <c r="G22" s="60">
        <v>2505.5426840464315</v>
      </c>
      <c r="H22" s="61">
        <v>42.309732923905067</v>
      </c>
      <c r="I22" s="59">
        <v>190.68896860281652</v>
      </c>
      <c r="J22" s="60">
        <v>457.19691969553509</v>
      </c>
      <c r="K22" s="60">
        <v>25.013715257247302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383.82070945171898</v>
      </c>
      <c r="V22" s="62">
        <v>260.70361892844124</v>
      </c>
      <c r="W22" s="62">
        <v>58.194734488326063</v>
      </c>
      <c r="X22" s="62">
        <v>39.527773020269549</v>
      </c>
      <c r="Y22" s="66">
        <v>202.09072152707691</v>
      </c>
      <c r="Z22" s="66">
        <v>137.26664861109109</v>
      </c>
      <c r="AA22" s="67">
        <v>0</v>
      </c>
      <c r="AB22" s="68">
        <v>135.69651328192998</v>
      </c>
      <c r="AC22" s="69">
        <v>0</v>
      </c>
      <c r="AD22" s="412">
        <v>14.374009885940733</v>
      </c>
      <c r="AE22" s="412">
        <v>9.6274223043592126</v>
      </c>
      <c r="AF22" s="69">
        <v>22.859089450041534</v>
      </c>
      <c r="AG22" s="68">
        <v>13.462842797651174</v>
      </c>
      <c r="AH22" s="68">
        <v>9.1444045409276224</v>
      </c>
      <c r="AI22" s="68">
        <v>0.59551004136081231</v>
      </c>
      <c r="AJ22" s="69">
        <v>233.68261771202089</v>
      </c>
      <c r="AK22" s="69">
        <v>745.87350680033364</v>
      </c>
      <c r="AL22" s="69">
        <v>2994.4933513641354</v>
      </c>
      <c r="AM22" s="69">
        <v>451.61567687988281</v>
      </c>
      <c r="AN22" s="69">
        <v>1116.9773254394531</v>
      </c>
      <c r="AO22" s="69">
        <v>2871.903626124064</v>
      </c>
      <c r="AP22" s="69">
        <v>581.44841898282368</v>
      </c>
      <c r="AQ22" s="69">
        <v>3048.575389989217</v>
      </c>
      <c r="AR22" s="69">
        <v>466.32938248316435</v>
      </c>
      <c r="AS22" s="69">
        <v>863.09168895085668</v>
      </c>
    </row>
    <row r="23" spans="1:45" x14ac:dyDescent="0.25">
      <c r="A23" s="11">
        <v>43328</v>
      </c>
      <c r="B23" s="59"/>
      <c r="C23" s="60">
        <v>84.757584396998141</v>
      </c>
      <c r="D23" s="60">
        <v>1421.663527043658</v>
      </c>
      <c r="E23" s="60">
        <v>33.106698513527746</v>
      </c>
      <c r="F23" s="60">
        <v>0</v>
      </c>
      <c r="G23" s="60">
        <v>2339.7057830810541</v>
      </c>
      <c r="H23" s="61">
        <v>42.203200707832984</v>
      </c>
      <c r="I23" s="59">
        <v>190.59933501879379</v>
      </c>
      <c r="J23" s="60">
        <v>456.88105684916121</v>
      </c>
      <c r="K23" s="60">
        <v>24.957160597046233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400.89076662161324</v>
      </c>
      <c r="V23" s="62">
        <v>274.80306636924706</v>
      </c>
      <c r="W23" s="62">
        <v>61.044391403213822</v>
      </c>
      <c r="X23" s="62">
        <v>41.844780022287651</v>
      </c>
      <c r="Y23" s="66">
        <v>207.78893994400863</v>
      </c>
      <c r="Z23" s="66">
        <v>142.43540287902056</v>
      </c>
      <c r="AA23" s="67">
        <v>0</v>
      </c>
      <c r="AB23" s="68">
        <v>135.41651079389689</v>
      </c>
      <c r="AC23" s="69">
        <v>0</v>
      </c>
      <c r="AD23" s="412">
        <v>14.363665340541225</v>
      </c>
      <c r="AE23" s="412">
        <v>9.616876337279308</v>
      </c>
      <c r="AF23" s="69">
        <v>23.647087811099215</v>
      </c>
      <c r="AG23" s="68">
        <v>13.891951490026695</v>
      </c>
      <c r="AH23" s="68">
        <v>9.5226709746483582</v>
      </c>
      <c r="AI23" s="68">
        <v>0.59330239088779113</v>
      </c>
      <c r="AJ23" s="69">
        <v>232.13809204101563</v>
      </c>
      <c r="AK23" s="69">
        <v>747.19854637781782</v>
      </c>
      <c r="AL23" s="69">
        <v>3042.5748410542806</v>
      </c>
      <c r="AM23" s="69">
        <v>451.61567687988281</v>
      </c>
      <c r="AN23" s="69">
        <v>1116.9773254394531</v>
      </c>
      <c r="AO23" s="69">
        <v>2870.7028116861975</v>
      </c>
      <c r="AP23" s="69">
        <v>591.93622606595352</v>
      </c>
      <c r="AQ23" s="69">
        <v>3053.2657825469973</v>
      </c>
      <c r="AR23" s="69">
        <v>438.75677900314338</v>
      </c>
      <c r="AS23" s="69">
        <v>844.37482757568364</v>
      </c>
    </row>
    <row r="24" spans="1:45" x14ac:dyDescent="0.25">
      <c r="A24" s="11">
        <v>43329</v>
      </c>
      <c r="B24" s="59"/>
      <c r="C24" s="60">
        <v>84.240815687179548</v>
      </c>
      <c r="D24" s="60">
        <v>1439.0556608200088</v>
      </c>
      <c r="E24" s="60">
        <v>32.899817109107964</v>
      </c>
      <c r="F24" s="60">
        <v>0</v>
      </c>
      <c r="G24" s="60">
        <v>2280.7275854746467</v>
      </c>
      <c r="H24" s="61">
        <v>42.227831596136134</v>
      </c>
      <c r="I24" s="59">
        <v>199.24689771334326</v>
      </c>
      <c r="J24" s="60">
        <v>456.8560160319002</v>
      </c>
      <c r="K24" s="60">
        <v>24.903238415718057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411.24050516483334</v>
      </c>
      <c r="V24" s="62">
        <v>281.95546308162346</v>
      </c>
      <c r="W24" s="62">
        <v>65.092089989661176</v>
      </c>
      <c r="X24" s="62">
        <v>44.628557122867434</v>
      </c>
      <c r="Y24" s="66">
        <v>206.18809256314228</v>
      </c>
      <c r="Z24" s="66">
        <v>141.36705502113762</v>
      </c>
      <c r="AA24" s="67">
        <v>0</v>
      </c>
      <c r="AB24" s="68">
        <v>135.46435220506436</v>
      </c>
      <c r="AC24" s="69">
        <v>0</v>
      </c>
      <c r="AD24" s="412">
        <v>14.363866545328323</v>
      </c>
      <c r="AE24" s="412">
        <v>9.6200168806147541</v>
      </c>
      <c r="AF24" s="69">
        <v>23.710891520977004</v>
      </c>
      <c r="AG24" s="68">
        <v>13.928441547668102</v>
      </c>
      <c r="AH24" s="68">
        <v>9.5496434258196032</v>
      </c>
      <c r="AI24" s="68">
        <v>0.59325288086300887</v>
      </c>
      <c r="AJ24" s="69">
        <v>242.61467680931091</v>
      </c>
      <c r="AK24" s="69">
        <v>749.57911570866895</v>
      </c>
      <c r="AL24" s="69">
        <v>3135.2938013712564</v>
      </c>
      <c r="AM24" s="69">
        <v>462.53809000651046</v>
      </c>
      <c r="AN24" s="69">
        <v>1116.9773254394531</v>
      </c>
      <c r="AO24" s="69">
        <v>2857.080798467</v>
      </c>
      <c r="AP24" s="69">
        <v>579.06491273244228</v>
      </c>
      <c r="AQ24" s="69">
        <v>3002.9345077514645</v>
      </c>
      <c r="AR24" s="69">
        <v>442.73274211883546</v>
      </c>
      <c r="AS24" s="69">
        <v>922.02650585174547</v>
      </c>
    </row>
    <row r="25" spans="1:45" x14ac:dyDescent="0.25">
      <c r="A25" s="11">
        <v>43330</v>
      </c>
      <c r="B25" s="59"/>
      <c r="C25" s="60">
        <v>85.001111928622436</v>
      </c>
      <c r="D25" s="60">
        <v>1447.8892704010022</v>
      </c>
      <c r="E25" s="60">
        <v>32.953357671697937</v>
      </c>
      <c r="F25" s="60">
        <v>0</v>
      </c>
      <c r="G25" s="60">
        <v>2537.7532190958668</v>
      </c>
      <c r="H25" s="61">
        <v>42.235162192583168</v>
      </c>
      <c r="I25" s="59">
        <v>199.92245397567746</v>
      </c>
      <c r="J25" s="60">
        <v>456.81055603027318</v>
      </c>
      <c r="K25" s="60">
        <v>24.977801639835029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400.30923562268168</v>
      </c>
      <c r="V25" s="62">
        <v>274.45442951301555</v>
      </c>
      <c r="W25" s="62">
        <v>63.61033192654682</v>
      </c>
      <c r="X25" s="62">
        <v>43.611627727943386</v>
      </c>
      <c r="Y25" s="66">
        <v>202.74205237533712</v>
      </c>
      <c r="Z25" s="66">
        <v>139.0011755197643</v>
      </c>
      <c r="AA25" s="67">
        <v>0</v>
      </c>
      <c r="AB25" s="68">
        <v>135.40827814737887</v>
      </c>
      <c r="AC25" s="69">
        <v>0</v>
      </c>
      <c r="AD25" s="412">
        <v>14.361562531602788</v>
      </c>
      <c r="AE25" s="412">
        <v>9.6239514229379637</v>
      </c>
      <c r="AF25" s="69">
        <v>23.834890760315741</v>
      </c>
      <c r="AG25" s="68">
        <v>14.00188141662731</v>
      </c>
      <c r="AH25" s="68">
        <v>9.5997744601913517</v>
      </c>
      <c r="AI25" s="68">
        <v>0.59325843448043125</v>
      </c>
      <c r="AJ25" s="69">
        <v>240.64859612782794</v>
      </c>
      <c r="AK25" s="69">
        <v>745.00647598902401</v>
      </c>
      <c r="AL25" s="69">
        <v>2934.1819100697835</v>
      </c>
      <c r="AM25" s="69">
        <v>616.73249816894531</v>
      </c>
      <c r="AN25" s="69">
        <v>1116.9773254394531</v>
      </c>
      <c r="AO25" s="69">
        <v>2786.6268750508625</v>
      </c>
      <c r="AP25" s="69">
        <v>518.51715648969014</v>
      </c>
      <c r="AQ25" s="69">
        <v>2979.4146266937255</v>
      </c>
      <c r="AR25" s="69">
        <v>437.10029424031569</v>
      </c>
      <c r="AS25" s="69">
        <v>833.27367900212585</v>
      </c>
    </row>
    <row r="26" spans="1:45" x14ac:dyDescent="0.25">
      <c r="A26" s="11">
        <v>43331</v>
      </c>
      <c r="B26" s="59"/>
      <c r="C26" s="60">
        <v>84.316902927557493</v>
      </c>
      <c r="D26" s="60">
        <v>1448.8494551340737</v>
      </c>
      <c r="E26" s="60">
        <v>32.838364812731776</v>
      </c>
      <c r="F26" s="60">
        <v>0</v>
      </c>
      <c r="G26" s="60">
        <v>2536.5608571370426</v>
      </c>
      <c r="H26" s="61">
        <v>42.277896332740873</v>
      </c>
      <c r="I26" s="59">
        <v>203.47893040974921</v>
      </c>
      <c r="J26" s="60">
        <v>456.61750593185343</v>
      </c>
      <c r="K26" s="60">
        <v>24.951984671254962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395.62810042313566</v>
      </c>
      <c r="V26" s="62">
        <v>271.24370743819333</v>
      </c>
      <c r="W26" s="62">
        <v>63.856210807859895</v>
      </c>
      <c r="X26" s="62">
        <v>43.779992735485351</v>
      </c>
      <c r="Y26" s="66">
        <v>200.87718249740257</v>
      </c>
      <c r="Z26" s="66">
        <v>137.72194558995929</v>
      </c>
      <c r="AA26" s="67">
        <v>0</v>
      </c>
      <c r="AB26" s="68">
        <v>135.72642736435088</v>
      </c>
      <c r="AC26" s="69">
        <v>0</v>
      </c>
      <c r="AD26" s="412">
        <v>14.356859016797396</v>
      </c>
      <c r="AE26" s="412">
        <v>9.6308946136336964</v>
      </c>
      <c r="AF26" s="69">
        <v>23.704045245382549</v>
      </c>
      <c r="AG26" s="68">
        <v>13.921165879744713</v>
      </c>
      <c r="AH26" s="68">
        <v>9.5443893925771786</v>
      </c>
      <c r="AI26" s="68">
        <v>0.59325959766078995</v>
      </c>
      <c r="AJ26" s="69">
        <v>242.10147857666016</v>
      </c>
      <c r="AK26" s="69">
        <v>723.83547757466647</v>
      </c>
      <c r="AL26" s="69">
        <v>3013.4223443349192</v>
      </c>
      <c r="AM26" s="69">
        <v>616.73249816894531</v>
      </c>
      <c r="AN26" s="69">
        <v>1116.9773254394531</v>
      </c>
      <c r="AO26" s="69">
        <v>2764.7242898305249</v>
      </c>
      <c r="AP26" s="69">
        <v>471.33121825853988</v>
      </c>
      <c r="AQ26" s="69">
        <v>3021.7850041707352</v>
      </c>
      <c r="AR26" s="69">
        <v>427.06776285171514</v>
      </c>
      <c r="AS26" s="69">
        <v>639.96205714543669</v>
      </c>
    </row>
    <row r="27" spans="1:45" x14ac:dyDescent="0.25">
      <c r="A27" s="11">
        <v>43332</v>
      </c>
      <c r="B27" s="59"/>
      <c r="C27" s="60">
        <v>84.78201614220967</v>
      </c>
      <c r="D27" s="60">
        <v>1448.5240437825523</v>
      </c>
      <c r="E27" s="60">
        <v>33.186439672609154</v>
      </c>
      <c r="F27" s="60">
        <v>0</v>
      </c>
      <c r="G27" s="60">
        <v>2644.333914566037</v>
      </c>
      <c r="H27" s="61">
        <v>42.240333576997152</v>
      </c>
      <c r="I27" s="59">
        <v>209.09353040059469</v>
      </c>
      <c r="J27" s="60">
        <v>456.85130758285442</v>
      </c>
      <c r="K27" s="60">
        <v>24.919299285610514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387.24217030603961</v>
      </c>
      <c r="V27" s="62">
        <v>265.54602651199446</v>
      </c>
      <c r="W27" s="62">
        <v>62.713593767965278</v>
      </c>
      <c r="X27" s="62">
        <v>43.004989927128364</v>
      </c>
      <c r="Y27" s="62">
        <v>198.19422648457169</v>
      </c>
      <c r="Z27" s="62">
        <v>135.90898243082046</v>
      </c>
      <c r="AA27" s="72">
        <v>0</v>
      </c>
      <c r="AB27" s="69">
        <v>135.45234296586798</v>
      </c>
      <c r="AC27" s="69">
        <v>0</v>
      </c>
      <c r="AD27" s="412">
        <v>14.363217343308506</v>
      </c>
      <c r="AE27" s="412">
        <v>9.6272885020598782</v>
      </c>
      <c r="AF27" s="69">
        <v>23.431620536247891</v>
      </c>
      <c r="AG27" s="69">
        <v>13.728360581757084</v>
      </c>
      <c r="AH27" s="69">
        <v>9.4140356669533656</v>
      </c>
      <c r="AI27" s="69">
        <v>0.59321257981321018</v>
      </c>
      <c r="AJ27" s="69">
        <v>217.51643975575766</v>
      </c>
      <c r="AK27" s="69">
        <v>718.72908035914088</v>
      </c>
      <c r="AL27" s="69">
        <v>3245.2584983825686</v>
      </c>
      <c r="AM27" s="69">
        <v>540.02640247344971</v>
      </c>
      <c r="AN27" s="69">
        <v>1116.9773254394531</v>
      </c>
      <c r="AO27" s="69">
        <v>2798.258222834269</v>
      </c>
      <c r="AP27" s="69">
        <v>459.2735277016958</v>
      </c>
      <c r="AQ27" s="69">
        <v>3086.1437738418567</v>
      </c>
      <c r="AR27" s="69">
        <v>429.63381846745801</v>
      </c>
      <c r="AS27" s="69">
        <v>719.18372433980323</v>
      </c>
    </row>
    <row r="28" spans="1:45" x14ac:dyDescent="0.25">
      <c r="A28" s="11">
        <v>43333</v>
      </c>
      <c r="B28" s="59"/>
      <c r="C28" s="60">
        <v>84.220804405211794</v>
      </c>
      <c r="D28" s="60">
        <v>1446.050094795226</v>
      </c>
      <c r="E28" s="60">
        <v>32.854546955227889</v>
      </c>
      <c r="F28" s="60">
        <v>0</v>
      </c>
      <c r="G28" s="60">
        <v>2632.171654637657</v>
      </c>
      <c r="H28" s="61">
        <v>42.212903394301769</v>
      </c>
      <c r="I28" s="59">
        <v>193.37945131460771</v>
      </c>
      <c r="J28" s="60">
        <v>436.14960079193128</v>
      </c>
      <c r="K28" s="60">
        <v>23.78885804812111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371.02214653927268</v>
      </c>
      <c r="V28" s="62">
        <v>258.13131182288822</v>
      </c>
      <c r="W28" s="62">
        <v>59.638591923318579</v>
      </c>
      <c r="X28" s="62">
        <v>41.492369423307757</v>
      </c>
      <c r="Y28" s="66">
        <v>187.35422987745346</v>
      </c>
      <c r="Z28" s="66">
        <v>130.34799562487814</v>
      </c>
      <c r="AA28" s="67">
        <v>0</v>
      </c>
      <c r="AB28" s="68">
        <v>119.78810541364925</v>
      </c>
      <c r="AC28" s="69">
        <v>0</v>
      </c>
      <c r="AD28" s="412">
        <v>13.711918845842408</v>
      </c>
      <c r="AE28" s="412">
        <v>9.6117051853052686</v>
      </c>
      <c r="AF28" s="69">
        <v>22.377190603150265</v>
      </c>
      <c r="AG28" s="68">
        <v>13.057163827207884</v>
      </c>
      <c r="AH28" s="68">
        <v>9.0842631870946029</v>
      </c>
      <c r="AI28" s="68">
        <v>0.5897164540828137</v>
      </c>
      <c r="AJ28" s="69">
        <v>225.05178346633912</v>
      </c>
      <c r="AK28" s="69">
        <v>728.72307113011675</v>
      </c>
      <c r="AL28" s="69">
        <v>3014.6106984456383</v>
      </c>
      <c r="AM28" s="69">
        <v>457.5728759765625</v>
      </c>
      <c r="AN28" s="69">
        <v>1116.9773254394531</v>
      </c>
      <c r="AO28" s="69">
        <v>2846.9714707692465</v>
      </c>
      <c r="AP28" s="69">
        <v>454.7475914001464</v>
      </c>
      <c r="AQ28" s="69">
        <v>3042.9190305074058</v>
      </c>
      <c r="AR28" s="69">
        <v>426.19265120824173</v>
      </c>
      <c r="AS28" s="69">
        <v>680.65667889912936</v>
      </c>
    </row>
    <row r="29" spans="1:45" x14ac:dyDescent="0.25">
      <c r="A29" s="11">
        <v>43334</v>
      </c>
      <c r="B29" s="59"/>
      <c r="C29" s="60">
        <v>84.39405933618535</v>
      </c>
      <c r="D29" s="60">
        <v>1442.7837573051445</v>
      </c>
      <c r="E29" s="60">
        <v>32.910195750991491</v>
      </c>
      <c r="F29" s="60">
        <v>0</v>
      </c>
      <c r="G29" s="60">
        <v>2601.3243677775076</v>
      </c>
      <c r="H29" s="61">
        <v>42.13770864208545</v>
      </c>
      <c r="I29" s="59">
        <v>184.30498530864716</v>
      </c>
      <c r="J29" s="60">
        <v>395.58375495274902</v>
      </c>
      <c r="K29" s="60">
        <v>21.515765617291141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343.29729524291298</v>
      </c>
      <c r="V29" s="62">
        <v>274.43692733873894</v>
      </c>
      <c r="W29" s="62">
        <v>54.213771570972376</v>
      </c>
      <c r="X29" s="62">
        <v>43.339289576558592</v>
      </c>
      <c r="Y29" s="66">
        <v>165.54738612268008</v>
      </c>
      <c r="Z29" s="66">
        <v>132.34102512902339</v>
      </c>
      <c r="AA29" s="67">
        <v>0</v>
      </c>
      <c r="AB29" s="68">
        <v>103.52178859710722</v>
      </c>
      <c r="AC29" s="69">
        <v>0</v>
      </c>
      <c r="AD29" s="412">
        <v>12.445433531925239</v>
      </c>
      <c r="AE29" s="412">
        <v>9.613404047872919</v>
      </c>
      <c r="AF29" s="69">
        <v>21.511027339431987</v>
      </c>
      <c r="AG29" s="68">
        <v>11.82057576997223</v>
      </c>
      <c r="AH29" s="68">
        <v>9.4495428266934383</v>
      </c>
      <c r="AI29" s="68">
        <v>0.55573624172576264</v>
      </c>
      <c r="AJ29" s="69">
        <v>226.77888035774231</v>
      </c>
      <c r="AK29" s="69">
        <v>721.7123482068381</v>
      </c>
      <c r="AL29" s="69">
        <v>3006.6649448394778</v>
      </c>
      <c r="AM29" s="69">
        <v>232.06607594490052</v>
      </c>
      <c r="AN29" s="69">
        <v>1182.2215875625611</v>
      </c>
      <c r="AO29" s="69">
        <v>2851.5991031646727</v>
      </c>
      <c r="AP29" s="69">
        <v>444.64256900151571</v>
      </c>
      <c r="AQ29" s="69">
        <v>2965.2953879038491</v>
      </c>
      <c r="AR29" s="69">
        <v>422.18245336214704</v>
      </c>
      <c r="AS29" s="69">
        <v>806.49590943654391</v>
      </c>
    </row>
    <row r="30" spans="1:45" x14ac:dyDescent="0.25">
      <c r="A30" s="11">
        <v>43335</v>
      </c>
      <c r="B30" s="59"/>
      <c r="C30" s="60">
        <v>84.867379029592016</v>
      </c>
      <c r="D30" s="60">
        <v>1446.2110031127938</v>
      </c>
      <c r="E30" s="60">
        <v>33.224466927846294</v>
      </c>
      <c r="F30" s="60">
        <v>0</v>
      </c>
      <c r="G30" s="60">
        <v>2645.5769735972049</v>
      </c>
      <c r="H30" s="61">
        <v>42.186417291561725</v>
      </c>
      <c r="I30" s="59">
        <v>171.46669867833455</v>
      </c>
      <c r="J30" s="60">
        <v>384.40284500122056</v>
      </c>
      <c r="K30" s="60">
        <v>20.929864299794005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348.00048046055605</v>
      </c>
      <c r="V30" s="62">
        <v>278.44326199481208</v>
      </c>
      <c r="W30" s="62">
        <v>54.695290428967226</v>
      </c>
      <c r="X30" s="62">
        <v>43.762971426476071</v>
      </c>
      <c r="Y30" s="66">
        <v>168.35411081593904</v>
      </c>
      <c r="Z30" s="66">
        <v>134.70403179842563</v>
      </c>
      <c r="AA30" s="67">
        <v>0</v>
      </c>
      <c r="AB30" s="68">
        <v>103.1428243425155</v>
      </c>
      <c r="AC30" s="69">
        <v>0</v>
      </c>
      <c r="AD30" s="412">
        <v>12.368886001787629</v>
      </c>
      <c r="AE30" s="412">
        <v>9.6124320023411229</v>
      </c>
      <c r="AF30" s="69">
        <v>21.827130047480267</v>
      </c>
      <c r="AG30" s="68">
        <v>12.000284342231371</v>
      </c>
      <c r="AH30" s="68">
        <v>9.6017060456182328</v>
      </c>
      <c r="AI30" s="68">
        <v>0.55551752994858883</v>
      </c>
      <c r="AJ30" s="69">
        <v>227.01871490478516</v>
      </c>
      <c r="AK30" s="69">
        <v>739.70307734807329</v>
      </c>
      <c r="AL30" s="69">
        <v>2962.9332866668697</v>
      </c>
      <c r="AM30" s="69">
        <v>187.63954925537109</v>
      </c>
      <c r="AN30" s="69">
        <v>1195.0751953125</v>
      </c>
      <c r="AO30" s="69">
        <v>2868.9944137573234</v>
      </c>
      <c r="AP30" s="69">
        <v>488.89375454584763</v>
      </c>
      <c r="AQ30" s="69">
        <v>2980.4141138712566</v>
      </c>
      <c r="AR30" s="69">
        <v>438.0873576482137</v>
      </c>
      <c r="AS30" s="69">
        <v>840.80622898737602</v>
      </c>
    </row>
    <row r="31" spans="1:45" x14ac:dyDescent="0.25">
      <c r="A31" s="11">
        <v>43336</v>
      </c>
      <c r="B31" s="59"/>
      <c r="C31" s="60">
        <v>84.921383949120937</v>
      </c>
      <c r="D31" s="60">
        <v>1447.5580211003621</v>
      </c>
      <c r="E31" s="60">
        <v>33.494476996858907</v>
      </c>
      <c r="F31" s="60">
        <v>0</v>
      </c>
      <c r="G31" s="60">
        <v>2639.519604746507</v>
      </c>
      <c r="H31" s="61">
        <v>42.225317054987009</v>
      </c>
      <c r="I31" s="59">
        <v>165.46042954126975</v>
      </c>
      <c r="J31" s="60">
        <v>391.56750771204599</v>
      </c>
      <c r="K31" s="60">
        <v>21.359299555917563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378.97081459454853</v>
      </c>
      <c r="V31" s="62">
        <v>274.69073569418117</v>
      </c>
      <c r="W31" s="62">
        <v>60.410990354152126</v>
      </c>
      <c r="X31" s="62">
        <v>43.787908581166072</v>
      </c>
      <c r="Y31" s="66">
        <v>180.7861680953024</v>
      </c>
      <c r="Z31" s="66">
        <v>131.03986799236986</v>
      </c>
      <c r="AA31" s="67">
        <v>0</v>
      </c>
      <c r="AB31" s="68">
        <v>108.4053246763015</v>
      </c>
      <c r="AC31" s="69">
        <v>0</v>
      </c>
      <c r="AD31" s="412">
        <v>13.610935580055607</v>
      </c>
      <c r="AE31" s="412">
        <v>9.6220972793435564</v>
      </c>
      <c r="AF31" s="69">
        <v>22.744308669037324</v>
      </c>
      <c r="AG31" s="68">
        <v>13.056014308221586</v>
      </c>
      <c r="AH31" s="68">
        <v>9.4634363318877419</v>
      </c>
      <c r="AI31" s="68">
        <v>0.57976611050038485</v>
      </c>
      <c r="AJ31" s="69">
        <v>227.01871490478516</v>
      </c>
      <c r="AK31" s="69">
        <v>745.5265572547911</v>
      </c>
      <c r="AL31" s="69">
        <v>3063.8426427205404</v>
      </c>
      <c r="AM31" s="69">
        <v>187.63954925537109</v>
      </c>
      <c r="AN31" s="69">
        <v>1195.0751953125</v>
      </c>
      <c r="AO31" s="69">
        <v>2900.1495641072588</v>
      </c>
      <c r="AP31" s="69">
        <v>526.09926980336513</v>
      </c>
      <c r="AQ31" s="69">
        <v>3075.0852723439534</v>
      </c>
      <c r="AR31" s="69">
        <v>436.62514006296789</v>
      </c>
      <c r="AS31" s="69">
        <v>855.22951132456467</v>
      </c>
    </row>
    <row r="32" spans="1:45" x14ac:dyDescent="0.25">
      <c r="A32" s="11">
        <v>43337</v>
      </c>
      <c r="B32" s="59"/>
      <c r="C32" s="60">
        <v>85.301491892338419</v>
      </c>
      <c r="D32" s="60">
        <v>1447.027061780293</v>
      </c>
      <c r="E32" s="60">
        <v>33.571269974112468</v>
      </c>
      <c r="F32" s="60">
        <v>0</v>
      </c>
      <c r="G32" s="60">
        <v>2573.009161885584</v>
      </c>
      <c r="H32" s="61">
        <v>42.232379539807717</v>
      </c>
      <c r="I32" s="59">
        <v>192.62701760927857</v>
      </c>
      <c r="J32" s="60">
        <v>479.49620564778633</v>
      </c>
      <c r="K32" s="60">
        <v>26.144495469828481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454.06594476379206</v>
      </c>
      <c r="V32" s="62">
        <v>259.16483971598331</v>
      </c>
      <c r="W32" s="62">
        <v>75.713493621643551</v>
      </c>
      <c r="X32" s="62">
        <v>43.214593970481552</v>
      </c>
      <c r="Y32" s="66">
        <v>230.39322005321225</v>
      </c>
      <c r="Z32" s="66">
        <v>131.50033081164332</v>
      </c>
      <c r="AA32" s="67">
        <v>0</v>
      </c>
      <c r="AB32" s="68">
        <v>122.47187341054268</v>
      </c>
      <c r="AC32" s="69">
        <v>0</v>
      </c>
      <c r="AD32" s="412">
        <v>16.960890193711677</v>
      </c>
      <c r="AE32" s="412">
        <v>9.6178152938354877</v>
      </c>
      <c r="AF32" s="69">
        <v>25.516586736175746</v>
      </c>
      <c r="AG32" s="68">
        <v>16.083668613618713</v>
      </c>
      <c r="AH32" s="68">
        <v>9.1799912465619329</v>
      </c>
      <c r="AI32" s="68">
        <v>0.63663256640693655</v>
      </c>
      <c r="AJ32" s="69">
        <v>228.72553882598876</v>
      </c>
      <c r="AK32" s="69">
        <v>749.07655264536538</v>
      </c>
      <c r="AL32" s="69">
        <v>3078.38678372701</v>
      </c>
      <c r="AM32" s="69">
        <v>187.63954925537109</v>
      </c>
      <c r="AN32" s="69">
        <v>1195.0751953125</v>
      </c>
      <c r="AO32" s="69">
        <v>2853.4690186818434</v>
      </c>
      <c r="AP32" s="69">
        <v>542.26042936642966</v>
      </c>
      <c r="AQ32" s="69">
        <v>3421.9814183553053</v>
      </c>
      <c r="AR32" s="69">
        <v>435.63558746973683</v>
      </c>
      <c r="AS32" s="69">
        <v>851.94645423889153</v>
      </c>
    </row>
    <row r="33" spans="1:45" x14ac:dyDescent="0.25">
      <c r="A33" s="11">
        <v>43338</v>
      </c>
      <c r="B33" s="59"/>
      <c r="C33" s="60">
        <v>84.728689273198597</v>
      </c>
      <c r="D33" s="60">
        <v>1448.2714531580605</v>
      </c>
      <c r="E33" s="60">
        <v>33.637739616135761</v>
      </c>
      <c r="F33" s="60">
        <v>0</v>
      </c>
      <c r="G33" s="60">
        <v>2560.5130086262971</v>
      </c>
      <c r="H33" s="61">
        <v>42.263770713408874</v>
      </c>
      <c r="I33" s="59">
        <v>196.59682490030951</v>
      </c>
      <c r="J33" s="60">
        <v>490.77980591456088</v>
      </c>
      <c r="K33" s="60">
        <v>26.789535465836583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471.93691749120688</v>
      </c>
      <c r="V33" s="62">
        <v>255.26846339359216</v>
      </c>
      <c r="W33" s="62">
        <v>78.776053041938923</v>
      </c>
      <c r="X33" s="62">
        <v>42.609597314671888</v>
      </c>
      <c r="Y33" s="66">
        <v>268.63197666735755</v>
      </c>
      <c r="Z33" s="66">
        <v>145.30177521773834</v>
      </c>
      <c r="AA33" s="67">
        <v>0</v>
      </c>
      <c r="AB33" s="68">
        <v>124.26131816440127</v>
      </c>
      <c r="AC33" s="69">
        <v>0</v>
      </c>
      <c r="AD33" s="412">
        <v>17.361249700140267</v>
      </c>
      <c r="AE33" s="412">
        <v>9.6264680937475351</v>
      </c>
      <c r="AF33" s="69">
        <v>26.320676753256066</v>
      </c>
      <c r="AG33" s="68">
        <v>16.908952318333021</v>
      </c>
      <c r="AH33" s="68">
        <v>9.1459729381666968</v>
      </c>
      <c r="AI33" s="68">
        <v>0.64897335731619021</v>
      </c>
      <c r="AJ33" s="69">
        <v>244.03474512100217</v>
      </c>
      <c r="AK33" s="69">
        <v>758.47782004674286</v>
      </c>
      <c r="AL33" s="69">
        <v>3080.8950845082604</v>
      </c>
      <c r="AM33" s="69">
        <v>324.34617001215616</v>
      </c>
      <c r="AN33" s="69">
        <v>1195.0751953125</v>
      </c>
      <c r="AO33" s="69">
        <v>2821.2332033793132</v>
      </c>
      <c r="AP33" s="69">
        <v>557.38276745478322</v>
      </c>
      <c r="AQ33" s="69">
        <v>3380.4300289154048</v>
      </c>
      <c r="AR33" s="69">
        <v>438.36999778747565</v>
      </c>
      <c r="AS33" s="69">
        <v>855.36217600504551</v>
      </c>
    </row>
    <row r="34" spans="1:45" x14ac:dyDescent="0.25">
      <c r="A34" s="11">
        <v>43339</v>
      </c>
      <c r="B34" s="59"/>
      <c r="C34" s="60">
        <v>85.683061444759318</v>
      </c>
      <c r="D34" s="60">
        <v>1448.5167071024575</v>
      </c>
      <c r="E34" s="60">
        <v>33.586726385851698</v>
      </c>
      <c r="F34" s="60">
        <v>0</v>
      </c>
      <c r="G34" s="60">
        <v>2840.9411856333454</v>
      </c>
      <c r="H34" s="61">
        <v>42.247843575477717</v>
      </c>
      <c r="I34" s="59">
        <v>188.71508786678325</v>
      </c>
      <c r="J34" s="60">
        <v>470.97641242345139</v>
      </c>
      <c r="K34" s="60">
        <v>25.763797705868875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449.3814791858602</v>
      </c>
      <c r="V34" s="62">
        <v>264.99823069369592</v>
      </c>
      <c r="W34" s="62">
        <v>74.176843375034807</v>
      </c>
      <c r="X34" s="62">
        <v>43.741749856802116</v>
      </c>
      <c r="Y34" s="66">
        <v>258.01981468290353</v>
      </c>
      <c r="Z34" s="66">
        <v>152.15312054862306</v>
      </c>
      <c r="AA34" s="67">
        <v>0</v>
      </c>
      <c r="AB34" s="68">
        <v>121.18920949829938</v>
      </c>
      <c r="AC34" s="69">
        <v>0</v>
      </c>
      <c r="AD34" s="412">
        <v>16.658981656671571</v>
      </c>
      <c r="AE34" s="412">
        <v>9.6235174482704675</v>
      </c>
      <c r="AF34" s="69">
        <v>25.940291278892126</v>
      </c>
      <c r="AG34" s="68">
        <v>16.165666559400425</v>
      </c>
      <c r="AH34" s="68">
        <v>9.5328206315632027</v>
      </c>
      <c r="AI34" s="68">
        <v>0.62905129159061024</v>
      </c>
      <c r="AJ34" s="69">
        <v>247.77765655517578</v>
      </c>
      <c r="AK34" s="69">
        <v>752.69403502146395</v>
      </c>
      <c r="AL34" s="69">
        <v>3103.6207041422531</v>
      </c>
      <c r="AM34" s="69">
        <v>517.8081316947937</v>
      </c>
      <c r="AN34" s="69">
        <v>1195.0751953125</v>
      </c>
      <c r="AO34" s="69">
        <v>2909.7267667134597</v>
      </c>
      <c r="AP34" s="69">
        <v>546.76426440874729</v>
      </c>
      <c r="AQ34" s="69">
        <v>3299.9818856557204</v>
      </c>
      <c r="AR34" s="69">
        <v>432.90074016253158</v>
      </c>
      <c r="AS34" s="69">
        <v>903.69662714004528</v>
      </c>
    </row>
    <row r="35" spans="1:45" x14ac:dyDescent="0.25">
      <c r="A35" s="11">
        <v>43340</v>
      </c>
      <c r="B35" s="59"/>
      <c r="C35" s="60">
        <v>84.657242222626977</v>
      </c>
      <c r="D35" s="60">
        <v>1448.4100308100394</v>
      </c>
      <c r="E35" s="60">
        <v>33.540708807110782</v>
      </c>
      <c r="F35" s="60">
        <v>0</v>
      </c>
      <c r="G35" s="60">
        <v>2832.5286271413133</v>
      </c>
      <c r="H35" s="61">
        <v>42.214080621798885</v>
      </c>
      <c r="I35" s="59">
        <v>185.66726344426471</v>
      </c>
      <c r="J35" s="60">
        <v>463.27809670766106</v>
      </c>
      <c r="K35" s="60">
        <v>25.246313778062675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429.04947992023847</v>
      </c>
      <c r="V35" s="62">
        <v>253.43090783102286</v>
      </c>
      <c r="W35" s="62">
        <v>70.391054879204191</v>
      </c>
      <c r="X35" s="62">
        <v>41.57858190280627</v>
      </c>
      <c r="Y35" s="66">
        <v>253.158445049514</v>
      </c>
      <c r="Z35" s="66">
        <v>149.53560732882283</v>
      </c>
      <c r="AA35" s="67">
        <v>0</v>
      </c>
      <c r="AB35" s="68">
        <v>119.93989930682982</v>
      </c>
      <c r="AC35" s="69">
        <v>0</v>
      </c>
      <c r="AD35" s="412">
        <v>16.387999215169025</v>
      </c>
      <c r="AE35" s="412">
        <v>9.6276678878316826</v>
      </c>
      <c r="AF35" s="69">
        <v>25.100492009851617</v>
      </c>
      <c r="AG35" s="68">
        <v>15.594410875015923</v>
      </c>
      <c r="AH35" s="68">
        <v>9.2113051992976818</v>
      </c>
      <c r="AI35" s="68">
        <v>0.62866199178841609</v>
      </c>
      <c r="AJ35" s="69">
        <v>242.73472143808999</v>
      </c>
      <c r="AK35" s="69">
        <v>740.11832962036158</v>
      </c>
      <c r="AL35" s="69">
        <v>3070.1113227844235</v>
      </c>
      <c r="AM35" s="69">
        <v>408.52189636230469</v>
      </c>
      <c r="AN35" s="69">
        <v>1195.0751953125</v>
      </c>
      <c r="AO35" s="69">
        <v>2945.6190896352136</v>
      </c>
      <c r="AP35" s="69">
        <v>495.16304232279458</v>
      </c>
      <c r="AQ35" s="69">
        <v>3245.3085136413574</v>
      </c>
      <c r="AR35" s="69">
        <v>428.22194910049433</v>
      </c>
      <c r="AS35" s="69">
        <v>813.13802010218308</v>
      </c>
    </row>
    <row r="36" spans="1:45" x14ac:dyDescent="0.25">
      <c r="A36" s="11">
        <v>43341</v>
      </c>
      <c r="B36" s="59"/>
      <c r="C36" s="60">
        <v>84.181961687405973</v>
      </c>
      <c r="D36" s="60">
        <v>1447.0321527481069</v>
      </c>
      <c r="E36" s="60">
        <v>33.114746079345615</v>
      </c>
      <c r="F36" s="60">
        <v>0</v>
      </c>
      <c r="G36" s="60">
        <v>2694.6895910898802</v>
      </c>
      <c r="H36" s="61">
        <v>42.213813420136816</v>
      </c>
      <c r="I36" s="59">
        <v>212.78616921106919</v>
      </c>
      <c r="J36" s="60">
        <v>463.39041722615514</v>
      </c>
      <c r="K36" s="60">
        <v>25.323976871371272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439.32684182146039</v>
      </c>
      <c r="V36" s="62">
        <v>263.66470374975501</v>
      </c>
      <c r="W36" s="62">
        <v>72.870135278970423</v>
      </c>
      <c r="X36" s="62">
        <v>43.733459469208718</v>
      </c>
      <c r="Y36" s="66">
        <v>258.46352664411717</v>
      </c>
      <c r="Z36" s="66">
        <v>155.1184737545193</v>
      </c>
      <c r="AA36" s="67">
        <v>0</v>
      </c>
      <c r="AB36" s="68">
        <v>119.80735768742076</v>
      </c>
      <c r="AC36" s="69">
        <v>0</v>
      </c>
      <c r="AD36" s="412">
        <v>16.386605962066149</v>
      </c>
      <c r="AE36" s="412">
        <v>9.6182102760562103</v>
      </c>
      <c r="AF36" s="69">
        <v>25.877237934536399</v>
      </c>
      <c r="AG36" s="68">
        <v>15.998942530093508</v>
      </c>
      <c r="AH36" s="68">
        <v>9.6018636717416275</v>
      </c>
      <c r="AI36" s="68">
        <v>0.62493901184044198</v>
      </c>
      <c r="AJ36" s="69">
        <v>237.65247821807861</v>
      </c>
      <c r="AK36" s="69">
        <v>744.93036273320513</v>
      </c>
      <c r="AL36" s="69">
        <v>3032.9476680755615</v>
      </c>
      <c r="AM36" s="69">
        <v>408.52189636230469</v>
      </c>
      <c r="AN36" s="69">
        <v>1195.0751953125</v>
      </c>
      <c r="AO36" s="69">
        <v>2923.7513060251868</v>
      </c>
      <c r="AP36" s="69">
        <v>496.72595839500428</v>
      </c>
      <c r="AQ36" s="69">
        <v>3246.9264991760256</v>
      </c>
      <c r="AR36" s="69">
        <v>437.01316641171769</v>
      </c>
      <c r="AS36" s="69">
        <v>868.68117030461622</v>
      </c>
    </row>
    <row r="37" spans="1:45" x14ac:dyDescent="0.25">
      <c r="A37" s="11">
        <v>43342</v>
      </c>
      <c r="B37" s="59"/>
      <c r="C37" s="60">
        <v>84.17932234605189</v>
      </c>
      <c r="D37" s="60">
        <v>1446.2219383875522</v>
      </c>
      <c r="E37" s="60">
        <v>33.352574220299722</v>
      </c>
      <c r="F37" s="60">
        <v>0</v>
      </c>
      <c r="G37" s="60">
        <v>2533.3832228342676</v>
      </c>
      <c r="H37" s="61">
        <v>42.267747698227673</v>
      </c>
      <c r="I37" s="59">
        <v>246.01069509585668</v>
      </c>
      <c r="J37" s="60">
        <v>463.32757825851422</v>
      </c>
      <c r="K37" s="60">
        <v>25.371503240366806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434.9358345769038</v>
      </c>
      <c r="V37" s="62">
        <v>260.93995010631994</v>
      </c>
      <c r="W37" s="62">
        <v>71.242819583397804</v>
      </c>
      <c r="X37" s="62">
        <v>42.742161738890566</v>
      </c>
      <c r="Y37" s="66">
        <v>257.62038326230538</v>
      </c>
      <c r="Z37" s="66">
        <v>154.55946512255196</v>
      </c>
      <c r="AA37" s="67">
        <v>0</v>
      </c>
      <c r="AB37" s="68">
        <v>119.97542663680082</v>
      </c>
      <c r="AC37" s="69">
        <v>0</v>
      </c>
      <c r="AD37" s="412">
        <v>16.376523515004568</v>
      </c>
      <c r="AE37" s="412">
        <v>9.6136213762755229</v>
      </c>
      <c r="AF37" s="69">
        <v>25.621683736642197</v>
      </c>
      <c r="AG37" s="68">
        <v>15.837511374505794</v>
      </c>
      <c r="AH37" s="68">
        <v>9.5017220917010849</v>
      </c>
      <c r="AI37" s="68">
        <v>0.62501935568126588</v>
      </c>
      <c r="AJ37" s="69">
        <v>231.79499816894531</v>
      </c>
      <c r="AK37" s="69">
        <v>750.55655794143672</v>
      </c>
      <c r="AL37" s="69">
        <v>3094.5488637288413</v>
      </c>
      <c r="AM37" s="69">
        <v>408.52189636230469</v>
      </c>
      <c r="AN37" s="69">
        <v>1195.0751953125</v>
      </c>
      <c r="AO37" s="69">
        <v>2933.209185409547</v>
      </c>
      <c r="AP37" s="69">
        <v>537.23402379353843</v>
      </c>
      <c r="AQ37" s="69">
        <v>3282.7575350443526</v>
      </c>
      <c r="AR37" s="69">
        <v>455.38491773605358</v>
      </c>
      <c r="AS37" s="69">
        <v>917.49173123041805</v>
      </c>
    </row>
    <row r="38" spans="1:45" ht="15.75" thickBot="1" x14ac:dyDescent="0.3">
      <c r="A38" s="11">
        <v>43343</v>
      </c>
      <c r="B38" s="73"/>
      <c r="C38" s="74">
        <v>29.806659470001705</v>
      </c>
      <c r="D38" s="74">
        <v>512.63164383967739</v>
      </c>
      <c r="E38" s="74">
        <v>12.231956001122798</v>
      </c>
      <c r="F38" s="74">
        <v>0</v>
      </c>
      <c r="G38" s="74">
        <v>836.60542844136603</v>
      </c>
      <c r="H38" s="75">
        <v>15.063845954338701</v>
      </c>
      <c r="I38" s="76">
        <v>260.71229784488708</v>
      </c>
      <c r="J38" s="74">
        <v>462.99896341959652</v>
      </c>
      <c r="K38" s="74">
        <v>25.30927686095238</v>
      </c>
      <c r="L38" s="74">
        <v>0</v>
      </c>
      <c r="M38" s="60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455.26690671285365</v>
      </c>
      <c r="V38" s="80">
        <v>91.024261478849155</v>
      </c>
      <c r="W38" s="81">
        <v>70.434401406382776</v>
      </c>
      <c r="X38" s="81">
        <v>14.082375143433188</v>
      </c>
      <c r="Y38" s="80">
        <v>305.24199181520373</v>
      </c>
      <c r="Z38" s="80">
        <v>61.028874419892901</v>
      </c>
      <c r="AA38" s="82">
        <v>0</v>
      </c>
      <c r="AB38" s="83">
        <v>88.516591204535814</v>
      </c>
      <c r="AC38" s="84">
        <v>0</v>
      </c>
      <c r="AD38" s="412">
        <v>16.36527798178572</v>
      </c>
      <c r="AE38" s="412">
        <v>3.3945605836676207</v>
      </c>
      <c r="AF38" s="85">
        <v>18.88185749153299</v>
      </c>
      <c r="AG38" s="83">
        <v>15.478259084228075</v>
      </c>
      <c r="AH38" s="83">
        <v>3.0946617936558471</v>
      </c>
      <c r="AI38" s="83">
        <v>0.83337775388141144</v>
      </c>
      <c r="AJ38" s="84">
        <v>231.79499816894531</v>
      </c>
      <c r="AK38" s="84">
        <v>717.7151782035827</v>
      </c>
      <c r="AL38" s="84">
        <v>1821.9654958089191</v>
      </c>
      <c r="AM38" s="84">
        <v>408.52189636230469</v>
      </c>
      <c r="AN38" s="84">
        <v>1195.0751953125</v>
      </c>
      <c r="AO38" s="84">
        <v>2204.0552282969156</v>
      </c>
      <c r="AP38" s="84">
        <v>506.13327267964684</v>
      </c>
      <c r="AQ38" s="84">
        <v>2552.2600946426392</v>
      </c>
      <c r="AR38" s="84">
        <v>451.53476225535076</v>
      </c>
      <c r="AS38" s="84">
        <v>861.18902708689382</v>
      </c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2574.8912636558271</v>
      </c>
      <c r="D39" s="30">
        <f t="shared" si="0"/>
        <v>43527.769908972572</v>
      </c>
      <c r="E39" s="30">
        <f t="shared" si="0"/>
        <v>1009.8906852642702</v>
      </c>
      <c r="F39" s="30">
        <f t="shared" si="0"/>
        <v>0</v>
      </c>
      <c r="G39" s="30">
        <f t="shared" si="0"/>
        <v>78784.415252939856</v>
      </c>
      <c r="H39" s="31">
        <f t="shared" si="0"/>
        <v>1283.0035324712605</v>
      </c>
      <c r="I39" s="29">
        <f t="shared" si="0"/>
        <v>6611.8263134916606</v>
      </c>
      <c r="J39" s="30">
        <f t="shared" si="0"/>
        <v>16076.556594403586</v>
      </c>
      <c r="K39" s="30">
        <f t="shared" si="0"/>
        <v>878.37374317497029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14013.800197144965</v>
      </c>
      <c r="V39" s="262">
        <f t="shared" si="0"/>
        <v>8017.550921133542</v>
      </c>
      <c r="W39" s="262">
        <f t="shared" si="0"/>
        <v>2247.6645855522029</v>
      </c>
      <c r="X39" s="262">
        <f t="shared" si="0"/>
        <v>1284.3405676746495</v>
      </c>
      <c r="Y39" s="262">
        <f t="shared" si="0"/>
        <v>8121.2266445370842</v>
      </c>
      <c r="Z39" s="262">
        <f t="shared" si="0"/>
        <v>4554.8966002094448</v>
      </c>
      <c r="AA39" s="270">
        <f t="shared" si="0"/>
        <v>0</v>
      </c>
      <c r="AB39" s="273">
        <f t="shared" si="0"/>
        <v>4344.8617922624062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7202.818576908111</v>
      </c>
      <c r="AK39" s="273">
        <f t="shared" si="1"/>
        <v>23007.216011969249</v>
      </c>
      <c r="AL39" s="273">
        <f t="shared" si="1"/>
        <v>93505.595956675199</v>
      </c>
      <c r="AM39" s="273">
        <f t="shared" si="1"/>
        <v>13488.864245144527</v>
      </c>
      <c r="AN39" s="273">
        <f t="shared" si="1"/>
        <v>35394.422179603578</v>
      </c>
      <c r="AO39" s="273">
        <f t="shared" si="1"/>
        <v>87715.088696543375</v>
      </c>
      <c r="AP39" s="273">
        <f t="shared" si="1"/>
        <v>16739.692450730003</v>
      </c>
      <c r="AQ39" s="273">
        <f t="shared" si="1"/>
        <v>102779.75631313324</v>
      </c>
      <c r="AR39" s="273">
        <f t="shared" si="1"/>
        <v>13910.396996450423</v>
      </c>
      <c r="AS39" s="273">
        <f t="shared" si="1"/>
        <v>26145.784723313645</v>
      </c>
    </row>
    <row r="40" spans="1:45" ht="15.75" thickBot="1" x14ac:dyDescent="0.3">
      <c r="A40" s="47" t="s">
        <v>172</v>
      </c>
      <c r="B40" s="32">
        <f>Projection!$AC$30</f>
        <v>0.82128400199999985</v>
      </c>
      <c r="C40" s="33">
        <f>Projection!$AC$28</f>
        <v>1.2667292399999999</v>
      </c>
      <c r="D40" s="33">
        <f>Projection!$AC$31</f>
        <v>3.0824639999999999</v>
      </c>
      <c r="E40" s="33">
        <f>Projection!$AC$26</f>
        <v>3.9898560000000005</v>
      </c>
      <c r="F40" s="33">
        <f>Projection!$AC$23</f>
        <v>0</v>
      </c>
      <c r="G40" s="33">
        <f>Projection!$AC$24</f>
        <v>5.5265000000000002E-2</v>
      </c>
      <c r="H40" s="34">
        <f>Projection!$AC$29</f>
        <v>3.5497125</v>
      </c>
      <c r="I40" s="32">
        <f>Projection!$AC$30</f>
        <v>0.82128400199999985</v>
      </c>
      <c r="J40" s="33">
        <f>Projection!$AC$28</f>
        <v>1.2667292399999999</v>
      </c>
      <c r="K40" s="33">
        <f>Projection!$AC$26</f>
        <v>3.9898560000000005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1.2667292399999999</v>
      </c>
      <c r="T40" s="38">
        <f>Projection!$AC$28</f>
        <v>1.2667292399999999</v>
      </c>
      <c r="U40" s="26">
        <f>Projection!$AC$27</f>
        <v>0.29460000000000003</v>
      </c>
      <c r="V40" s="27">
        <f>Projection!$AC$27</f>
        <v>0.29460000000000003</v>
      </c>
      <c r="W40" s="27">
        <f>Projection!$AC$22</f>
        <v>0.74349432000000004</v>
      </c>
      <c r="X40" s="27">
        <f>Projection!$AC$22</f>
        <v>0.74349432000000004</v>
      </c>
      <c r="Y40" s="27">
        <f>Projection!$AC$31</f>
        <v>3.0824639999999999</v>
      </c>
      <c r="Z40" s="27">
        <f>Projection!$AC$31</f>
        <v>3.0824639999999999</v>
      </c>
      <c r="AA40" s="28">
        <v>0</v>
      </c>
      <c r="AB40" s="41">
        <f>Projection!$AC$27</f>
        <v>0.29460000000000003</v>
      </c>
      <c r="AC40" s="41">
        <f>Projection!$AC$30</f>
        <v>0.82128400199999985</v>
      </c>
      <c r="AD40" s="404">
        <f>SUM(AD8:AD38)</f>
        <v>519.97621564740052</v>
      </c>
      <c r="AE40" s="404">
        <f>SUM(AE8:AE38)</f>
        <v>292.07387575905261</v>
      </c>
      <c r="AF40" s="43">
        <f>SUM(AF8:AF38)</f>
        <v>795.9247275249827</v>
      </c>
      <c r="AG40" s="43">
        <f>SUM(AG8:AG38)</f>
        <v>501.11600687156033</v>
      </c>
      <c r="AH40" s="43">
        <f>SUM(AH8:AH38)</f>
        <v>286.12346507627188</v>
      </c>
      <c r="AI40" s="43">
        <f>IF(SUM(AG40:AH40)&gt;0, AG40/(AG40+AH40), 0)</f>
        <v>0.63654837533955311</v>
      </c>
      <c r="AJ40" s="313">
        <v>6.5000000000000002E-2</v>
      </c>
      <c r="AK40" s="313">
        <f t="shared" ref="AK40:AS40" si="2">$AJ$40</f>
        <v>6.5000000000000002E-2</v>
      </c>
      <c r="AL40" s="313">
        <f t="shared" si="2"/>
        <v>6.5000000000000002E-2</v>
      </c>
      <c r="AM40" s="313">
        <f t="shared" si="2"/>
        <v>6.5000000000000002E-2</v>
      </c>
      <c r="AN40" s="313">
        <f t="shared" si="2"/>
        <v>6.5000000000000002E-2</v>
      </c>
      <c r="AO40" s="313">
        <f t="shared" si="2"/>
        <v>6.5000000000000002E-2</v>
      </c>
      <c r="AP40" s="313">
        <f t="shared" si="2"/>
        <v>6.5000000000000002E-2</v>
      </c>
      <c r="AQ40" s="313">
        <f t="shared" si="2"/>
        <v>6.5000000000000002E-2</v>
      </c>
      <c r="AR40" s="313">
        <f t="shared" si="2"/>
        <v>6.5000000000000002E-2</v>
      </c>
      <c r="AS40" s="313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3261.6900534933852</v>
      </c>
      <c r="D41" s="36">
        <f t="shared" si="3"/>
        <v>134172.78374469123</v>
      </c>
      <c r="E41" s="36">
        <f t="shared" si="3"/>
        <v>4029.3184099457608</v>
      </c>
      <c r="F41" s="36">
        <f t="shared" si="3"/>
        <v>0</v>
      </c>
      <c r="G41" s="36">
        <f t="shared" si="3"/>
        <v>4354.0207089537216</v>
      </c>
      <c r="H41" s="37">
        <f t="shared" si="3"/>
        <v>4554.2936767573892</v>
      </c>
      <c r="I41" s="35">
        <f t="shared" si="3"/>
        <v>5430.1871752733368</v>
      </c>
      <c r="J41" s="36">
        <f t="shared" si="3"/>
        <v>20364.644316645841</v>
      </c>
      <c r="K41" s="36">
        <f t="shared" si="3"/>
        <v>3504.5847494491145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4128.4655380789072</v>
      </c>
      <c r="V41" s="268">
        <f t="shared" si="3"/>
        <v>2361.9705013659418</v>
      </c>
      <c r="W41" s="268">
        <f t="shared" si="3"/>
        <v>1671.125852623217</v>
      </c>
      <c r="X41" s="268">
        <f t="shared" si="3"/>
        <v>954.89991701167753</v>
      </c>
      <c r="Y41" s="268">
        <f t="shared" si="3"/>
        <v>25033.388767626358</v>
      </c>
      <c r="Z41" s="268">
        <f t="shared" si="3"/>
        <v>14040.304793868005</v>
      </c>
      <c r="AA41" s="272">
        <f t="shared" si="3"/>
        <v>0</v>
      </c>
      <c r="AB41" s="275">
        <f t="shared" si="3"/>
        <v>1279.9962840005051</v>
      </c>
      <c r="AC41" s="275">
        <f t="shared" si="3"/>
        <v>0</v>
      </c>
      <c r="AJ41" s="278">
        <f t="shared" ref="AJ41:AS41" si="4">AJ40*AJ39</f>
        <v>468.18320749902722</v>
      </c>
      <c r="AK41" s="278">
        <f t="shared" si="4"/>
        <v>1495.4690407780013</v>
      </c>
      <c r="AL41" s="278">
        <f t="shared" si="4"/>
        <v>6077.8637371838886</v>
      </c>
      <c r="AM41" s="278">
        <f t="shared" si="4"/>
        <v>876.77617593439425</v>
      </c>
      <c r="AN41" s="278">
        <f t="shared" si="4"/>
        <v>2300.6374416742328</v>
      </c>
      <c r="AO41" s="278">
        <f t="shared" si="4"/>
        <v>5701.4807652753198</v>
      </c>
      <c r="AP41" s="278">
        <f t="shared" si="4"/>
        <v>1088.0800092974503</v>
      </c>
      <c r="AQ41" s="278">
        <f t="shared" si="4"/>
        <v>6680.6841603536614</v>
      </c>
      <c r="AR41" s="278">
        <f t="shared" si="4"/>
        <v>904.17580476927753</v>
      </c>
      <c r="AS41" s="278">
        <f t="shared" si="4"/>
        <v>1699.476007015387</v>
      </c>
    </row>
    <row r="42" spans="1:45" ht="49.5" customHeight="1" thickTop="1" thickBot="1" x14ac:dyDescent="0.3">
      <c r="A42" s="637">
        <f>JULY!$A$42+31</f>
        <v>43314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282.67</v>
      </c>
      <c r="AK42" s="278" t="s">
        <v>197</v>
      </c>
      <c r="AL42" s="278">
        <v>172.29</v>
      </c>
      <c r="AM42" s="278">
        <v>373.01</v>
      </c>
      <c r="AN42" s="278">
        <v>287.69</v>
      </c>
      <c r="AO42" s="278">
        <v>971.89</v>
      </c>
      <c r="AP42" s="278"/>
      <c r="AQ42" s="278" t="s">
        <v>197</v>
      </c>
      <c r="AR42" s="278">
        <v>73.94</v>
      </c>
      <c r="AS42" s="278">
        <v>73.94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229141.67448978446</v>
      </c>
      <c r="C44" s="12"/>
      <c r="D44" s="282" t="s">
        <v>135</v>
      </c>
      <c r="E44" s="283">
        <f>SUM(B41:H41)+P41+R41+T41+V41+X41+Z41</f>
        <v>167729.28180608715</v>
      </c>
      <c r="F44" s="12"/>
      <c r="G44" s="282" t="s">
        <v>135</v>
      </c>
      <c r="H44" s="283">
        <f>SUM(I41:N41)+O41+Q41+S41+U41+W41+Y41</f>
        <v>60132.39639969678</v>
      </c>
      <c r="I44" s="12"/>
      <c r="J44" s="282" t="s">
        <v>198</v>
      </c>
      <c r="K44" s="283">
        <v>217210.62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27292.82634978064</v>
      </c>
      <c r="C45" s="12"/>
      <c r="D45" s="284" t="s">
        <v>183</v>
      </c>
      <c r="E45" s="285">
        <f>AJ41*(1-$AI$40)+AK41+AL41*0.5+AN41+AO41*(1-$AI$40)+AP41*(1-$AI$40)+AQ41*(1-$AI$40)+AR41*0.5+AS41*0.5</f>
        <v>13202.808610513939</v>
      </c>
      <c r="F45" s="24"/>
      <c r="G45" s="284" t="s">
        <v>183</v>
      </c>
      <c r="H45" s="285">
        <f>AJ41*AI40+AL41*0.5+AM41+AO41*AI40+AP41*AI40+AQ41*AI40+AR41*0.5+AS41*0.5</f>
        <v>14090.017739266701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3532.0051532268526</v>
      </c>
      <c r="U45" s="256">
        <f>(T45*8.34*0.895)/27000</f>
        <v>0.97644244686041459</v>
      </c>
    </row>
    <row r="46" spans="1:45" ht="32.25" thickBot="1" x14ac:dyDescent="0.3">
      <c r="A46" s="286" t="s">
        <v>184</v>
      </c>
      <c r="B46" s="287">
        <f>SUM(AJ42:AS42)</f>
        <v>2235.4300000000003</v>
      </c>
      <c r="C46" s="12"/>
      <c r="D46" s="286" t="s">
        <v>184</v>
      </c>
      <c r="E46" s="287">
        <f>AJ42*(1-$AI$40)+AL42*0.5+AN42+AO42*(1-$AI$40)+AP42*(1-$AI$40)+AR42*0.5+AS42*0.5</f>
        <v>903.74687023401032</v>
      </c>
      <c r="F46" s="23"/>
      <c r="G46" s="286" t="s">
        <v>184</v>
      </c>
      <c r="H46" s="287">
        <f>AJ42*AI40+AL42*0.5+AM42+AO42*AI40+AP42*AI40+AR42*0.5+AS42*0.5</f>
        <v>1331.6831297659896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217210.62</v>
      </c>
      <c r="C47" s="12"/>
      <c r="D47" s="286" t="s">
        <v>187</v>
      </c>
      <c r="E47" s="287">
        <f>K44*0.5</f>
        <v>108605.31</v>
      </c>
      <c r="F47" s="24"/>
      <c r="G47" s="286" t="s">
        <v>185</v>
      </c>
      <c r="H47" s="287">
        <f>K44*0.5</f>
        <v>108605.31</v>
      </c>
      <c r="I47" s="12"/>
      <c r="J47" s="282" t="s">
        <v>198</v>
      </c>
      <c r="K47" s="283">
        <v>50391.189999999981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78784.415252939856</v>
      </c>
      <c r="U47" s="256">
        <f>T47/40000</f>
        <v>1.9696103813234964</v>
      </c>
    </row>
    <row r="48" spans="1:45" ht="24" thickBot="1" x14ac:dyDescent="0.3">
      <c r="A48" s="286" t="s">
        <v>186</v>
      </c>
      <c r="B48" s="287">
        <f>K47</f>
        <v>50391.189999999981</v>
      </c>
      <c r="C48" s="12"/>
      <c r="D48" s="286" t="s">
        <v>186</v>
      </c>
      <c r="E48" s="287">
        <f>K47*0.5</f>
        <v>25195.59499999999</v>
      </c>
      <c r="F48" s="23"/>
      <c r="G48" s="286" t="s">
        <v>186</v>
      </c>
      <c r="H48" s="287">
        <f>K47*0.5</f>
        <v>25195.59499999999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194</v>
      </c>
      <c r="B49" s="292">
        <f>AF40</f>
        <v>795.9247275249827</v>
      </c>
      <c r="C49" s="12"/>
      <c r="D49" s="291" t="s">
        <v>195</v>
      </c>
      <c r="E49" s="292">
        <f>AH40</f>
        <v>286.12346507627188</v>
      </c>
      <c r="F49" s="23"/>
      <c r="G49" s="291" t="s">
        <v>196</v>
      </c>
      <c r="H49" s="292">
        <f>AG40</f>
        <v>501.11600687156033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1888.2644284392404</v>
      </c>
      <c r="U49" s="256">
        <f>(T49*8.34*1.04)/45000</f>
        <v>0.36395667436690216</v>
      </c>
    </row>
    <row r="50" spans="1:25" ht="48" customHeight="1" thickTop="1" thickBot="1" x14ac:dyDescent="0.3">
      <c r="A50" s="291" t="s">
        <v>223</v>
      </c>
      <c r="B50" s="292">
        <f>SUM(E50+H50)</f>
        <v>812.05009140645313</v>
      </c>
      <c r="C50" s="12"/>
      <c r="D50" s="291" t="s">
        <v>224</v>
      </c>
      <c r="E50" s="292">
        <f>AE40</f>
        <v>292.07387575905261</v>
      </c>
      <c r="F50" s="23"/>
      <c r="G50" s="291" t="s">
        <v>225</v>
      </c>
      <c r="H50" s="292">
        <f>AD40</f>
        <v>519.97621564740052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648.07792820769691</v>
      </c>
      <c r="C51" s="12"/>
      <c r="D51" s="291" t="s">
        <v>188</v>
      </c>
      <c r="E51" s="294">
        <f>SUM(E44:E48)/E50</f>
        <v>1080.6743378419121</v>
      </c>
      <c r="F51" s="23"/>
      <c r="G51" s="291" t="s">
        <v>189</v>
      </c>
      <c r="H51" s="294">
        <f>SUM(H44:H48)/H50</f>
        <v>402.62418927771603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26376.212910540915</v>
      </c>
      <c r="U51" s="256">
        <f>T51/2000/8</f>
        <v>1.6485133069088072</v>
      </c>
    </row>
    <row r="52" spans="1:25" ht="47.25" customHeight="1" thickTop="1" thickBot="1" x14ac:dyDescent="0.3">
      <c r="A52" s="281" t="s">
        <v>191</v>
      </c>
      <c r="B52" s="294">
        <f>B51/1000</f>
        <v>0.64807792820769694</v>
      </c>
      <c r="C52" s="12"/>
      <c r="D52" s="281" t="s">
        <v>192</v>
      </c>
      <c r="E52" s="294">
        <f>E51/1000</f>
        <v>1.0806743378419121</v>
      </c>
      <c r="F52" s="374">
        <f>E44/E49</f>
        <v>586.21295447185912</v>
      </c>
      <c r="G52" s="281" t="s">
        <v>193</v>
      </c>
      <c r="H52" s="294">
        <f>H51/1000</f>
        <v>0.40262418927771604</v>
      </c>
      <c r="I52" s="374">
        <f>H44/H49</f>
        <v>119.9969579401385</v>
      </c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18651.447858059415</v>
      </c>
      <c r="U52" s="256">
        <f>(T52*8.34*1.4)/45000</f>
        <v>4.8394290042378154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1283.0035324712605</v>
      </c>
      <c r="U53" s="256">
        <f>(T53*8.34*1.135)/45000</f>
        <v>0.26988406973377121</v>
      </c>
    </row>
    <row r="54" spans="1:25" ht="48" customHeight="1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6611.8263134916606</v>
      </c>
      <c r="U54" s="256">
        <f>(T54*8.34*1.029*0.03)/3300</f>
        <v>0.51583425242455938</v>
      </c>
    </row>
    <row r="55" spans="1:25" ht="42.75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56203.893153719102</v>
      </c>
      <c r="U55" s="259">
        <f>(T55*1.54*8.34)/45000</f>
        <v>16.04134049131348</v>
      </c>
    </row>
    <row r="56" spans="1:25" ht="24" thickTop="1" x14ac:dyDescent="0.25">
      <c r="A56" s="642"/>
      <c r="B56" s="64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4"/>
      <c r="B57" s="645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0"/>
      <c r="B58" s="64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1"/>
      <c r="B59" s="64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0"/>
      <c r="B60" s="64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1"/>
      <c r="B61" s="641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</sheetData>
  <sheetProtection algorithmName="SHA-512" hashValue="w5Hubc+2AlhIoMGoMS7CG3Dk/E0+HC4SNUyJgBAXpcz+SPuIYCglin5jxHzXGuAwpKM4d9wshXKwgDawUQek5Q==" saltValue="ETC9p1428sOadWa57dJRpA==" spinCount="100000" sheet="1" objects="1" scenarios="1" selectLockedCells="1" selectUnlockedCells="1"/>
  <mergeCells count="36"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R43:U43"/>
    <mergeCell ref="AD4:AD5"/>
    <mergeCell ref="AE4:AE5"/>
    <mergeCell ref="A54:E54"/>
    <mergeCell ref="A55:E55"/>
    <mergeCell ref="R55:S55"/>
    <mergeCell ref="A42:K42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H76"/>
  <sheetViews>
    <sheetView zoomScale="75" zoomScaleNormal="75" workbookViewId="0">
      <selection activeCell="E38" sqref="E38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29.5703125" customWidth="1"/>
    <col min="5" max="5" width="26.42578125" bestFit="1" customWidth="1"/>
    <col min="6" max="6" width="16.7109375" customWidth="1"/>
    <col min="7" max="7" width="35.570312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3.42578125" bestFit="1" customWidth="1"/>
    <col min="37" max="40" width="18.85546875" bestFit="1" customWidth="1"/>
    <col min="41" max="41" width="23.42578125" bestFit="1" customWidth="1"/>
    <col min="42" max="45" width="18.85546875" bestFit="1" customWidth="1"/>
    <col min="46" max="47" width="20.42578125" customWidth="1"/>
  </cols>
  <sheetData>
    <row r="1" spans="1:60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60" ht="15" customHeight="1" x14ac:dyDescent="0.25">
      <c r="A2" s="1" t="s">
        <v>2</v>
      </c>
      <c r="B2" s="5"/>
      <c r="O2" s="4"/>
      <c r="P2" s="4"/>
      <c r="Q2" s="4"/>
      <c r="R2" s="4"/>
    </row>
    <row r="3" spans="1:60" ht="15.75" thickBot="1" x14ac:dyDescent="0.3">
      <c r="A3" s="6"/>
      <c r="BG3" t="s">
        <v>169</v>
      </c>
      <c r="BH3" s="260" t="s">
        <v>206</v>
      </c>
    </row>
    <row r="4" spans="1:60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</row>
    <row r="5" spans="1:60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60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60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60" x14ac:dyDescent="0.25">
      <c r="A8" s="11">
        <v>43344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312.46389290491754</v>
      </c>
      <c r="J8" s="50">
        <v>462.93085927963227</v>
      </c>
      <c r="K8" s="50">
        <v>25.263924604654338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483.13945846557436</v>
      </c>
      <c r="V8" s="54">
        <v>0</v>
      </c>
      <c r="W8" s="54">
        <v>73.509950319925977</v>
      </c>
      <c r="X8" s="54">
        <v>0</v>
      </c>
      <c r="Y8" s="54">
        <v>425.92014540036524</v>
      </c>
      <c r="Z8" s="54">
        <v>0</v>
      </c>
      <c r="AA8" s="55">
        <v>0</v>
      </c>
      <c r="AB8" s="56">
        <v>74.366850847667379</v>
      </c>
      <c r="AC8" s="57">
        <v>0</v>
      </c>
      <c r="AD8" s="411">
        <v>16.363433090212862</v>
      </c>
      <c r="AE8" s="411">
        <v>0</v>
      </c>
      <c r="AF8" s="57">
        <v>16.247587499353649</v>
      </c>
      <c r="AG8" s="58">
        <v>15.999427647536898</v>
      </c>
      <c r="AH8" s="58">
        <v>0</v>
      </c>
      <c r="AI8" s="58">
        <v>1</v>
      </c>
      <c r="AJ8" s="57">
        <v>228.53391941388449</v>
      </c>
      <c r="AK8" s="57">
        <v>693.89112164179494</v>
      </c>
      <c r="AL8" s="57">
        <v>1139.9293741861979</v>
      </c>
      <c r="AM8" s="57">
        <v>408.52189636230469</v>
      </c>
      <c r="AN8" s="57">
        <v>1195.0751953125</v>
      </c>
      <c r="AO8" s="57">
        <v>1784.850906499227</v>
      </c>
      <c r="AP8" s="57">
        <v>480.93782054583215</v>
      </c>
      <c r="AQ8" s="57">
        <v>1998.3826334635414</v>
      </c>
      <c r="AR8" s="57">
        <v>449.02888186772668</v>
      </c>
      <c r="AS8" s="57">
        <v>768.72024300893156</v>
      </c>
    </row>
    <row r="9" spans="1:60" x14ac:dyDescent="0.25">
      <c r="A9" s="11">
        <v>43345</v>
      </c>
      <c r="B9" s="59"/>
      <c r="C9" s="60">
        <v>0</v>
      </c>
      <c r="D9" s="60">
        <v>0</v>
      </c>
      <c r="E9" s="50">
        <v>0</v>
      </c>
      <c r="F9" s="60">
        <v>0</v>
      </c>
      <c r="G9" s="60">
        <v>0</v>
      </c>
      <c r="H9" s="61">
        <v>0</v>
      </c>
      <c r="I9" s="59">
        <v>319.14245985349044</v>
      </c>
      <c r="J9" s="60">
        <v>462.76276388168264</v>
      </c>
      <c r="K9" s="60">
        <v>25.279948036869371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479.59074851142032</v>
      </c>
      <c r="V9" s="62">
        <v>0</v>
      </c>
      <c r="W9" s="62">
        <v>72.881371855735679</v>
      </c>
      <c r="X9" s="62">
        <v>0</v>
      </c>
      <c r="Y9" s="66">
        <v>424.34403807322127</v>
      </c>
      <c r="Z9" s="66">
        <v>0</v>
      </c>
      <c r="AA9" s="67">
        <v>0</v>
      </c>
      <c r="AB9" s="68">
        <v>74.366553693346859</v>
      </c>
      <c r="AC9" s="69">
        <v>0</v>
      </c>
      <c r="AD9" s="412">
        <v>16.355587121173446</v>
      </c>
      <c r="AE9" s="412">
        <v>0</v>
      </c>
      <c r="AF9" s="69">
        <v>16.085705385605475</v>
      </c>
      <c r="AG9" s="68">
        <v>15.867188386522285</v>
      </c>
      <c r="AH9" s="68">
        <v>0</v>
      </c>
      <c r="AI9" s="68">
        <v>1</v>
      </c>
      <c r="AJ9" s="69">
        <v>223.57839202880859</v>
      </c>
      <c r="AK9" s="69">
        <v>696.42774674097677</v>
      </c>
      <c r="AL9" s="69">
        <v>1186.3998629252117</v>
      </c>
      <c r="AM9" s="69">
        <v>408.52189636230469</v>
      </c>
      <c r="AN9" s="69">
        <v>1195.0751953125</v>
      </c>
      <c r="AO9" s="69">
        <v>1795.8946492513026</v>
      </c>
      <c r="AP9" s="69">
        <v>485.533439954122</v>
      </c>
      <c r="AQ9" s="69">
        <v>2032.6096918106075</v>
      </c>
      <c r="AR9" s="69">
        <v>453.05652230580648</v>
      </c>
      <c r="AS9" s="69">
        <v>788.91949917475381</v>
      </c>
    </row>
    <row r="10" spans="1:60" x14ac:dyDescent="0.25">
      <c r="A10" s="11">
        <v>43346</v>
      </c>
      <c r="B10" s="59"/>
      <c r="C10" s="60">
        <v>0</v>
      </c>
      <c r="D10" s="60">
        <v>0</v>
      </c>
      <c r="E10" s="50">
        <v>0</v>
      </c>
      <c r="F10" s="60">
        <v>0</v>
      </c>
      <c r="G10" s="60">
        <v>0</v>
      </c>
      <c r="H10" s="61">
        <v>0</v>
      </c>
      <c r="I10" s="59">
        <v>328.50915552775115</v>
      </c>
      <c r="J10" s="60">
        <v>462.76798461278213</v>
      </c>
      <c r="K10" s="60">
        <v>25.251935586333257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479.18503826988717</v>
      </c>
      <c r="V10" s="62">
        <v>0</v>
      </c>
      <c r="W10" s="62">
        <v>72.196775297323796</v>
      </c>
      <c r="X10" s="62">
        <v>0</v>
      </c>
      <c r="Y10" s="66">
        <v>430.17680155436187</v>
      </c>
      <c r="Z10" s="66">
        <v>0</v>
      </c>
      <c r="AA10" s="67">
        <v>0</v>
      </c>
      <c r="AB10" s="68">
        <v>74.368634266323383</v>
      </c>
      <c r="AC10" s="69">
        <v>0</v>
      </c>
      <c r="AD10" s="412">
        <v>16.357469669556728</v>
      </c>
      <c r="AE10" s="412">
        <v>0</v>
      </c>
      <c r="AF10" s="69">
        <v>16.089138782686661</v>
      </c>
      <c r="AG10" s="68">
        <v>15.87933301433652</v>
      </c>
      <c r="AH10" s="68">
        <v>0</v>
      </c>
      <c r="AI10" s="68">
        <v>1</v>
      </c>
      <c r="AJ10" s="69">
        <v>227.1463616212209</v>
      </c>
      <c r="AK10" s="69">
        <v>622.1859838485716</v>
      </c>
      <c r="AL10" s="69">
        <v>1207.5457763671875</v>
      </c>
      <c r="AM10" s="69">
        <v>408.52189636230469</v>
      </c>
      <c r="AN10" s="69">
        <v>1195.0751953125</v>
      </c>
      <c r="AO10" s="69">
        <v>1786.1062606811518</v>
      </c>
      <c r="AP10" s="69">
        <v>473.88568712870278</v>
      </c>
      <c r="AQ10" s="69">
        <v>2046.6407519022623</v>
      </c>
      <c r="AR10" s="69">
        <v>450.37670087814331</v>
      </c>
      <c r="AS10" s="69">
        <v>776.8418866157532</v>
      </c>
    </row>
    <row r="11" spans="1:60" x14ac:dyDescent="0.25">
      <c r="A11" s="11">
        <v>43347</v>
      </c>
      <c r="B11" s="59"/>
      <c r="C11" s="60">
        <v>0</v>
      </c>
      <c r="D11" s="60">
        <v>0</v>
      </c>
      <c r="E11" s="50">
        <v>0</v>
      </c>
      <c r="F11" s="60">
        <v>0</v>
      </c>
      <c r="G11" s="60">
        <v>0</v>
      </c>
      <c r="H11" s="61">
        <v>0</v>
      </c>
      <c r="I11" s="59">
        <v>326.46451748609576</v>
      </c>
      <c r="J11" s="60">
        <v>462.89738645553524</v>
      </c>
      <c r="K11" s="60">
        <v>25.330711554984237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475.67554115719184</v>
      </c>
      <c r="V11" s="62">
        <v>0</v>
      </c>
      <c r="W11" s="62">
        <v>71.736176085472181</v>
      </c>
      <c r="X11" s="62">
        <v>0</v>
      </c>
      <c r="Y11" s="66">
        <v>431.18260035514913</v>
      </c>
      <c r="Z11" s="66">
        <v>0</v>
      </c>
      <c r="AA11" s="67">
        <v>0</v>
      </c>
      <c r="AB11" s="68">
        <v>74.538967593510137</v>
      </c>
      <c r="AC11" s="69">
        <v>0</v>
      </c>
      <c r="AD11" s="412">
        <v>16.3658664093455</v>
      </c>
      <c r="AE11" s="412">
        <v>0</v>
      </c>
      <c r="AF11" s="69">
        <v>16.024077742629604</v>
      </c>
      <c r="AG11" s="68">
        <v>15.81854273252835</v>
      </c>
      <c r="AH11" s="68">
        <v>0</v>
      </c>
      <c r="AI11" s="68">
        <v>1</v>
      </c>
      <c r="AJ11" s="69">
        <v>234.5470310052236</v>
      </c>
      <c r="AK11" s="69">
        <v>513.623109817505</v>
      </c>
      <c r="AL11" s="69">
        <v>1284.6644641240437</v>
      </c>
      <c r="AM11" s="69">
        <v>408.52189636230469</v>
      </c>
      <c r="AN11" s="69">
        <v>1195.0751953125</v>
      </c>
      <c r="AO11" s="69">
        <v>1839.6026641845706</v>
      </c>
      <c r="AP11" s="69">
        <v>469.05573047002156</v>
      </c>
      <c r="AQ11" s="69">
        <v>2019.487522570292</v>
      </c>
      <c r="AR11" s="69">
        <v>453.20146160125728</v>
      </c>
      <c r="AS11" s="69">
        <v>837.44849487940473</v>
      </c>
    </row>
    <row r="12" spans="1:60" x14ac:dyDescent="0.25">
      <c r="A12" s="11">
        <v>43348</v>
      </c>
      <c r="B12" s="59"/>
      <c r="C12" s="60">
        <v>0</v>
      </c>
      <c r="D12" s="60">
        <v>0</v>
      </c>
      <c r="E12" s="50">
        <v>0</v>
      </c>
      <c r="F12" s="60">
        <v>0</v>
      </c>
      <c r="G12" s="60">
        <v>0</v>
      </c>
      <c r="H12" s="61">
        <v>0</v>
      </c>
      <c r="I12" s="59">
        <v>372.50926524798098</v>
      </c>
      <c r="J12" s="60">
        <v>543.51420939763364</v>
      </c>
      <c r="K12" s="60">
        <v>29.695115605990093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523.71288333468783</v>
      </c>
      <c r="V12" s="62">
        <v>0</v>
      </c>
      <c r="W12" s="62">
        <v>83.960595873991736</v>
      </c>
      <c r="X12" s="62">
        <v>0</v>
      </c>
      <c r="Y12" s="66">
        <v>495.51213181813466</v>
      </c>
      <c r="Z12" s="66">
        <v>0</v>
      </c>
      <c r="AA12" s="67">
        <v>0</v>
      </c>
      <c r="AB12" s="68">
        <v>87.537329451243039</v>
      </c>
      <c r="AC12" s="69">
        <v>0</v>
      </c>
      <c r="AD12" s="412">
        <v>19.222414681658876</v>
      </c>
      <c r="AE12" s="412">
        <v>0</v>
      </c>
      <c r="AF12" s="69">
        <v>18.373021701971709</v>
      </c>
      <c r="AG12" s="68">
        <v>18.074094865414899</v>
      </c>
      <c r="AH12" s="68">
        <v>0</v>
      </c>
      <c r="AI12" s="68">
        <v>1</v>
      </c>
      <c r="AJ12" s="69">
        <v>234.03861236572266</v>
      </c>
      <c r="AK12" s="69">
        <v>434.25526736577353</v>
      </c>
      <c r="AL12" s="69">
        <v>1117.292235883077</v>
      </c>
      <c r="AM12" s="69">
        <v>408.52189636230469</v>
      </c>
      <c r="AN12" s="69">
        <v>1195.0751953125</v>
      </c>
      <c r="AO12" s="69">
        <v>1828.1668994903562</v>
      </c>
      <c r="AP12" s="69">
        <v>448.29518151283264</v>
      </c>
      <c r="AQ12" s="69">
        <v>2361.7763760248822</v>
      </c>
      <c r="AR12" s="69">
        <v>450.92218583424881</v>
      </c>
      <c r="AS12" s="69">
        <v>772.53090232213344</v>
      </c>
    </row>
    <row r="13" spans="1:60" x14ac:dyDescent="0.25">
      <c r="A13" s="11">
        <v>43349</v>
      </c>
      <c r="B13" s="59"/>
      <c r="C13" s="60">
        <v>0</v>
      </c>
      <c r="D13" s="60">
        <v>0</v>
      </c>
      <c r="E13" s="50">
        <v>0</v>
      </c>
      <c r="F13" s="60">
        <v>0</v>
      </c>
      <c r="G13" s="60">
        <v>0</v>
      </c>
      <c r="H13" s="61">
        <v>0</v>
      </c>
      <c r="I13" s="59">
        <v>447.91227970123236</v>
      </c>
      <c r="J13" s="60">
        <v>636.2290910720842</v>
      </c>
      <c r="K13" s="60">
        <v>34.802480370799643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601.00014004177297</v>
      </c>
      <c r="V13" s="62">
        <v>0</v>
      </c>
      <c r="W13" s="62">
        <v>100.98925582567841</v>
      </c>
      <c r="X13" s="62">
        <v>0</v>
      </c>
      <c r="Y13" s="66">
        <v>620.09032573699938</v>
      </c>
      <c r="Z13" s="66">
        <v>0</v>
      </c>
      <c r="AA13" s="67">
        <v>0</v>
      </c>
      <c r="AB13" s="68">
        <v>102.86052579349715</v>
      </c>
      <c r="AC13" s="69">
        <v>0</v>
      </c>
      <c r="AD13" s="412">
        <v>22.501036941514474</v>
      </c>
      <c r="AE13" s="412">
        <v>0</v>
      </c>
      <c r="AF13" s="69">
        <v>22.359501620133702</v>
      </c>
      <c r="AG13" s="68">
        <v>21.998669506520507</v>
      </c>
      <c r="AH13" s="68">
        <v>0</v>
      </c>
      <c r="AI13" s="68">
        <v>1</v>
      </c>
      <c r="AJ13" s="69">
        <v>234.03861236572266</v>
      </c>
      <c r="AK13" s="69">
        <v>419.91366043090818</v>
      </c>
      <c r="AL13" s="69">
        <v>1260.1384967803954</v>
      </c>
      <c r="AM13" s="69">
        <v>408.52189636230469</v>
      </c>
      <c r="AN13" s="69">
        <v>1195.0751953125</v>
      </c>
      <c r="AO13" s="69">
        <v>1795.4348646799724</v>
      </c>
      <c r="AP13" s="69">
        <v>426.0906007448832</v>
      </c>
      <c r="AQ13" s="69">
        <v>2781.7779841105148</v>
      </c>
      <c r="AR13" s="69">
        <v>441.59261287053425</v>
      </c>
      <c r="AS13" s="69">
        <v>794.00280288060515</v>
      </c>
    </row>
    <row r="14" spans="1:60" x14ac:dyDescent="0.25">
      <c r="A14" s="11">
        <v>43350</v>
      </c>
      <c r="B14" s="59"/>
      <c r="C14" s="60">
        <v>0</v>
      </c>
      <c r="D14" s="60">
        <v>0</v>
      </c>
      <c r="E14" s="50">
        <v>0</v>
      </c>
      <c r="F14" s="60">
        <v>0</v>
      </c>
      <c r="G14" s="60">
        <v>0</v>
      </c>
      <c r="H14" s="61">
        <v>0</v>
      </c>
      <c r="I14" s="59">
        <v>458.86097459792944</v>
      </c>
      <c r="J14" s="60">
        <v>636.56883519490736</v>
      </c>
      <c r="K14" s="60">
        <v>34.935932966073338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598.0196768230843</v>
      </c>
      <c r="V14" s="62">
        <v>0</v>
      </c>
      <c r="W14" s="62">
        <v>101.02026113669075</v>
      </c>
      <c r="X14" s="62">
        <v>0</v>
      </c>
      <c r="Y14" s="66">
        <v>643.78191293080658</v>
      </c>
      <c r="Z14" s="66">
        <v>0</v>
      </c>
      <c r="AA14" s="67">
        <v>0</v>
      </c>
      <c r="AB14" s="68">
        <v>102.80733905898231</v>
      </c>
      <c r="AC14" s="69">
        <v>0</v>
      </c>
      <c r="AD14" s="412">
        <v>22.510117783658053</v>
      </c>
      <c r="AE14" s="412">
        <v>0</v>
      </c>
      <c r="AF14" s="69">
        <v>22.246261003944607</v>
      </c>
      <c r="AG14" s="68">
        <v>21.879825195488621</v>
      </c>
      <c r="AH14" s="68">
        <v>0</v>
      </c>
      <c r="AI14" s="68">
        <v>1</v>
      </c>
      <c r="AJ14" s="69">
        <v>234.03861236572266</v>
      </c>
      <c r="AK14" s="69">
        <v>416.35907605489103</v>
      </c>
      <c r="AL14" s="69">
        <v>1153.945939318339</v>
      </c>
      <c r="AM14" s="69">
        <v>408.52189636230469</v>
      </c>
      <c r="AN14" s="69">
        <v>1195.0751953125</v>
      </c>
      <c r="AO14" s="69">
        <v>1807.4258739471436</v>
      </c>
      <c r="AP14" s="69">
        <v>434.46030557950343</v>
      </c>
      <c r="AQ14" s="69">
        <v>2783.2511989593504</v>
      </c>
      <c r="AR14" s="69">
        <v>458.19506406784058</v>
      </c>
      <c r="AS14" s="69">
        <v>821.59023240407316</v>
      </c>
    </row>
    <row r="15" spans="1:60" x14ac:dyDescent="0.25">
      <c r="A15" s="11">
        <v>43351</v>
      </c>
      <c r="B15" s="59"/>
      <c r="C15" s="60">
        <v>0</v>
      </c>
      <c r="D15" s="60">
        <v>0</v>
      </c>
      <c r="E15" s="50">
        <v>0</v>
      </c>
      <c r="F15" s="60">
        <v>0</v>
      </c>
      <c r="G15" s="60">
        <v>0</v>
      </c>
      <c r="H15" s="61">
        <v>0</v>
      </c>
      <c r="I15" s="59">
        <v>459.08570165634046</v>
      </c>
      <c r="J15" s="60">
        <v>636.8460845629395</v>
      </c>
      <c r="K15" s="60">
        <v>34.897224509716011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595.92559532589519</v>
      </c>
      <c r="V15" s="62">
        <v>0</v>
      </c>
      <c r="W15" s="62">
        <v>99.7133158127466</v>
      </c>
      <c r="X15" s="62">
        <v>0</v>
      </c>
      <c r="Y15" s="66">
        <v>654.89489014943456</v>
      </c>
      <c r="Z15" s="66">
        <v>0</v>
      </c>
      <c r="AA15" s="67">
        <v>0</v>
      </c>
      <c r="AB15" s="68">
        <v>102.77284712261581</v>
      </c>
      <c r="AC15" s="69">
        <v>0</v>
      </c>
      <c r="AD15" s="412">
        <v>22.520668819959255</v>
      </c>
      <c r="AE15" s="412">
        <v>0</v>
      </c>
      <c r="AF15" s="69">
        <v>22.19475188122858</v>
      </c>
      <c r="AG15" s="68">
        <v>21.80856928904775</v>
      </c>
      <c r="AH15" s="68">
        <v>0</v>
      </c>
      <c r="AI15" s="68">
        <v>1</v>
      </c>
      <c r="AJ15" s="69">
        <v>229.63269271850587</v>
      </c>
      <c r="AK15" s="69">
        <v>422.41893202463791</v>
      </c>
      <c r="AL15" s="69">
        <v>1168.0112161000573</v>
      </c>
      <c r="AM15" s="69">
        <v>408.52189636230469</v>
      </c>
      <c r="AN15" s="69">
        <v>1195.0751953125</v>
      </c>
      <c r="AO15" s="69">
        <v>1770.0136502583819</v>
      </c>
      <c r="AP15" s="69">
        <v>477.1324020703633</v>
      </c>
      <c r="AQ15" s="69">
        <v>2779.6661436716718</v>
      </c>
      <c r="AR15" s="69">
        <v>476.66890923182171</v>
      </c>
      <c r="AS15" s="69">
        <v>819.83263568878181</v>
      </c>
    </row>
    <row r="16" spans="1:60" x14ac:dyDescent="0.25">
      <c r="A16" s="11">
        <v>43352</v>
      </c>
      <c r="B16" s="49"/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1">
        <v>0</v>
      </c>
      <c r="I16" s="49">
        <v>459.08570165634046</v>
      </c>
      <c r="J16" s="50">
        <v>636.8460845629395</v>
      </c>
      <c r="K16" s="50">
        <v>34.897224509716011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595.92559532589519</v>
      </c>
      <c r="V16" s="66">
        <v>0</v>
      </c>
      <c r="W16" s="62">
        <v>99.7133158127466</v>
      </c>
      <c r="X16" s="62">
        <v>0</v>
      </c>
      <c r="Y16" s="66">
        <v>654.89489014943456</v>
      </c>
      <c r="Z16" s="66">
        <v>0</v>
      </c>
      <c r="AA16" s="67">
        <v>0</v>
      </c>
      <c r="AB16" s="68">
        <v>102.77284712261581</v>
      </c>
      <c r="AC16" s="69">
        <v>0</v>
      </c>
      <c r="AD16" s="412">
        <v>22.520668819959255</v>
      </c>
      <c r="AE16" s="412">
        <v>0</v>
      </c>
      <c r="AF16" s="69">
        <v>22.19475188122858</v>
      </c>
      <c r="AG16" s="68">
        <v>21.80856928904775</v>
      </c>
      <c r="AH16" s="68">
        <v>0</v>
      </c>
      <c r="AI16" s="68">
        <v>1</v>
      </c>
      <c r="AJ16" s="69">
        <v>229.63269271850587</v>
      </c>
      <c r="AK16" s="69">
        <v>422.41893202463791</v>
      </c>
      <c r="AL16" s="69">
        <v>1168.0112161000573</v>
      </c>
      <c r="AM16" s="69">
        <v>408.52189636230469</v>
      </c>
      <c r="AN16" s="69">
        <v>1195.0751953125</v>
      </c>
      <c r="AO16" s="69">
        <v>1770.0136502583819</v>
      </c>
      <c r="AP16" s="69">
        <v>477.1324020703633</v>
      </c>
      <c r="AQ16" s="69">
        <v>2779.6661436716718</v>
      </c>
      <c r="AR16" s="69">
        <v>476.66890923182171</v>
      </c>
      <c r="AS16" s="69">
        <v>819.83263568878181</v>
      </c>
    </row>
    <row r="17" spans="1:45" x14ac:dyDescent="0.25">
      <c r="A17" s="11">
        <v>43353</v>
      </c>
      <c r="B17" s="59"/>
      <c r="C17" s="60">
        <v>0</v>
      </c>
      <c r="D17" s="60">
        <v>0</v>
      </c>
      <c r="E17" s="50">
        <v>0</v>
      </c>
      <c r="F17" s="60">
        <v>0</v>
      </c>
      <c r="G17" s="60">
        <v>0</v>
      </c>
      <c r="H17" s="61">
        <v>0</v>
      </c>
      <c r="I17" s="59">
        <v>389.42253616650851</v>
      </c>
      <c r="J17" s="60">
        <v>637.34433975219827</v>
      </c>
      <c r="K17" s="60">
        <v>34.919773938258501</v>
      </c>
      <c r="L17" s="50">
        <v>0</v>
      </c>
      <c r="M17" s="5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587.19446243709535</v>
      </c>
      <c r="V17" s="62">
        <v>0</v>
      </c>
      <c r="W17" s="62">
        <v>93.85569717089335</v>
      </c>
      <c r="X17" s="62">
        <v>0</v>
      </c>
      <c r="Y17" s="66">
        <v>660.6899076779689</v>
      </c>
      <c r="Z17" s="66">
        <v>0</v>
      </c>
      <c r="AA17" s="67">
        <v>0</v>
      </c>
      <c r="AB17" s="68">
        <v>102.98054890632508</v>
      </c>
      <c r="AC17" s="69">
        <v>0</v>
      </c>
      <c r="AD17" s="412">
        <v>22.538150775980409</v>
      </c>
      <c r="AE17" s="412">
        <v>0</v>
      </c>
      <c r="AF17" s="69">
        <v>22.215290562311804</v>
      </c>
      <c r="AG17" s="68">
        <v>21.828418103713297</v>
      </c>
      <c r="AH17" s="68">
        <v>0</v>
      </c>
      <c r="AI17" s="68">
        <v>1</v>
      </c>
      <c r="AJ17" s="69">
        <v>225.27870500882466</v>
      </c>
      <c r="AK17" s="69">
        <v>435.82348918914806</v>
      </c>
      <c r="AL17" s="69">
        <v>1258.8180968602499</v>
      </c>
      <c r="AM17" s="69">
        <v>408.52189636230469</v>
      </c>
      <c r="AN17" s="69">
        <v>1195.0751953125</v>
      </c>
      <c r="AO17" s="69">
        <v>1842.2508749643964</v>
      </c>
      <c r="AP17" s="69">
        <v>500.90292517344159</v>
      </c>
      <c r="AQ17" s="69">
        <v>2764.8475566864013</v>
      </c>
      <c r="AR17" s="69">
        <v>489.51899315516164</v>
      </c>
      <c r="AS17" s="69">
        <v>909.73267485300732</v>
      </c>
    </row>
    <row r="18" spans="1:45" x14ac:dyDescent="0.25">
      <c r="A18" s="11">
        <v>43354</v>
      </c>
      <c r="B18" s="59"/>
      <c r="C18" s="60">
        <v>0</v>
      </c>
      <c r="D18" s="60">
        <v>0</v>
      </c>
      <c r="E18" s="50">
        <v>0</v>
      </c>
      <c r="F18" s="60">
        <v>0</v>
      </c>
      <c r="G18" s="60">
        <v>0</v>
      </c>
      <c r="H18" s="61">
        <v>0</v>
      </c>
      <c r="I18" s="59">
        <v>339.50612894694075</v>
      </c>
      <c r="J18" s="60">
        <v>636.8021238962815</v>
      </c>
      <c r="K18" s="60">
        <v>34.826023225982951</v>
      </c>
      <c r="L18" s="50">
        <v>0</v>
      </c>
      <c r="M18" s="5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585.06169637044525</v>
      </c>
      <c r="V18" s="62">
        <v>0</v>
      </c>
      <c r="W18" s="62">
        <v>93.160893487930281</v>
      </c>
      <c r="X18" s="62">
        <v>0</v>
      </c>
      <c r="Y18" s="66">
        <v>650.38681453069125</v>
      </c>
      <c r="Z18" s="66">
        <v>0</v>
      </c>
      <c r="AA18" s="67">
        <v>0</v>
      </c>
      <c r="AB18" s="68">
        <v>102.78135105239124</v>
      </c>
      <c r="AC18" s="69">
        <v>0</v>
      </c>
      <c r="AD18" s="412">
        <v>22.519320254400586</v>
      </c>
      <c r="AE18" s="412">
        <v>0</v>
      </c>
      <c r="AF18" s="69">
        <v>22.091712421509968</v>
      </c>
      <c r="AG18" s="68">
        <v>21.715810525536256</v>
      </c>
      <c r="AH18" s="68">
        <v>0</v>
      </c>
      <c r="AI18" s="68">
        <v>1</v>
      </c>
      <c r="AJ18" s="69">
        <v>229.03921712239583</v>
      </c>
      <c r="AK18" s="69">
        <v>437.70486580530809</v>
      </c>
      <c r="AL18" s="69">
        <v>1271.1616509755452</v>
      </c>
      <c r="AM18" s="69">
        <v>408.52189636230469</v>
      </c>
      <c r="AN18" s="69">
        <v>1195.0751953125</v>
      </c>
      <c r="AO18" s="69">
        <v>1841.1343962351482</v>
      </c>
      <c r="AP18" s="69">
        <v>524.8384911060333</v>
      </c>
      <c r="AQ18" s="69">
        <v>2854.4013596852624</v>
      </c>
      <c r="AR18" s="69">
        <v>497.76861658096317</v>
      </c>
      <c r="AS18" s="69">
        <v>946.23534208933518</v>
      </c>
    </row>
    <row r="19" spans="1:45" x14ac:dyDescent="0.25">
      <c r="A19" s="11">
        <v>43355</v>
      </c>
      <c r="B19" s="59"/>
      <c r="C19" s="60">
        <v>0</v>
      </c>
      <c r="D19" s="60">
        <v>0</v>
      </c>
      <c r="E19" s="50">
        <v>0</v>
      </c>
      <c r="F19" s="60">
        <v>0</v>
      </c>
      <c r="G19" s="60">
        <v>0</v>
      </c>
      <c r="H19" s="61">
        <v>0</v>
      </c>
      <c r="I19" s="59">
        <v>335.25586277643913</v>
      </c>
      <c r="J19" s="60">
        <v>636.69267298380691</v>
      </c>
      <c r="K19" s="60">
        <v>34.774526740113885</v>
      </c>
      <c r="L19" s="50">
        <v>0</v>
      </c>
      <c r="M19" s="5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599.05496080186049</v>
      </c>
      <c r="V19" s="62">
        <v>0</v>
      </c>
      <c r="W19" s="62">
        <v>93.355326501528396</v>
      </c>
      <c r="X19" s="62">
        <v>0</v>
      </c>
      <c r="Y19" s="66">
        <v>654.21238568623744</v>
      </c>
      <c r="Z19" s="66">
        <v>0</v>
      </c>
      <c r="AA19" s="67">
        <v>0</v>
      </c>
      <c r="AB19" s="68">
        <v>102.60463527573451</v>
      </c>
      <c r="AC19" s="69">
        <v>0</v>
      </c>
      <c r="AD19" s="412">
        <v>22.511922106677311</v>
      </c>
      <c r="AE19" s="412">
        <v>0</v>
      </c>
      <c r="AF19" s="69">
        <v>22.3678805602921</v>
      </c>
      <c r="AG19" s="68">
        <v>22.000245491587997</v>
      </c>
      <c r="AH19" s="68">
        <v>0</v>
      </c>
      <c r="AI19" s="68">
        <v>1</v>
      </c>
      <c r="AJ19" s="69">
        <v>229.14102172851563</v>
      </c>
      <c r="AK19" s="69">
        <v>438.19754120508833</v>
      </c>
      <c r="AL19" s="69">
        <v>1218.8193262736004</v>
      </c>
      <c r="AM19" s="69">
        <v>408.52189636230469</v>
      </c>
      <c r="AN19" s="69">
        <v>1195.0751953125</v>
      </c>
      <c r="AO19" s="69">
        <v>1878.4396855672198</v>
      </c>
      <c r="AP19" s="69">
        <v>534.00855506261189</v>
      </c>
      <c r="AQ19" s="69">
        <v>2817.6908105214438</v>
      </c>
      <c r="AR19" s="69">
        <v>502.28339465459197</v>
      </c>
      <c r="AS19" s="69">
        <v>940.48979997634888</v>
      </c>
    </row>
    <row r="20" spans="1:45" x14ac:dyDescent="0.25">
      <c r="A20" s="11">
        <v>43356</v>
      </c>
      <c r="B20" s="59"/>
      <c r="C20" s="60">
        <v>0</v>
      </c>
      <c r="D20" s="60">
        <v>0</v>
      </c>
      <c r="E20" s="50">
        <v>0</v>
      </c>
      <c r="F20" s="60">
        <v>0</v>
      </c>
      <c r="G20" s="60">
        <v>0</v>
      </c>
      <c r="H20" s="61">
        <v>0</v>
      </c>
      <c r="I20" s="59">
        <v>328.72647697130867</v>
      </c>
      <c r="J20" s="60">
        <v>636.81179876327667</v>
      </c>
      <c r="K20" s="60">
        <v>34.869484938184442</v>
      </c>
      <c r="L20" s="50">
        <v>0</v>
      </c>
      <c r="M20" s="5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614.85013703239713</v>
      </c>
      <c r="V20" s="62">
        <v>0</v>
      </c>
      <c r="W20" s="62">
        <v>98.971374503771429</v>
      </c>
      <c r="X20" s="62">
        <v>0</v>
      </c>
      <c r="Y20" s="66">
        <v>656.79208828608068</v>
      </c>
      <c r="Z20" s="66">
        <v>0</v>
      </c>
      <c r="AA20" s="67">
        <v>0</v>
      </c>
      <c r="AB20" s="68">
        <v>102.93433805041838</v>
      </c>
      <c r="AC20" s="69">
        <v>0</v>
      </c>
      <c r="AD20" s="412">
        <v>22.513832574983617</v>
      </c>
      <c r="AE20" s="412">
        <v>0</v>
      </c>
      <c r="AF20" s="69">
        <v>22.259701699680768</v>
      </c>
      <c r="AG20" s="68">
        <v>21.883109413794912</v>
      </c>
      <c r="AH20" s="68">
        <v>0</v>
      </c>
      <c r="AI20" s="68">
        <v>1</v>
      </c>
      <c r="AJ20" s="69">
        <v>229.14102172851563</v>
      </c>
      <c r="AK20" s="69">
        <v>437.68608360290528</v>
      </c>
      <c r="AL20" s="69">
        <v>1186.8258092244469</v>
      </c>
      <c r="AM20" s="69">
        <v>408.52189636230469</v>
      </c>
      <c r="AN20" s="69">
        <v>1195.0751953125</v>
      </c>
      <c r="AO20" s="69">
        <v>1886.5928268432619</v>
      </c>
      <c r="AP20" s="69">
        <v>569.41533613204945</v>
      </c>
      <c r="AQ20" s="69">
        <v>2821.9373138427727</v>
      </c>
      <c r="AR20" s="69">
        <v>500.93548552195216</v>
      </c>
      <c r="AS20" s="69">
        <v>1011.9035156250002</v>
      </c>
    </row>
    <row r="21" spans="1:45" x14ac:dyDescent="0.25">
      <c r="A21" s="11">
        <v>43357</v>
      </c>
      <c r="B21" s="59"/>
      <c r="C21" s="60">
        <v>0</v>
      </c>
      <c r="D21" s="60">
        <v>0</v>
      </c>
      <c r="E21" s="50">
        <v>0</v>
      </c>
      <c r="F21" s="60">
        <v>0</v>
      </c>
      <c r="G21" s="60">
        <v>0</v>
      </c>
      <c r="H21" s="61">
        <v>0</v>
      </c>
      <c r="I21" s="59">
        <v>296.37698116302454</v>
      </c>
      <c r="J21" s="60">
        <v>636.71159261067794</v>
      </c>
      <c r="K21" s="60">
        <v>34.790329010287891</v>
      </c>
      <c r="L21" s="50">
        <v>0</v>
      </c>
      <c r="M21" s="5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607.8855076895851</v>
      </c>
      <c r="V21" s="62">
        <v>0</v>
      </c>
      <c r="W21" s="62">
        <v>97.086639976501317</v>
      </c>
      <c r="X21" s="62">
        <v>0</v>
      </c>
      <c r="Y21" s="66">
        <v>663.48462537129762</v>
      </c>
      <c r="Z21" s="66">
        <v>0</v>
      </c>
      <c r="AA21" s="67">
        <v>0</v>
      </c>
      <c r="AB21" s="68">
        <v>103.25844862725948</v>
      </c>
      <c r="AC21" s="69">
        <v>0</v>
      </c>
      <c r="AD21" s="412">
        <v>22.512773394110678</v>
      </c>
      <c r="AE21" s="412">
        <v>0</v>
      </c>
      <c r="AF21" s="69">
        <v>22.233201230234609</v>
      </c>
      <c r="AG21" s="68">
        <v>21.868935008994942</v>
      </c>
      <c r="AH21" s="68">
        <v>0</v>
      </c>
      <c r="AI21" s="68">
        <v>1</v>
      </c>
      <c r="AJ21" s="69">
        <v>229.14102172851563</v>
      </c>
      <c r="AK21" s="69">
        <v>428.77982444763177</v>
      </c>
      <c r="AL21" s="69">
        <v>1230.7475989023847</v>
      </c>
      <c r="AM21" s="69">
        <v>408.52189636230469</v>
      </c>
      <c r="AN21" s="69">
        <v>1195.0751953125</v>
      </c>
      <c r="AO21" s="69">
        <v>1857.2063231150312</v>
      </c>
      <c r="AP21" s="69">
        <v>561.80711868604021</v>
      </c>
      <c r="AQ21" s="69">
        <v>2821.5770538330075</v>
      </c>
      <c r="AR21" s="69">
        <v>485.68190412521358</v>
      </c>
      <c r="AS21" s="69">
        <v>999.76036599477118</v>
      </c>
    </row>
    <row r="22" spans="1:45" x14ac:dyDescent="0.25">
      <c r="A22" s="11">
        <v>43358</v>
      </c>
      <c r="B22" s="59"/>
      <c r="C22" s="60">
        <v>0</v>
      </c>
      <c r="D22" s="60">
        <v>0</v>
      </c>
      <c r="E22" s="50">
        <v>0</v>
      </c>
      <c r="F22" s="60">
        <v>0</v>
      </c>
      <c r="G22" s="60">
        <v>0</v>
      </c>
      <c r="H22" s="61">
        <v>0</v>
      </c>
      <c r="I22" s="59">
        <v>291.60119458834362</v>
      </c>
      <c r="J22" s="60">
        <v>636.84364681244074</v>
      </c>
      <c r="K22" s="60">
        <v>34.83349282344183</v>
      </c>
      <c r="L22" s="50">
        <v>0</v>
      </c>
      <c r="M22" s="5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611.07351807488351</v>
      </c>
      <c r="V22" s="62">
        <v>0</v>
      </c>
      <c r="W22" s="62">
        <v>96.424085950851335</v>
      </c>
      <c r="X22" s="62">
        <v>0</v>
      </c>
      <c r="Y22" s="66">
        <v>679.41419817606584</v>
      </c>
      <c r="Z22" s="66">
        <v>0</v>
      </c>
      <c r="AA22" s="67">
        <v>0</v>
      </c>
      <c r="AB22" s="68">
        <v>102.74190097914777</v>
      </c>
      <c r="AC22" s="69">
        <v>0</v>
      </c>
      <c r="AD22" s="412">
        <v>22.517959550932545</v>
      </c>
      <c r="AE22" s="412">
        <v>0</v>
      </c>
      <c r="AF22" s="69">
        <v>22.37937735451591</v>
      </c>
      <c r="AG22" s="68">
        <v>22.000254144140214</v>
      </c>
      <c r="AH22" s="68">
        <v>0</v>
      </c>
      <c r="AI22" s="68">
        <v>1</v>
      </c>
      <c r="AJ22" s="69">
        <v>228.68385448455811</v>
      </c>
      <c r="AK22" s="69">
        <v>427.82073793411257</v>
      </c>
      <c r="AL22" s="69">
        <v>1239.7249987284345</v>
      </c>
      <c r="AM22" s="69">
        <v>408.52189636230469</v>
      </c>
      <c r="AN22" s="69">
        <v>1195.0751953125</v>
      </c>
      <c r="AO22" s="69">
        <v>1802.3352307637533</v>
      </c>
      <c r="AP22" s="69">
        <v>540.33412876129148</v>
      </c>
      <c r="AQ22" s="69">
        <v>2844.2008898417148</v>
      </c>
      <c r="AR22" s="69">
        <v>470.16903390884391</v>
      </c>
      <c r="AS22" s="69">
        <v>988.45530074437477</v>
      </c>
    </row>
    <row r="23" spans="1:45" x14ac:dyDescent="0.25">
      <c r="A23" s="11">
        <v>43359</v>
      </c>
      <c r="B23" s="59"/>
      <c r="C23" s="60">
        <v>0</v>
      </c>
      <c r="D23" s="60">
        <v>0</v>
      </c>
      <c r="E23" s="50">
        <v>0</v>
      </c>
      <c r="F23" s="60">
        <v>0</v>
      </c>
      <c r="G23" s="60">
        <v>0</v>
      </c>
      <c r="H23" s="61">
        <v>0</v>
      </c>
      <c r="I23" s="59">
        <v>291.64614046414675</v>
      </c>
      <c r="J23" s="60">
        <v>636.87677742640426</v>
      </c>
      <c r="K23" s="60">
        <v>34.831127803524332</v>
      </c>
      <c r="L23" s="50">
        <v>0</v>
      </c>
      <c r="M23" s="5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611.24265090094207</v>
      </c>
      <c r="V23" s="62">
        <v>0</v>
      </c>
      <c r="W23" s="62">
        <v>92.706326889991914</v>
      </c>
      <c r="X23" s="62">
        <v>0</v>
      </c>
      <c r="Y23" s="66">
        <v>688.9421315511064</v>
      </c>
      <c r="Z23" s="66">
        <v>0</v>
      </c>
      <c r="AA23" s="67">
        <v>0</v>
      </c>
      <c r="AB23" s="68">
        <v>102.60508876376673</v>
      </c>
      <c r="AC23" s="69">
        <v>0</v>
      </c>
      <c r="AD23" s="412">
        <v>22.517074263600453</v>
      </c>
      <c r="AE23" s="412">
        <v>0</v>
      </c>
      <c r="AF23" s="69">
        <v>22.369957753022543</v>
      </c>
      <c r="AG23" s="68">
        <v>21.999335179847364</v>
      </c>
      <c r="AH23" s="68">
        <v>0</v>
      </c>
      <c r="AI23" s="68">
        <v>1</v>
      </c>
      <c r="AJ23" s="69">
        <v>218.348876953125</v>
      </c>
      <c r="AK23" s="69">
        <v>433.06319452921548</v>
      </c>
      <c r="AL23" s="69">
        <v>1258.1266321818034</v>
      </c>
      <c r="AM23" s="69">
        <v>408.52189636230469</v>
      </c>
      <c r="AN23" s="69">
        <v>1195.0751953125</v>
      </c>
      <c r="AO23" s="69">
        <v>1804.6083062489824</v>
      </c>
      <c r="AP23" s="69">
        <v>549.38561646143603</v>
      </c>
      <c r="AQ23" s="69">
        <v>2840.3332004547115</v>
      </c>
      <c r="AR23" s="69">
        <v>472.14547964731855</v>
      </c>
      <c r="AS23" s="69">
        <v>883.48144019444771</v>
      </c>
    </row>
    <row r="24" spans="1:45" x14ac:dyDescent="0.25">
      <c r="A24" s="11">
        <v>43360</v>
      </c>
      <c r="B24" s="59"/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1">
        <v>0</v>
      </c>
      <c r="I24" s="59">
        <v>290.82864505449942</v>
      </c>
      <c r="J24" s="60">
        <v>635.08066781362015</v>
      </c>
      <c r="K24" s="60">
        <v>31.733655004700012</v>
      </c>
      <c r="L24" s="50">
        <v>0</v>
      </c>
      <c r="M24" s="5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609.21562620798477</v>
      </c>
      <c r="V24" s="62">
        <v>0</v>
      </c>
      <c r="W24" s="62">
        <v>89.860637164115957</v>
      </c>
      <c r="X24" s="62">
        <v>0</v>
      </c>
      <c r="Y24" s="66">
        <v>672.56175110340143</v>
      </c>
      <c r="Z24" s="66">
        <v>0</v>
      </c>
      <c r="AA24" s="67">
        <v>0</v>
      </c>
      <c r="AB24" s="68">
        <v>102.53936428494004</v>
      </c>
      <c r="AC24" s="69">
        <v>0</v>
      </c>
      <c r="AD24" s="412">
        <v>22.454780908443293</v>
      </c>
      <c r="AE24" s="412">
        <v>0</v>
      </c>
      <c r="AF24" s="69">
        <v>21.858221515682015</v>
      </c>
      <c r="AG24" s="68">
        <v>21.545888925911058</v>
      </c>
      <c r="AH24" s="68">
        <v>0</v>
      </c>
      <c r="AI24" s="68">
        <v>1</v>
      </c>
      <c r="AJ24" s="69">
        <v>223.75992075602213</v>
      </c>
      <c r="AK24" s="69">
        <v>434.88886504173274</v>
      </c>
      <c r="AL24" s="69">
        <v>1264.5749101638796</v>
      </c>
      <c r="AM24" s="69">
        <v>408.52189636230469</v>
      </c>
      <c r="AN24" s="69">
        <v>1195.0751953125</v>
      </c>
      <c r="AO24" s="69">
        <v>1870.29230893453</v>
      </c>
      <c r="AP24" s="69">
        <v>552.14262048403407</v>
      </c>
      <c r="AQ24" s="69">
        <v>2854.5376675923676</v>
      </c>
      <c r="AR24" s="69">
        <v>478.1910430908203</v>
      </c>
      <c r="AS24" s="69">
        <v>906.28180929819757</v>
      </c>
    </row>
    <row r="25" spans="1:45" s="382" customFormat="1" ht="15" customHeight="1" x14ac:dyDescent="0.25">
      <c r="A25" s="11">
        <v>43361</v>
      </c>
      <c r="B25" s="376"/>
      <c r="C25" s="377">
        <v>0</v>
      </c>
      <c r="D25" s="377">
        <v>0</v>
      </c>
      <c r="E25" s="60">
        <v>0</v>
      </c>
      <c r="F25" s="377">
        <v>0</v>
      </c>
      <c r="G25" s="377">
        <v>0</v>
      </c>
      <c r="H25" s="378">
        <v>0</v>
      </c>
      <c r="I25" s="376">
        <v>290.17269684473683</v>
      </c>
      <c r="J25" s="377">
        <v>633.60229969024761</v>
      </c>
      <c r="K25" s="377">
        <v>30.30003109474978</v>
      </c>
      <c r="L25" s="379">
        <v>0</v>
      </c>
      <c r="M25" s="50">
        <v>0</v>
      </c>
      <c r="N25" s="378">
        <v>0</v>
      </c>
      <c r="O25" s="376">
        <v>0</v>
      </c>
      <c r="P25" s="377">
        <v>0</v>
      </c>
      <c r="Q25" s="377">
        <v>0</v>
      </c>
      <c r="R25" s="377">
        <v>0</v>
      </c>
      <c r="S25" s="377">
        <v>0</v>
      </c>
      <c r="T25" s="378">
        <v>0</v>
      </c>
      <c r="U25" s="376">
        <v>620.44646074506682</v>
      </c>
      <c r="V25" s="377">
        <v>0</v>
      </c>
      <c r="W25" s="377">
        <v>92.169485723972258</v>
      </c>
      <c r="X25" s="377">
        <v>0</v>
      </c>
      <c r="Y25" s="377">
        <v>675.0923026641218</v>
      </c>
      <c r="Z25" s="377">
        <v>0</v>
      </c>
      <c r="AA25" s="378">
        <v>0</v>
      </c>
      <c r="AB25" s="380">
        <v>102.64891981018856</v>
      </c>
      <c r="AC25" s="381">
        <v>0</v>
      </c>
      <c r="AD25" s="412">
        <v>22.400502687717417</v>
      </c>
      <c r="AE25" s="412">
        <v>0.9042934037878978</v>
      </c>
      <c r="AF25" s="381">
        <v>21.940559390518416</v>
      </c>
      <c r="AG25" s="381">
        <v>21.681838994225501</v>
      </c>
      <c r="AH25" s="381">
        <v>0</v>
      </c>
      <c r="AI25" s="381">
        <v>1</v>
      </c>
      <c r="AJ25" s="381">
        <v>210.956148036321</v>
      </c>
      <c r="AK25" s="381">
        <v>427.99958992004389</v>
      </c>
      <c r="AL25" s="381">
        <v>1264.3183293660481</v>
      </c>
      <c r="AM25" s="381">
        <v>408.52189636230469</v>
      </c>
      <c r="AN25" s="381">
        <v>1195.0751953125</v>
      </c>
      <c r="AO25" s="381">
        <v>1881.9163379669189</v>
      </c>
      <c r="AP25" s="381">
        <v>547.17521314620967</v>
      </c>
      <c r="AQ25" s="381">
        <v>2790.4517079353336</v>
      </c>
      <c r="AR25" s="381">
        <v>469.79590419133513</v>
      </c>
      <c r="AS25" s="381">
        <v>958.9295500437421</v>
      </c>
    </row>
    <row r="26" spans="1:45" x14ac:dyDescent="0.25">
      <c r="A26" s="11">
        <v>43362</v>
      </c>
      <c r="B26" s="59"/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1">
        <v>0</v>
      </c>
      <c r="I26" s="59">
        <v>289.46949046452829</v>
      </c>
      <c r="J26" s="60">
        <v>632.7760738690705</v>
      </c>
      <c r="K26" s="60">
        <v>32.785957104961057</v>
      </c>
      <c r="L26" s="50">
        <v>0</v>
      </c>
      <c r="M26" s="5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619.2473327636709</v>
      </c>
      <c r="V26" s="62">
        <v>0</v>
      </c>
      <c r="W26" s="62">
        <v>91.602093108495112</v>
      </c>
      <c r="X26" s="62">
        <v>0</v>
      </c>
      <c r="Y26" s="62">
        <v>676.40683073997491</v>
      </c>
      <c r="Z26" s="62">
        <v>0</v>
      </c>
      <c r="AA26" s="72">
        <v>0</v>
      </c>
      <c r="AB26" s="69">
        <v>101.91006849606973</v>
      </c>
      <c r="AC26" s="69">
        <v>0</v>
      </c>
      <c r="AD26" s="412">
        <v>22.375440537339117</v>
      </c>
      <c r="AE26" s="412">
        <v>0.84131743161449379</v>
      </c>
      <c r="AF26" s="69">
        <v>21.869528674085938</v>
      </c>
      <c r="AG26" s="69">
        <v>21.612019771917705</v>
      </c>
      <c r="AH26" s="69">
        <v>0</v>
      </c>
      <c r="AI26" s="69">
        <v>1</v>
      </c>
      <c r="AJ26" s="69">
        <v>209.24228668212891</v>
      </c>
      <c r="AK26" s="69">
        <v>426.37745871543888</v>
      </c>
      <c r="AL26" s="69">
        <v>1302.7673751831055</v>
      </c>
      <c r="AM26" s="69">
        <v>408.52189636230469</v>
      </c>
      <c r="AN26" s="69">
        <v>1195.0751953125</v>
      </c>
      <c r="AO26" s="69">
        <v>1872.2048150380451</v>
      </c>
      <c r="AP26" s="69">
        <v>583.27367874781294</v>
      </c>
      <c r="AQ26" s="69">
        <v>2727.9926541010541</v>
      </c>
      <c r="AR26" s="69">
        <v>464.00846322377521</v>
      </c>
      <c r="AS26" s="69">
        <v>930.18833983739228</v>
      </c>
    </row>
    <row r="27" spans="1:45" x14ac:dyDescent="0.25">
      <c r="A27" s="11">
        <v>43363</v>
      </c>
      <c r="B27" s="59"/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1">
        <v>0</v>
      </c>
      <c r="I27" s="59">
        <v>289.99783507982869</v>
      </c>
      <c r="J27" s="60">
        <v>632.83047914505084</v>
      </c>
      <c r="K27" s="60">
        <v>34.648103184501352</v>
      </c>
      <c r="L27" s="50">
        <v>0</v>
      </c>
      <c r="M27" s="5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621.75646116468158</v>
      </c>
      <c r="V27" s="62">
        <v>0</v>
      </c>
      <c r="W27" s="62">
        <v>92.663941287994462</v>
      </c>
      <c r="X27" s="62">
        <v>0</v>
      </c>
      <c r="Y27" s="66">
        <v>669.32293774286939</v>
      </c>
      <c r="Z27" s="66">
        <v>0</v>
      </c>
      <c r="AA27" s="67">
        <v>0</v>
      </c>
      <c r="AB27" s="68">
        <v>101.90115042262764</v>
      </c>
      <c r="AC27" s="69">
        <v>0</v>
      </c>
      <c r="AD27" s="412">
        <v>22.37567693992824</v>
      </c>
      <c r="AE27" s="412">
        <v>1.7216055507325867</v>
      </c>
      <c r="AF27" s="69">
        <v>22.208642152945181</v>
      </c>
      <c r="AG27" s="68">
        <v>21.99724002542089</v>
      </c>
      <c r="AH27" s="68">
        <v>0</v>
      </c>
      <c r="AI27" s="68">
        <v>1</v>
      </c>
      <c r="AJ27" s="69">
        <v>216.73039822578431</v>
      </c>
      <c r="AK27" s="69">
        <v>408.30427789688105</v>
      </c>
      <c r="AL27" s="69">
        <v>1137.2305075327556</v>
      </c>
      <c r="AM27" s="69">
        <v>408.52189636230469</v>
      </c>
      <c r="AN27" s="69">
        <v>1195.0751953125</v>
      </c>
      <c r="AO27" s="69">
        <v>1826.5710117340088</v>
      </c>
      <c r="AP27" s="69">
        <v>493.86383756001794</v>
      </c>
      <c r="AQ27" s="69">
        <v>2710.4419549306235</v>
      </c>
      <c r="AR27" s="69">
        <v>453.45281060536701</v>
      </c>
      <c r="AS27" s="69">
        <v>844.71808347702029</v>
      </c>
    </row>
    <row r="28" spans="1:45" x14ac:dyDescent="0.25">
      <c r="A28" s="11">
        <v>43364</v>
      </c>
      <c r="B28" s="59"/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1">
        <v>0</v>
      </c>
      <c r="I28" s="59">
        <v>299.31230953534481</v>
      </c>
      <c r="J28" s="60">
        <v>634.81377487182851</v>
      </c>
      <c r="K28" s="60">
        <v>34.767117883761728</v>
      </c>
      <c r="L28" s="50">
        <v>0</v>
      </c>
      <c r="M28" s="5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620.32975404527133</v>
      </c>
      <c r="V28" s="62">
        <v>0</v>
      </c>
      <c r="W28" s="62">
        <v>92.786624161402443</v>
      </c>
      <c r="X28" s="62">
        <v>0</v>
      </c>
      <c r="Y28" s="66">
        <v>679.7763641357426</v>
      </c>
      <c r="Z28" s="66">
        <v>0</v>
      </c>
      <c r="AA28" s="67">
        <v>0</v>
      </c>
      <c r="AB28" s="68">
        <v>102.16578724119479</v>
      </c>
      <c r="AC28" s="69">
        <v>0</v>
      </c>
      <c r="AD28" s="412">
        <v>22.374133977152976</v>
      </c>
      <c r="AE28" s="412">
        <v>4.2150433160693295</v>
      </c>
      <c r="AF28" s="69">
        <v>22.234384078449715</v>
      </c>
      <c r="AG28" s="68">
        <v>21.99654846132659</v>
      </c>
      <c r="AH28" s="68">
        <v>0</v>
      </c>
      <c r="AI28" s="68">
        <v>1</v>
      </c>
      <c r="AJ28" s="69">
        <v>217.18386840820313</v>
      </c>
      <c r="AK28" s="69">
        <v>389.76951799392697</v>
      </c>
      <c r="AL28" s="69">
        <v>1177.5109018961589</v>
      </c>
      <c r="AM28" s="69">
        <v>408.52189636230469</v>
      </c>
      <c r="AN28" s="69">
        <v>1195.0751953125</v>
      </c>
      <c r="AO28" s="69">
        <v>1805.2351324717204</v>
      </c>
      <c r="AP28" s="69">
        <v>448.09271546999616</v>
      </c>
      <c r="AQ28" s="69">
        <v>2725.3539287567132</v>
      </c>
      <c r="AR28" s="69">
        <v>439.02082351048773</v>
      </c>
      <c r="AS28" s="69">
        <v>724.43484090169272</v>
      </c>
    </row>
    <row r="29" spans="1:45" x14ac:dyDescent="0.25">
      <c r="A29" s="11">
        <v>43365</v>
      </c>
      <c r="B29" s="59"/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1">
        <v>0</v>
      </c>
      <c r="I29" s="59">
        <v>311.46866946220388</v>
      </c>
      <c r="J29" s="60">
        <v>632.82230345408277</v>
      </c>
      <c r="K29" s="60">
        <v>34.680483532945281</v>
      </c>
      <c r="L29" s="50">
        <v>0</v>
      </c>
      <c r="M29" s="5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619.87341147528309</v>
      </c>
      <c r="V29" s="62">
        <v>0</v>
      </c>
      <c r="W29" s="62">
        <v>92.455904833475685</v>
      </c>
      <c r="X29" s="62">
        <v>0</v>
      </c>
      <c r="Y29" s="66">
        <v>671.25576521555536</v>
      </c>
      <c r="Z29" s="66">
        <v>0</v>
      </c>
      <c r="AA29" s="67">
        <v>0</v>
      </c>
      <c r="AB29" s="68">
        <v>102.14655554559451</v>
      </c>
      <c r="AC29" s="69">
        <v>0</v>
      </c>
      <c r="AD29" s="412">
        <v>22.372457084896855</v>
      </c>
      <c r="AE29" s="412">
        <v>4.2081153663492952</v>
      </c>
      <c r="AF29" s="69">
        <v>22.229122847980925</v>
      </c>
      <c r="AG29" s="68">
        <v>21.99888469645461</v>
      </c>
      <c r="AH29" s="68">
        <v>0</v>
      </c>
      <c r="AI29" s="68">
        <v>1</v>
      </c>
      <c r="AJ29" s="69">
        <v>217.18386840820313</v>
      </c>
      <c r="AK29" s="69">
        <v>391.58986266454065</v>
      </c>
      <c r="AL29" s="69">
        <v>1234.0658116658528</v>
      </c>
      <c r="AM29" s="69">
        <v>408.52189636230469</v>
      </c>
      <c r="AN29" s="69">
        <v>1195.0751953125</v>
      </c>
      <c r="AO29" s="69">
        <v>1749.3839031219482</v>
      </c>
      <c r="AP29" s="69">
        <v>473.08464442888885</v>
      </c>
      <c r="AQ29" s="69">
        <v>2729.9496562957761</v>
      </c>
      <c r="AR29" s="69">
        <v>455.32352072397862</v>
      </c>
      <c r="AS29" s="69">
        <v>733.95598974227903</v>
      </c>
    </row>
    <row r="30" spans="1:45" x14ac:dyDescent="0.25">
      <c r="A30" s="11">
        <v>43366</v>
      </c>
      <c r="B30" s="59"/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1">
        <v>0</v>
      </c>
      <c r="I30" s="59">
        <v>311.80957202911401</v>
      </c>
      <c r="J30" s="60">
        <v>633.00692202250218</v>
      </c>
      <c r="K30" s="60">
        <v>34.695979049801821</v>
      </c>
      <c r="L30" s="50">
        <v>0</v>
      </c>
      <c r="M30" s="5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614.44537205165921</v>
      </c>
      <c r="V30" s="62">
        <v>0</v>
      </c>
      <c r="W30" s="62">
        <v>90.739115905761665</v>
      </c>
      <c r="X30" s="62">
        <v>0</v>
      </c>
      <c r="Y30" s="66">
        <v>681.73583707809439</v>
      </c>
      <c r="Z30" s="66">
        <v>0</v>
      </c>
      <c r="AA30" s="67">
        <v>0</v>
      </c>
      <c r="AB30" s="68">
        <v>102.60157579315988</v>
      </c>
      <c r="AC30" s="69">
        <v>0</v>
      </c>
      <c r="AD30" s="412">
        <v>22.380135995009425</v>
      </c>
      <c r="AE30" s="412">
        <v>4.1176228851875853</v>
      </c>
      <c r="AF30" s="69">
        <v>22.028682798809463</v>
      </c>
      <c r="AG30" s="68">
        <v>21.793311021451196</v>
      </c>
      <c r="AH30" s="68">
        <v>0</v>
      </c>
      <c r="AI30" s="68">
        <v>1</v>
      </c>
      <c r="AJ30" s="69">
        <v>217.18386840820313</v>
      </c>
      <c r="AK30" s="69">
        <v>408.19461522102358</v>
      </c>
      <c r="AL30" s="69">
        <v>1253.6186432520544</v>
      </c>
      <c r="AM30" s="69">
        <v>408.52189636230469</v>
      </c>
      <c r="AN30" s="69">
        <v>1195.0751953125</v>
      </c>
      <c r="AO30" s="69">
        <v>1862.8455688476561</v>
      </c>
      <c r="AP30" s="69">
        <v>509.7351428985595</v>
      </c>
      <c r="AQ30" s="69">
        <v>2730.2630711873367</v>
      </c>
      <c r="AR30" s="69">
        <v>462.94342800776155</v>
      </c>
      <c r="AS30" s="69">
        <v>842.25615838368719</v>
      </c>
    </row>
    <row r="31" spans="1:45" x14ac:dyDescent="0.25">
      <c r="A31" s="11">
        <v>43367</v>
      </c>
      <c r="B31" s="59"/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1">
        <v>0</v>
      </c>
      <c r="I31" s="59">
        <v>311.46152102152536</v>
      </c>
      <c r="J31" s="60">
        <v>632.6342574437474</v>
      </c>
      <c r="K31" s="60">
        <v>34.626775418718623</v>
      </c>
      <c r="L31" s="50">
        <v>0</v>
      </c>
      <c r="M31" s="5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607.05417940350856</v>
      </c>
      <c r="V31" s="62">
        <v>0</v>
      </c>
      <c r="W31" s="62">
        <v>89.270081170399791</v>
      </c>
      <c r="X31" s="62">
        <v>0</v>
      </c>
      <c r="Y31" s="66">
        <v>659.83476781845241</v>
      </c>
      <c r="Z31" s="66">
        <v>0</v>
      </c>
      <c r="AA31" s="67">
        <v>0</v>
      </c>
      <c r="AB31" s="68">
        <v>102.6035683631895</v>
      </c>
      <c r="AC31" s="69">
        <v>0</v>
      </c>
      <c r="AD31" s="412">
        <v>22.367362892577322</v>
      </c>
      <c r="AE31" s="412">
        <v>4.1080783233750653</v>
      </c>
      <c r="AF31" s="69">
        <v>21.77129096984865</v>
      </c>
      <c r="AG31" s="68">
        <v>21.533731881107428</v>
      </c>
      <c r="AH31" s="68">
        <v>0</v>
      </c>
      <c r="AI31" s="68">
        <v>1</v>
      </c>
      <c r="AJ31" s="69">
        <v>217.18386840820313</v>
      </c>
      <c r="AK31" s="69">
        <v>412.27512636184684</v>
      </c>
      <c r="AL31" s="69">
        <v>1149.2301756540935</v>
      </c>
      <c r="AM31" s="69">
        <v>408.52189636230469</v>
      </c>
      <c r="AN31" s="69">
        <v>1195.0751953125</v>
      </c>
      <c r="AO31" s="69">
        <v>1819.7472347259518</v>
      </c>
      <c r="AP31" s="69">
        <v>447.82953627904254</v>
      </c>
      <c r="AQ31" s="69">
        <v>2739.9041716257721</v>
      </c>
      <c r="AR31" s="69">
        <v>460.65037959416708</v>
      </c>
      <c r="AS31" s="69">
        <v>801.74745524724335</v>
      </c>
    </row>
    <row r="32" spans="1:45" x14ac:dyDescent="0.25">
      <c r="A32" s="11">
        <v>43368</v>
      </c>
      <c r="B32" s="59"/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1">
        <v>0</v>
      </c>
      <c r="I32" s="59">
        <v>311.43284095128382</v>
      </c>
      <c r="J32" s="60">
        <v>687.00806280771758</v>
      </c>
      <c r="K32" s="60">
        <v>37.5875118821859</v>
      </c>
      <c r="L32" s="50">
        <v>0</v>
      </c>
      <c r="M32" s="5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606.31190891265828</v>
      </c>
      <c r="V32" s="62">
        <v>0</v>
      </c>
      <c r="W32" s="62">
        <v>90.052222267786675</v>
      </c>
      <c r="X32" s="62">
        <v>0</v>
      </c>
      <c r="Y32" s="66">
        <v>649.18569785753868</v>
      </c>
      <c r="Z32" s="66">
        <v>0</v>
      </c>
      <c r="AA32" s="67">
        <v>0</v>
      </c>
      <c r="AB32" s="68">
        <v>102.03386101192837</v>
      </c>
      <c r="AC32" s="69">
        <v>0</v>
      </c>
      <c r="AD32" s="412">
        <v>22.373248035232624</v>
      </c>
      <c r="AE32" s="412">
        <v>3.9164794509064302</v>
      </c>
      <c r="AF32" s="69">
        <v>21.759004464414414</v>
      </c>
      <c r="AG32" s="68">
        <v>21.51463033742116</v>
      </c>
      <c r="AH32" s="68">
        <v>0</v>
      </c>
      <c r="AI32" s="68">
        <v>1</v>
      </c>
      <c r="AJ32" s="69">
        <v>217.18386840820313</v>
      </c>
      <c r="AK32" s="69">
        <v>380.63660244941713</v>
      </c>
      <c r="AL32" s="69">
        <v>1090.5524336496987</v>
      </c>
      <c r="AM32" s="69">
        <v>408.52189636230469</v>
      </c>
      <c r="AN32" s="69">
        <v>1195.0751953125</v>
      </c>
      <c r="AO32" s="69">
        <v>1804.1808544794715</v>
      </c>
      <c r="AP32" s="69">
        <v>389.9969754060109</v>
      </c>
      <c r="AQ32" s="69">
        <v>2762.372482808431</v>
      </c>
      <c r="AR32" s="69">
        <v>469.97934268315635</v>
      </c>
      <c r="AS32" s="69">
        <v>568.65486958821623</v>
      </c>
    </row>
    <row r="33" spans="1:45" x14ac:dyDescent="0.25">
      <c r="A33" s="11">
        <v>43369</v>
      </c>
      <c r="B33" s="59"/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1">
        <v>0</v>
      </c>
      <c r="I33" s="59">
        <v>315.54634284178417</v>
      </c>
      <c r="J33" s="60">
        <v>715.4524776458727</v>
      </c>
      <c r="K33" s="60">
        <v>39.210449453194883</v>
      </c>
      <c r="L33" s="50">
        <v>0</v>
      </c>
      <c r="M33" s="5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614.91183963351523</v>
      </c>
      <c r="V33" s="62">
        <v>0</v>
      </c>
      <c r="W33" s="62">
        <v>94.935138487815806</v>
      </c>
      <c r="X33" s="62">
        <v>0</v>
      </c>
      <c r="Y33" s="66">
        <v>642.96822977065995</v>
      </c>
      <c r="Z33" s="66">
        <v>0</v>
      </c>
      <c r="AA33" s="67">
        <v>0</v>
      </c>
      <c r="AB33" s="68">
        <v>102.81716790729139</v>
      </c>
      <c r="AC33" s="69">
        <v>0</v>
      </c>
      <c r="AD33" s="412">
        <v>22.486229961704108</v>
      </c>
      <c r="AE33" s="412">
        <v>3.8420726613636904</v>
      </c>
      <c r="AF33" s="69">
        <v>22.14885302517148</v>
      </c>
      <c r="AG33" s="68">
        <v>21.805725552712573</v>
      </c>
      <c r="AH33" s="68">
        <v>0</v>
      </c>
      <c r="AI33" s="68">
        <v>1</v>
      </c>
      <c r="AJ33" s="69">
        <v>217.18386840820313</v>
      </c>
      <c r="AK33" s="69">
        <v>379.0018100738526</v>
      </c>
      <c r="AL33" s="69">
        <v>1157.5447315216065</v>
      </c>
      <c r="AM33" s="69">
        <v>408.52189636230469</v>
      </c>
      <c r="AN33" s="69">
        <v>1195.0751953125</v>
      </c>
      <c r="AO33" s="69">
        <v>1814.3595033009847</v>
      </c>
      <c r="AP33" s="69">
        <v>377.70981465975439</v>
      </c>
      <c r="AQ33" s="69">
        <v>2758.2889776865645</v>
      </c>
      <c r="AR33" s="69">
        <v>507.81526584625243</v>
      </c>
      <c r="AS33" s="69">
        <v>675.58644666671751</v>
      </c>
    </row>
    <row r="34" spans="1:45" x14ac:dyDescent="0.25">
      <c r="A34" s="11">
        <v>43370</v>
      </c>
      <c r="B34" s="59"/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1">
        <v>0</v>
      </c>
      <c r="I34" s="59">
        <v>313.19397921562233</v>
      </c>
      <c r="J34" s="60">
        <v>716.17956933975017</v>
      </c>
      <c r="K34" s="60">
        <v>39.198826008041692</v>
      </c>
      <c r="L34" s="50">
        <v>0</v>
      </c>
      <c r="M34" s="5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616.42189159393149</v>
      </c>
      <c r="V34" s="62">
        <v>0</v>
      </c>
      <c r="W34" s="62">
        <v>95.42399195035307</v>
      </c>
      <c r="X34" s="62">
        <v>0</v>
      </c>
      <c r="Y34" s="66">
        <v>624.63089950879373</v>
      </c>
      <c r="Z34" s="66">
        <v>0</v>
      </c>
      <c r="AA34" s="67">
        <v>0</v>
      </c>
      <c r="AB34" s="68">
        <v>102.98273003896084</v>
      </c>
      <c r="AC34" s="69">
        <v>0</v>
      </c>
      <c r="AD34" s="412">
        <v>22.500978058794079</v>
      </c>
      <c r="AE34" s="412">
        <v>3.8236720871817624</v>
      </c>
      <c r="AF34" s="69">
        <v>22.254934255282087</v>
      </c>
      <c r="AG34" s="68">
        <v>21.876750889232344</v>
      </c>
      <c r="AH34" s="68">
        <v>0</v>
      </c>
      <c r="AI34" s="68">
        <v>1</v>
      </c>
      <c r="AJ34" s="69">
        <v>217.18386840820313</v>
      </c>
      <c r="AK34" s="69">
        <v>393.55522349675505</v>
      </c>
      <c r="AL34" s="69">
        <v>1229.9588193893433</v>
      </c>
      <c r="AM34" s="69">
        <v>450.5357887585958</v>
      </c>
      <c r="AN34" s="69">
        <v>1195.0751953125</v>
      </c>
      <c r="AO34" s="69">
        <v>1802.8090796152749</v>
      </c>
      <c r="AP34" s="69">
        <v>408.57240193684891</v>
      </c>
      <c r="AQ34" s="69">
        <v>2762.3728188832592</v>
      </c>
      <c r="AR34" s="69">
        <v>509.37211087544756</v>
      </c>
      <c r="AS34" s="69">
        <v>729.28031539917004</v>
      </c>
    </row>
    <row r="35" spans="1:45" x14ac:dyDescent="0.25">
      <c r="A35" s="11">
        <v>43371</v>
      </c>
      <c r="B35" s="59"/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1">
        <v>0</v>
      </c>
      <c r="I35" s="59">
        <v>313.04095174471558</v>
      </c>
      <c r="J35" s="60">
        <v>715.85553509394106</v>
      </c>
      <c r="K35" s="60">
        <v>39.243916052579884</v>
      </c>
      <c r="L35" s="50">
        <v>0</v>
      </c>
      <c r="M35" s="5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616.95711763170027</v>
      </c>
      <c r="V35" s="62">
        <v>0</v>
      </c>
      <c r="W35" s="62">
        <v>95.995879276593627</v>
      </c>
      <c r="X35" s="62">
        <v>0</v>
      </c>
      <c r="Y35" s="66">
        <v>584.87926130294841</v>
      </c>
      <c r="Z35" s="66">
        <v>0</v>
      </c>
      <c r="AA35" s="67">
        <v>0</v>
      </c>
      <c r="AB35" s="68">
        <v>102.58433358934157</v>
      </c>
      <c r="AC35" s="69">
        <v>0</v>
      </c>
      <c r="AD35" s="412">
        <v>22.490694720240008</v>
      </c>
      <c r="AE35" s="412">
        <v>3.7633489650028262</v>
      </c>
      <c r="AF35" s="69">
        <v>22.348857402801549</v>
      </c>
      <c r="AG35" s="68">
        <v>21.998795050318048</v>
      </c>
      <c r="AH35" s="68">
        <v>0</v>
      </c>
      <c r="AI35" s="68">
        <v>1</v>
      </c>
      <c r="AJ35" s="69">
        <v>205.71965684890748</v>
      </c>
      <c r="AK35" s="69">
        <v>370.55969640413923</v>
      </c>
      <c r="AL35" s="69">
        <v>1001.392442893982</v>
      </c>
      <c r="AM35" s="69">
        <v>530.25228881835938</v>
      </c>
      <c r="AN35" s="69">
        <v>1195.0751953125</v>
      </c>
      <c r="AO35" s="69">
        <v>1548.9354222615557</v>
      </c>
      <c r="AP35" s="69">
        <v>363.90154000918079</v>
      </c>
      <c r="AQ35" s="69">
        <v>2732.4215864817297</v>
      </c>
      <c r="AR35" s="69">
        <v>523.79091978073109</v>
      </c>
      <c r="AS35" s="69">
        <v>530.54351828893027</v>
      </c>
    </row>
    <row r="36" spans="1:45" x14ac:dyDescent="0.25">
      <c r="A36" s="11">
        <v>43372</v>
      </c>
      <c r="B36" s="59"/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1">
        <v>0</v>
      </c>
      <c r="I36" s="59">
        <v>288.14402491251582</v>
      </c>
      <c r="J36" s="60">
        <v>649.62158295313418</v>
      </c>
      <c r="K36" s="60">
        <v>35.622149832050027</v>
      </c>
      <c r="L36" s="60">
        <v>0</v>
      </c>
      <c r="M36" s="5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559.90940204196431</v>
      </c>
      <c r="V36" s="62">
        <v>0</v>
      </c>
      <c r="W36" s="62">
        <v>83.757687127590259</v>
      </c>
      <c r="X36" s="62">
        <v>0</v>
      </c>
      <c r="Y36" s="66">
        <v>459.51980823675848</v>
      </c>
      <c r="Z36" s="66">
        <v>0</v>
      </c>
      <c r="AA36" s="67">
        <v>0</v>
      </c>
      <c r="AB36" s="68">
        <v>93.168069399725795</v>
      </c>
      <c r="AC36" s="69">
        <v>0</v>
      </c>
      <c r="AD36" s="412">
        <v>20.40988837737213</v>
      </c>
      <c r="AE36" s="412">
        <v>3.7723870700523046</v>
      </c>
      <c r="AF36" s="69">
        <v>20.10632751186689</v>
      </c>
      <c r="AG36" s="68">
        <v>19.752280064133387</v>
      </c>
      <c r="AH36" s="68">
        <v>0</v>
      </c>
      <c r="AI36" s="68">
        <v>1</v>
      </c>
      <c r="AJ36" s="69">
        <v>205.78764661153158</v>
      </c>
      <c r="AK36" s="69">
        <v>380.79665160179138</v>
      </c>
      <c r="AL36" s="69">
        <v>987.38457158406584</v>
      </c>
      <c r="AM36" s="69">
        <v>530.25228881835938</v>
      </c>
      <c r="AN36" s="69">
        <v>1195.0751953125</v>
      </c>
      <c r="AO36" s="69">
        <v>1411.0635100046795</v>
      </c>
      <c r="AP36" s="69">
        <v>360.32575327555344</v>
      </c>
      <c r="AQ36" s="69">
        <v>2551.1459957122797</v>
      </c>
      <c r="AR36" s="69">
        <v>498.86573979059858</v>
      </c>
      <c r="AS36" s="69">
        <v>721.31268641153963</v>
      </c>
    </row>
    <row r="37" spans="1:45" x14ac:dyDescent="0.25">
      <c r="A37" s="11">
        <v>43373</v>
      </c>
      <c r="B37" s="65"/>
      <c r="C37" s="66">
        <v>0</v>
      </c>
      <c r="D37" s="66">
        <v>0</v>
      </c>
      <c r="E37" s="60">
        <v>0</v>
      </c>
      <c r="F37" s="66">
        <v>0</v>
      </c>
      <c r="G37" s="66">
        <v>0</v>
      </c>
      <c r="H37" s="67">
        <v>0</v>
      </c>
      <c r="I37" s="71">
        <v>83.762806812922136</v>
      </c>
      <c r="J37" s="66">
        <v>183.87881055275591</v>
      </c>
      <c r="K37" s="66">
        <v>10.079029583434256</v>
      </c>
      <c r="L37" s="66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93">
        <v>0</v>
      </c>
      <c r="S37" s="66">
        <v>0</v>
      </c>
      <c r="T37" s="395">
        <v>0</v>
      </c>
      <c r="U37" s="71">
        <v>178.86965413093463</v>
      </c>
      <c r="V37" s="66">
        <v>0</v>
      </c>
      <c r="W37" s="62">
        <v>23.075019633769976</v>
      </c>
      <c r="X37" s="62">
        <v>0</v>
      </c>
      <c r="Y37" s="66">
        <v>113.24879200458508</v>
      </c>
      <c r="Z37" s="66">
        <v>0</v>
      </c>
      <c r="AA37" s="67">
        <v>0</v>
      </c>
      <c r="AB37" s="68">
        <v>25.612075336774218</v>
      </c>
      <c r="AC37" s="394">
        <v>0</v>
      </c>
      <c r="AD37" s="412">
        <v>5.7285092065582379</v>
      </c>
      <c r="AE37" s="412">
        <v>3.8393531367157507</v>
      </c>
      <c r="AF37" s="394">
        <v>5.5105473064714028</v>
      </c>
      <c r="AG37" s="68">
        <v>5.3518838795379082</v>
      </c>
      <c r="AH37" s="68">
        <v>0</v>
      </c>
      <c r="AI37" s="68">
        <v>1</v>
      </c>
      <c r="AJ37" s="394">
        <v>202.61259172757468</v>
      </c>
      <c r="AK37" s="394">
        <v>354.39716347058618</v>
      </c>
      <c r="AL37" s="394">
        <v>1013.4023505528768</v>
      </c>
      <c r="AM37" s="394">
        <v>530.25228881835938</v>
      </c>
      <c r="AN37" s="394">
        <v>1195.0751953125</v>
      </c>
      <c r="AO37" s="394">
        <v>1400.3084100087485</v>
      </c>
      <c r="AP37" s="394">
        <v>347.91650624275201</v>
      </c>
      <c r="AQ37" s="394">
        <v>927.09128330548617</v>
      </c>
      <c r="AR37" s="394">
        <v>272.21520717144011</v>
      </c>
      <c r="AS37" s="394">
        <v>592.33487456639614</v>
      </c>
    </row>
    <row r="38" spans="1:45" ht="15.75" thickBot="1" x14ac:dyDescent="0.3">
      <c r="A38" s="11"/>
      <c r="B38" s="385"/>
      <c r="C38" s="387"/>
      <c r="D38" s="387"/>
      <c r="E38" s="60"/>
      <c r="F38" s="387"/>
      <c r="G38" s="387"/>
      <c r="H38" s="388"/>
      <c r="I38" s="389"/>
      <c r="J38" s="387"/>
      <c r="K38" s="387"/>
      <c r="L38" s="387"/>
      <c r="M38" s="50"/>
      <c r="N38" s="388"/>
      <c r="O38" s="389"/>
      <c r="P38" s="387"/>
      <c r="Q38" s="387"/>
      <c r="R38" s="390"/>
      <c r="S38" s="387"/>
      <c r="T38" s="391"/>
      <c r="U38" s="389"/>
      <c r="V38" s="387"/>
      <c r="W38" s="386"/>
      <c r="X38" s="386"/>
      <c r="Y38" s="387"/>
      <c r="Z38" s="387"/>
      <c r="AA38" s="388"/>
      <c r="AB38" s="392"/>
      <c r="AC38" s="85"/>
      <c r="AD38" s="412"/>
      <c r="AE38" s="412"/>
      <c r="AF38" s="85"/>
      <c r="AG38" s="392"/>
      <c r="AH38" s="392"/>
      <c r="AI38" s="392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9776.210955679413</v>
      </c>
      <c r="J39" s="30">
        <f t="shared" si="0"/>
        <v>18135.009067968549</v>
      </c>
      <c r="K39" s="30">
        <f t="shared" si="0"/>
        <v>983.37924131055627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17174.28802236445</v>
      </c>
      <c r="V39" s="262">
        <f t="shared" si="0"/>
        <v>0</v>
      </c>
      <c r="W39" s="262">
        <f t="shared" si="0"/>
        <v>2656.0691846013069</v>
      </c>
      <c r="X39" s="262">
        <f t="shared" si="0"/>
        <v>0</v>
      </c>
      <c r="Y39" s="262">
        <f t="shared" si="0"/>
        <v>17895.139132626853</v>
      </c>
      <c r="Z39" s="262">
        <f t="shared" si="0"/>
        <v>0</v>
      </c>
      <c r="AA39" s="270">
        <f t="shared" si="0"/>
        <v>0</v>
      </c>
      <c r="AB39" s="273">
        <f t="shared" si="0"/>
        <v>2864.0134338458315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SUM(AJ8:AJ37)</f>
        <v>6659.056373103459</v>
      </c>
      <c r="AK39" s="273">
        <f t="shared" si="1"/>
        <v>13238.916027975081</v>
      </c>
      <c r="AL39" s="273">
        <f t="shared" si="1"/>
        <v>35613.71469923656</v>
      </c>
      <c r="AM39" s="273">
        <f t="shared" si="1"/>
        <v>12662.861960633596</v>
      </c>
      <c r="AN39" s="273">
        <f t="shared" si="1"/>
        <v>35852.255859375</v>
      </c>
      <c r="AO39" s="273">
        <f t="shared" si="1"/>
        <v>53559.93015549978</v>
      </c>
      <c r="AP39" s="273">
        <f t="shared" si="1"/>
        <v>14256.836122004195</v>
      </c>
      <c r="AQ39" s="273">
        <f t="shared" si="1"/>
        <v>77850.834588352838</v>
      </c>
      <c r="AR39" s="273">
        <f t="shared" si="1"/>
        <v>13993.639114578566</v>
      </c>
      <c r="AS39" s="273">
        <f t="shared" si="1"/>
        <v>24440.002709992736</v>
      </c>
    </row>
    <row r="40" spans="1:45" ht="15.75" thickBot="1" x14ac:dyDescent="0.3">
      <c r="A40" s="47" t="s">
        <v>172</v>
      </c>
      <c r="B40" s="32">
        <f>Projection!$AC$30</f>
        <v>0.82128400199999985</v>
      </c>
      <c r="C40" s="33">
        <f>Projection!$AC$28</f>
        <v>1.2667292399999999</v>
      </c>
      <c r="D40" s="33">
        <f>Projection!$AC$31</f>
        <v>3.0824639999999999</v>
      </c>
      <c r="E40" s="33">
        <f>Projection!$AC$26</f>
        <v>3.9898560000000005</v>
      </c>
      <c r="F40" s="33">
        <f>Projection!$AC$23</f>
        <v>0</v>
      </c>
      <c r="G40" s="33">
        <f>Projection!$AC$24</f>
        <v>5.5265000000000002E-2</v>
      </c>
      <c r="H40" s="34">
        <f>Projection!$AC$29</f>
        <v>3.5497125</v>
      </c>
      <c r="I40" s="32">
        <f>Projection!$AC$30</f>
        <v>0.82128400199999985</v>
      </c>
      <c r="J40" s="33">
        <f>Projection!$AC$28</f>
        <v>1.2667292399999999</v>
      </c>
      <c r="K40" s="33">
        <f>Projection!$AC$26</f>
        <v>3.9898560000000005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Projection!$AC$28</f>
        <v>1.2667292399999999</v>
      </c>
      <c r="T40" s="266">
        <f>Projection!$AC$28</f>
        <v>1.2667292399999999</v>
      </c>
      <c r="U40" s="264">
        <f>Projection!$AC$27</f>
        <v>0.29460000000000003</v>
      </c>
      <c r="V40" s="265">
        <f>Projection!$AC$27</f>
        <v>0.29460000000000003</v>
      </c>
      <c r="W40" s="265">
        <f>Projection!$AC$22</f>
        <v>0.74349432000000004</v>
      </c>
      <c r="X40" s="265">
        <f>Projection!$AC$22</f>
        <v>0.74349432000000004</v>
      </c>
      <c r="Y40" s="265">
        <f>Projection!$AC$31</f>
        <v>3.0824639999999999</v>
      </c>
      <c r="Z40" s="265">
        <f>Projection!$AC$31</f>
        <v>3.0824639999999999</v>
      </c>
      <c r="AA40" s="271">
        <v>0</v>
      </c>
      <c r="AB40" s="274">
        <f>Projection!$AC$27</f>
        <v>0.29460000000000003</v>
      </c>
      <c r="AC40" s="274">
        <f>Projection!$AC$30</f>
        <v>0.82128400199999985</v>
      </c>
      <c r="AD40" s="404">
        <f>SUM(AD8:AD38)</f>
        <v>627.43833564068973</v>
      </c>
      <c r="AE40" s="404">
        <f>SUM(AE8:AE38)</f>
        <v>43.073389648339017</v>
      </c>
      <c r="AF40" s="277">
        <f>SUM(AF8:AF37)</f>
        <v>618.00087547467831</v>
      </c>
      <c r="AG40" s="277">
        <f>SUM(AG8:AG37)</f>
        <v>608.88985734522885</v>
      </c>
      <c r="AH40" s="277">
        <f>SUM(AH8:AH37)</f>
        <v>0</v>
      </c>
      <c r="AI40" s="277">
        <f>IF(SUM(AG40:AH40)&gt;0, AG40/(AG40+AH40),0)</f>
        <v>1</v>
      </c>
      <c r="AJ40" s="313">
        <v>7.1999999999999995E-2</v>
      </c>
      <c r="AK40" s="313">
        <f t="shared" ref="AK40:AS40" si="2">$AJ$40</f>
        <v>7.1999999999999995E-2</v>
      </c>
      <c r="AL40" s="313">
        <f t="shared" si="2"/>
        <v>7.1999999999999995E-2</v>
      </c>
      <c r="AM40" s="313">
        <f t="shared" si="2"/>
        <v>7.1999999999999995E-2</v>
      </c>
      <c r="AN40" s="313">
        <f t="shared" si="2"/>
        <v>7.1999999999999995E-2</v>
      </c>
      <c r="AO40" s="313">
        <f t="shared" si="2"/>
        <v>7.1999999999999995E-2</v>
      </c>
      <c r="AP40" s="313">
        <f t="shared" si="2"/>
        <v>7.1999999999999995E-2</v>
      </c>
      <c r="AQ40" s="313">
        <f t="shared" si="2"/>
        <v>7.1999999999999995E-2</v>
      </c>
      <c r="AR40" s="313">
        <f t="shared" si="2"/>
        <v>7.1999999999999995E-2</v>
      </c>
      <c r="AS40" s="313">
        <f t="shared" si="2"/>
        <v>7.1999999999999995E-2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>C40*C39</f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8029.0456580766313</v>
      </c>
      <c r="J41" s="36">
        <f t="shared" si="3"/>
        <v>22972.146254060906</v>
      </c>
      <c r="K41" s="36">
        <f t="shared" si="3"/>
        <v>3923.5415662183714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5059.5452513885675</v>
      </c>
      <c r="V41" s="268">
        <f t="shared" si="3"/>
        <v>0</v>
      </c>
      <c r="W41" s="268">
        <f t="shared" si="3"/>
        <v>1974.7723522781032</v>
      </c>
      <c r="X41" s="268">
        <f t="shared" si="3"/>
        <v>0</v>
      </c>
      <c r="Y41" s="268">
        <f t="shared" si="3"/>
        <v>55161.122151313495</v>
      </c>
      <c r="Z41" s="268">
        <f t="shared" si="3"/>
        <v>0</v>
      </c>
      <c r="AA41" s="272">
        <f t="shared" si="3"/>
        <v>0</v>
      </c>
      <c r="AB41" s="275">
        <f t="shared" si="3"/>
        <v>843.73835761098201</v>
      </c>
      <c r="AC41" s="275">
        <f t="shared" si="3"/>
        <v>0</v>
      </c>
      <c r="AJ41" s="278">
        <f>AJ40*AJ39</f>
        <v>479.452058863449</v>
      </c>
      <c r="AK41" s="278">
        <f>AK40*AK39</f>
        <v>953.20195401420574</v>
      </c>
      <c r="AL41" s="278">
        <f t="shared" ref="AL41:AS41" si="4">AL40*AL39</f>
        <v>2564.1874583450322</v>
      </c>
      <c r="AM41" s="278">
        <f t="shared" si="4"/>
        <v>911.72606116561883</v>
      </c>
      <c r="AN41" s="278">
        <f t="shared" si="4"/>
        <v>2581.3624218749997</v>
      </c>
      <c r="AO41" s="278">
        <f t="shared" si="4"/>
        <v>3856.3149711959841</v>
      </c>
      <c r="AP41" s="278">
        <f t="shared" si="4"/>
        <v>1026.492200784302</v>
      </c>
      <c r="AQ41" s="278">
        <f t="shared" si="4"/>
        <v>5605.2600903614039</v>
      </c>
      <c r="AR41" s="278">
        <f t="shared" si="4"/>
        <v>1007.5420162496566</v>
      </c>
      <c r="AS41" s="278">
        <f t="shared" si="4"/>
        <v>1759.6801951194768</v>
      </c>
    </row>
    <row r="42" spans="1:45" ht="49.5" customHeight="1" thickTop="1" thickBot="1" x14ac:dyDescent="0.3">
      <c r="A42" s="637">
        <f>AUGUST!$A$42+31</f>
        <v>43345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258.05</v>
      </c>
      <c r="AK42" s="278" t="s">
        <v>197</v>
      </c>
      <c r="AL42" s="278">
        <v>180.45</v>
      </c>
      <c r="AM42" s="278">
        <v>354.91</v>
      </c>
      <c r="AN42" s="278"/>
      <c r="AO42" s="278">
        <v>773.97</v>
      </c>
      <c r="AP42" s="278">
        <v>27.48</v>
      </c>
      <c r="AQ42" s="278" t="s">
        <v>197</v>
      </c>
      <c r="AR42" s="278">
        <v>431.86</v>
      </c>
      <c r="AS42" s="278">
        <v>42.24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61.5" customHeight="1" thickTop="1" thickBot="1" x14ac:dyDescent="0.3">
      <c r="A44" s="282" t="s">
        <v>135</v>
      </c>
      <c r="B44" s="283">
        <f>SUM(B41:AC41)</f>
        <v>97963.911590947057</v>
      </c>
      <c r="C44" s="12"/>
      <c r="D44" s="282" t="s">
        <v>135</v>
      </c>
      <c r="E44" s="283">
        <f>SUM(B41:H41)+P41+R41+T41+V41+X41+Z41</f>
        <v>0</v>
      </c>
      <c r="F44" s="12"/>
      <c r="G44" s="282" t="s">
        <v>135</v>
      </c>
      <c r="H44" s="283">
        <f>SUM(I41:N41)+O41+Q41+S41+U41+W41+Y41</f>
        <v>97120.173233336071</v>
      </c>
      <c r="I44" s="12"/>
      <c r="J44" s="282" t="s">
        <v>198</v>
      </c>
      <c r="K44" s="283">
        <v>141742.26999999999</v>
      </c>
      <c r="L44" s="12"/>
      <c r="M44" s="12"/>
      <c r="N44" s="12"/>
      <c r="O44" s="12"/>
      <c r="P44" s="12"/>
      <c r="Q44" s="12"/>
      <c r="R44" s="301" t="s">
        <v>135</v>
      </c>
      <c r="S44" s="302"/>
      <c r="T44" s="297" t="s">
        <v>167</v>
      </c>
      <c r="U44" s="255" t="s">
        <v>168</v>
      </c>
    </row>
    <row r="45" spans="1:45" ht="60" customHeight="1" thickBot="1" x14ac:dyDescent="0.4">
      <c r="A45" s="284" t="s">
        <v>183</v>
      </c>
      <c r="B45" s="285">
        <f>SUM(AJ41:AS41)</f>
        <v>20745.219427974127</v>
      </c>
      <c r="C45" s="374">
        <f>B45/B49</f>
        <v>33.568268672823478</v>
      </c>
      <c r="D45" s="284" t="s">
        <v>183</v>
      </c>
      <c r="E45" s="285">
        <f>AJ41*(1-$AI$40)+AK41+AL41*0.5+AN41+AO41*(1-$AI$40)+AP41*(1-$AI$40)+AQ41*(1-$AI$40)+AR41*0.5+AS41*0.5</f>
        <v>6200.269210746289</v>
      </c>
      <c r="F45" s="24"/>
      <c r="G45" s="284" t="s">
        <v>183</v>
      </c>
      <c r="H45" s="285">
        <f>AJ41*AI40+AL41*0.5+AM41+AO41*AI40+AP41*AI40+AQ41*AI40+AR41*0.5+AS41*0.5</f>
        <v>14544.950217227839</v>
      </c>
      <c r="I45" s="12"/>
      <c r="J45" s="12"/>
      <c r="K45" s="288"/>
      <c r="L45" s="12"/>
      <c r="M45" s="12"/>
      <c r="N45" s="12"/>
      <c r="O45" s="12"/>
      <c r="P45" s="12"/>
      <c r="Q45" s="12"/>
      <c r="R45" s="299" t="s">
        <v>141</v>
      </c>
      <c r="S45" s="300"/>
      <c r="T45" s="254">
        <f>$W$39+$X$39</f>
        <v>2656.0691846013069</v>
      </c>
      <c r="U45" s="256">
        <f>(T45*8.34*0.895)/27000</f>
        <v>0.73428508202294585</v>
      </c>
    </row>
    <row r="46" spans="1:45" ht="32.25" thickBot="1" x14ac:dyDescent="0.3">
      <c r="A46" s="286" t="s">
        <v>184</v>
      </c>
      <c r="B46" s="287">
        <f>SUM(AJ42:AS42)</f>
        <v>2068.96</v>
      </c>
      <c r="C46" s="12"/>
      <c r="D46" s="286" t="s">
        <v>184</v>
      </c>
      <c r="E46" s="287">
        <f>AJ42*(1-$AI$40)+AL42*0.5+AN42+AO42*(1-$AI$40)+AP42*(1-$AI$40)+AR42*0.5+AS42*0.5</f>
        <v>327.27499999999998</v>
      </c>
      <c r="F46" s="23"/>
      <c r="G46" s="286" t="s">
        <v>184</v>
      </c>
      <c r="H46" s="287">
        <f>AJ42*AI40+AL42*0.5+AM42+AO42*AI40+AP42*AI40+AR42*0.5+AS42*0.5</f>
        <v>1741.6849999999999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299" t="s">
        <v>145</v>
      </c>
      <c r="S46" s="300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141742.26999999999</v>
      </c>
      <c r="C47" s="12"/>
      <c r="D47" s="286" t="s">
        <v>187</v>
      </c>
      <c r="E47" s="287">
        <f>K44*0.5</f>
        <v>70871.134999999995</v>
      </c>
      <c r="F47" s="24"/>
      <c r="G47" s="286" t="s">
        <v>185</v>
      </c>
      <c r="H47" s="287">
        <f>K44*0.5</f>
        <v>70871.134999999995</v>
      </c>
      <c r="I47" s="12"/>
      <c r="J47" s="282" t="s">
        <v>198</v>
      </c>
      <c r="K47" s="283">
        <v>76435.360000000015</v>
      </c>
      <c r="L47" s="12"/>
      <c r="M47" s="12"/>
      <c r="N47" s="12"/>
      <c r="O47" s="12"/>
      <c r="P47" s="12"/>
      <c r="Q47" s="12"/>
      <c r="R47" s="299" t="s">
        <v>148</v>
      </c>
      <c r="S47" s="300"/>
      <c r="T47" s="254">
        <f>$G$39</f>
        <v>0</v>
      </c>
      <c r="U47" s="256">
        <f>T47/40000</f>
        <v>0</v>
      </c>
    </row>
    <row r="48" spans="1:45" ht="24" thickBot="1" x14ac:dyDescent="0.3">
      <c r="A48" s="286" t="s">
        <v>186</v>
      </c>
      <c r="B48" s="287">
        <f>K47</f>
        <v>76435.360000000015</v>
      </c>
      <c r="C48" s="12"/>
      <c r="D48" s="286" t="s">
        <v>186</v>
      </c>
      <c r="E48" s="287">
        <f>K47*0.5</f>
        <v>38217.680000000008</v>
      </c>
      <c r="F48" s="23"/>
      <c r="G48" s="286" t="s">
        <v>186</v>
      </c>
      <c r="H48" s="287">
        <f>K47*0.5</f>
        <v>38217.680000000008</v>
      </c>
      <c r="I48" s="12"/>
      <c r="J48" s="12"/>
      <c r="K48" s="86"/>
      <c r="L48" s="12"/>
      <c r="M48" s="12"/>
      <c r="N48" s="12"/>
      <c r="O48" s="12"/>
      <c r="P48" s="12"/>
      <c r="Q48" s="12"/>
      <c r="R48" s="299" t="s">
        <v>150</v>
      </c>
      <c r="S48" s="300"/>
      <c r="T48" s="254">
        <f>$L$39</f>
        <v>0</v>
      </c>
      <c r="U48" s="256">
        <f>T48*9.34*0.107</f>
        <v>0</v>
      </c>
    </row>
    <row r="49" spans="1:21" ht="46.5" customHeight="1" thickTop="1" thickBot="1" x14ac:dyDescent="0.3">
      <c r="A49" s="291" t="s">
        <v>194</v>
      </c>
      <c r="B49" s="292">
        <f>AF40</f>
        <v>618.00087547467831</v>
      </c>
      <c r="C49" s="374">
        <f>B44/B49</f>
        <v>158.51743173616424</v>
      </c>
      <c r="D49" s="291" t="s">
        <v>195</v>
      </c>
      <c r="E49" s="292">
        <f>AH40</f>
        <v>0</v>
      </c>
      <c r="F49" s="23"/>
      <c r="G49" s="291" t="s">
        <v>196</v>
      </c>
      <c r="H49" s="292">
        <f>AG40</f>
        <v>608.88985734522885</v>
      </c>
      <c r="I49" s="12"/>
      <c r="J49" s="12"/>
      <c r="K49" s="86"/>
      <c r="L49" s="12"/>
      <c r="M49" s="12"/>
      <c r="N49" s="12"/>
      <c r="O49" s="12"/>
      <c r="P49" s="12"/>
      <c r="Q49" s="12"/>
      <c r="R49" s="299" t="s">
        <v>152</v>
      </c>
      <c r="S49" s="300"/>
      <c r="T49" s="254">
        <f>$E$39+$K$39</f>
        <v>983.37924131055627</v>
      </c>
      <c r="U49" s="256">
        <f>(T49*8.34*1.04)/45000</f>
        <v>0.18954307083180533</v>
      </c>
    </row>
    <row r="50" spans="1:21" ht="47.25" customHeight="1" thickTop="1" thickBot="1" x14ac:dyDescent="0.3">
      <c r="A50" s="291" t="s">
        <v>223</v>
      </c>
      <c r="B50" s="292">
        <f>SUM(E50+H50)</f>
        <v>670.51172528902873</v>
      </c>
      <c r="C50" s="374"/>
      <c r="D50" s="291" t="s">
        <v>224</v>
      </c>
      <c r="E50" s="292">
        <f>AE40</f>
        <v>43.073389648339017</v>
      </c>
      <c r="F50" s="23"/>
      <c r="G50" s="291" t="s">
        <v>225</v>
      </c>
      <c r="H50" s="292">
        <f>AD40</f>
        <v>627.43833564068973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1" ht="48" customHeight="1" thickTop="1" thickBot="1" x14ac:dyDescent="0.3">
      <c r="A51" s="291" t="s">
        <v>190</v>
      </c>
      <c r="B51" s="293">
        <f>(SUM(B44:B48)/B50)</f>
        <v>505.51796222923917</v>
      </c>
      <c r="C51" s="12"/>
      <c r="D51" s="291" t="s">
        <v>188</v>
      </c>
      <c r="E51" s="294">
        <f>SUM(E44:E48)/E50</f>
        <v>2684.1713678599394</v>
      </c>
      <c r="F51" s="375" t="e">
        <f>E44/E49</f>
        <v>#DIV/0!</v>
      </c>
      <c r="G51" s="291" t="s">
        <v>189</v>
      </c>
      <c r="H51" s="294">
        <f>SUM(H44:H48)/H50</f>
        <v>354.60954616897806</v>
      </c>
      <c r="I51" s="374">
        <f>H44/H49</f>
        <v>159.503680446874</v>
      </c>
      <c r="J51" s="12"/>
      <c r="K51" s="86"/>
      <c r="L51" s="12"/>
      <c r="M51" s="12"/>
      <c r="N51" s="12"/>
      <c r="O51" s="12"/>
      <c r="P51" s="12"/>
      <c r="Q51" s="12"/>
      <c r="R51" s="299" t="s">
        <v>153</v>
      </c>
      <c r="S51" s="300"/>
      <c r="T51" s="254">
        <f>$U$39+$V$39+$AB$39</f>
        <v>20038.30145621028</v>
      </c>
      <c r="U51" s="256">
        <f>T51/2000/8</f>
        <v>1.2523938410131426</v>
      </c>
    </row>
    <row r="52" spans="1:21" ht="48" customHeight="1" thickTop="1" thickBot="1" x14ac:dyDescent="0.3">
      <c r="A52" s="281" t="s">
        <v>191</v>
      </c>
      <c r="B52" s="294">
        <f>B51/1000</f>
        <v>0.50551796222923917</v>
      </c>
      <c r="C52" s="12"/>
      <c r="D52" s="281" t="s">
        <v>192</v>
      </c>
      <c r="E52" s="294">
        <f>E51/1000</f>
        <v>2.6841713678599395</v>
      </c>
      <c r="F52" s="12"/>
      <c r="G52" s="281" t="s">
        <v>193</v>
      </c>
      <c r="H52" s="294">
        <f>H51/1000</f>
        <v>0.35460954616897805</v>
      </c>
      <c r="I52" s="12"/>
      <c r="J52" s="12"/>
      <c r="K52" s="86"/>
      <c r="L52" s="12"/>
      <c r="M52" s="12"/>
      <c r="N52" s="12"/>
      <c r="O52" s="12"/>
      <c r="P52" s="12"/>
      <c r="Q52" s="12"/>
      <c r="R52" s="299" t="s">
        <v>154</v>
      </c>
      <c r="S52" s="300"/>
      <c r="T52" s="254">
        <f>$C$39+$J$39+$S$39+$T$39</f>
        <v>18135.009067968549</v>
      </c>
      <c r="U52" s="256">
        <f>(T52*8.34*1.4)/45000</f>
        <v>4.705430352835573</v>
      </c>
    </row>
    <row r="53" spans="1:21" ht="48" customHeight="1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9" t="s">
        <v>155</v>
      </c>
      <c r="S53" s="300"/>
      <c r="T53" s="254">
        <f>$H$39</f>
        <v>0</v>
      </c>
      <c r="U53" s="256">
        <f>(T53*8.34*1.135)/45000</f>
        <v>0</v>
      </c>
    </row>
    <row r="54" spans="1:21" ht="47.25" customHeight="1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9" t="s">
        <v>156</v>
      </c>
      <c r="S54" s="300"/>
      <c r="T54" s="254">
        <f>$B$39+$I$39+$AC$39</f>
        <v>9776.210955679413</v>
      </c>
      <c r="U54" s="256">
        <f>(T54*8.34*1.029*0.03)/3300</f>
        <v>0.76270976138279012</v>
      </c>
    </row>
    <row r="55" spans="1:21" ht="78.75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17895.139132626853</v>
      </c>
      <c r="U55" s="259">
        <f>(T55*1.54*8.34)/45000</f>
        <v>5.1075113103068048</v>
      </c>
    </row>
    <row r="56" spans="1:21" ht="71.25" customHeight="1" thickTop="1" x14ac:dyDescent="0.25">
      <c r="A56" s="304"/>
      <c r="B56" s="304"/>
      <c r="C56" s="304"/>
      <c r="D56" s="304"/>
      <c r="E56" s="30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94.5" customHeight="1" x14ac:dyDescent="0.25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46.5" customHeight="1" x14ac:dyDescent="0.25">
      <c r="A58" s="646"/>
      <c r="B58" s="647"/>
      <c r="C58" s="647"/>
      <c r="D58" s="647"/>
      <c r="E58" s="64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8.75" x14ac:dyDescent="0.25">
      <c r="A59" s="646"/>
      <c r="B59" s="647"/>
      <c r="C59" s="647"/>
      <c r="D59" s="647"/>
      <c r="E59" s="64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ht="15" customHeight="1" x14ac:dyDescent="0.25">
      <c r="A60" s="279"/>
      <c r="B60" s="28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x14ac:dyDescent="0.25">
      <c r="A61" s="280"/>
      <c r="B61" s="28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 ht="15" customHeight="1" x14ac:dyDescent="0.25">
      <c r="A62" s="279"/>
      <c r="B62" s="28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21" x14ac:dyDescent="0.25">
      <c r="A63" s="280"/>
      <c r="B63" s="280"/>
      <c r="C63" s="12"/>
      <c r="D63" s="12"/>
      <c r="E63" s="12"/>
      <c r="F63" s="12"/>
      <c r="G63" s="12"/>
      <c r="H63" s="12"/>
      <c r="I63" s="12"/>
      <c r="J63" s="12"/>
      <c r="K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5" spans="1:25" x14ac:dyDescent="0.25">
      <c r="A65" s="12"/>
      <c r="B65" s="12"/>
      <c r="C65" s="12"/>
      <c r="D65" s="12"/>
      <c r="E65" s="12"/>
      <c r="F65" s="12"/>
      <c r="G65" s="12"/>
    </row>
    <row r="66" spans="1:25" x14ac:dyDescent="0.25">
      <c r="A66" s="12"/>
      <c r="B66" s="12"/>
      <c r="C66" s="12"/>
      <c r="D66" s="12"/>
      <c r="E66" s="12"/>
      <c r="F66" s="12"/>
      <c r="G66" s="12"/>
    </row>
    <row r="68" spans="1:25" x14ac:dyDescent="0.25">
      <c r="A68" s="45"/>
      <c r="B68" s="45"/>
      <c r="C68" s="45"/>
      <c r="D68" s="45"/>
      <c r="E68" s="45"/>
      <c r="F68" s="45"/>
      <c r="G68" s="45"/>
      <c r="H68" s="45"/>
    </row>
    <row r="69" spans="1:25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x14ac:dyDescent="0.25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93" customHeight="1" x14ac:dyDescent="0.25">
      <c r="A71" s="12"/>
      <c r="B71" s="12"/>
      <c r="S71" s="12"/>
      <c r="T71" s="12"/>
      <c r="U71" s="12"/>
      <c r="V71" s="12"/>
      <c r="W71" s="12"/>
      <c r="X71" s="12"/>
      <c r="Y71" s="12"/>
    </row>
    <row r="72" spans="1:25" ht="75" customHeight="1" x14ac:dyDescent="0.25">
      <c r="A72" s="12"/>
      <c r="B72" s="12"/>
    </row>
    <row r="73" spans="1:25" ht="51.75" customHeight="1" x14ac:dyDescent="0.25">
      <c r="A73" s="12"/>
      <c r="B73" s="12"/>
    </row>
    <row r="74" spans="1:25" x14ac:dyDescent="0.25">
      <c r="A74" s="12"/>
      <c r="B74" s="12"/>
      <c r="C74" s="12"/>
      <c r="D74" s="12"/>
    </row>
    <row r="75" spans="1:25" x14ac:dyDescent="0.25">
      <c r="A75" s="12"/>
      <c r="B75" s="12"/>
      <c r="C75" s="12"/>
      <c r="D75" s="12"/>
      <c r="E75" s="12"/>
    </row>
    <row r="76" spans="1:25" x14ac:dyDescent="0.25">
      <c r="A76" s="12"/>
      <c r="B76" s="12"/>
      <c r="C76" s="12"/>
      <c r="D76" s="12"/>
      <c r="E76" s="12"/>
    </row>
  </sheetData>
  <sheetProtection algorithmName="SHA-512" hashValue="hY5DlHEB/kNCMauI3yWb0Rjpg/UOLyElHuxFnow/6BQBRLjq/ajolIwqpr/5IKJCHEU7Vb7EN7SkaGEvZbRRTg==" saltValue="iPAk17OR5uScXVo7XI7Fug==" spinCount="100000" sheet="1" objects="1" scenarios="1" selectLockedCells="1" selectUnlockedCells="1"/>
  <mergeCells count="34">
    <mergeCell ref="R55:S55"/>
    <mergeCell ref="A55:E55"/>
    <mergeCell ref="A58:E58"/>
    <mergeCell ref="A59:E59"/>
    <mergeCell ref="J46:K46"/>
    <mergeCell ref="A54:E54"/>
    <mergeCell ref="B4:H5"/>
    <mergeCell ref="I4:N5"/>
    <mergeCell ref="J43:K43"/>
    <mergeCell ref="A42:K42"/>
    <mergeCell ref="AF4:AF5"/>
    <mergeCell ref="R43:U43"/>
    <mergeCell ref="A43:B43"/>
    <mergeCell ref="D43:E43"/>
    <mergeCell ref="G43:H43"/>
    <mergeCell ref="AG4:AG5"/>
    <mergeCell ref="AH4:AH5"/>
    <mergeCell ref="AI4:AI5"/>
    <mergeCell ref="O4:T5"/>
    <mergeCell ref="U4:AA5"/>
    <mergeCell ref="AB4:AB5"/>
    <mergeCell ref="AC4:AC5"/>
    <mergeCell ref="AD4:AD5"/>
    <mergeCell ref="AE4:AE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</mergeCells>
  <printOptions horizontalCentered="1"/>
  <pageMargins left="0.33" right="0.19" top="0.75" bottom="0.75" header="0.3" footer="0.3"/>
  <pageSetup paperSize="17" scale="67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C67"/>
  <sheetViews>
    <sheetView zoomScale="75" zoomScaleNormal="75" workbookViewId="0">
      <selection activeCell="AD42" sqref="AD42"/>
    </sheetView>
  </sheetViews>
  <sheetFormatPr defaultRowHeight="15" x14ac:dyDescent="0.25"/>
  <cols>
    <col min="1" max="1" width="38.710937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6" width="20.42578125" customWidth="1"/>
    <col min="47" max="47" width="20.285156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60" t="s">
        <v>206</v>
      </c>
    </row>
    <row r="4" spans="1:55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</row>
    <row r="5" spans="1:55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419" t="s">
        <v>28</v>
      </c>
      <c r="AE7" s="419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>
        <v>43374</v>
      </c>
      <c r="B8" s="59"/>
      <c r="C8" s="60">
        <v>0</v>
      </c>
      <c r="D8" s="60">
        <v>0</v>
      </c>
      <c r="E8" s="50">
        <v>0</v>
      </c>
      <c r="F8" s="60">
        <v>0</v>
      </c>
      <c r="G8" s="60">
        <v>0</v>
      </c>
      <c r="H8" s="61">
        <v>0</v>
      </c>
      <c r="I8" s="59">
        <v>0</v>
      </c>
      <c r="J8" s="60">
        <v>0</v>
      </c>
      <c r="K8" s="60">
        <v>0</v>
      </c>
      <c r="L8" s="50">
        <v>0</v>
      </c>
      <c r="M8" s="50">
        <v>0</v>
      </c>
      <c r="N8" s="61">
        <v>0</v>
      </c>
      <c r="O8" s="59">
        <v>0</v>
      </c>
      <c r="P8" s="60">
        <v>0</v>
      </c>
      <c r="Q8" s="62">
        <v>0</v>
      </c>
      <c r="R8" s="63">
        <v>0</v>
      </c>
      <c r="S8" s="60">
        <v>0</v>
      </c>
      <c r="T8" s="64">
        <v>0</v>
      </c>
      <c r="U8" s="65">
        <v>0</v>
      </c>
      <c r="V8" s="62">
        <v>0</v>
      </c>
      <c r="W8" s="62">
        <v>0</v>
      </c>
      <c r="X8" s="62">
        <v>0</v>
      </c>
      <c r="Y8" s="66">
        <v>0</v>
      </c>
      <c r="Z8" s="66">
        <v>0</v>
      </c>
      <c r="AA8" s="67">
        <v>0</v>
      </c>
      <c r="AB8" s="68">
        <v>0</v>
      </c>
      <c r="AC8" s="69">
        <v>0</v>
      </c>
      <c r="AD8" s="427">
        <v>0</v>
      </c>
      <c r="AE8" s="412">
        <v>0</v>
      </c>
      <c r="AF8" s="69">
        <v>0</v>
      </c>
      <c r="AG8" s="68">
        <v>0</v>
      </c>
      <c r="AH8" s="68">
        <v>0</v>
      </c>
      <c r="AI8" s="68">
        <v>0</v>
      </c>
      <c r="AJ8" s="69">
        <v>196.66324869791669</v>
      </c>
      <c r="AK8" s="69">
        <v>353.61070728302002</v>
      </c>
      <c r="AL8" s="69">
        <v>981.85112559000663</v>
      </c>
      <c r="AM8" s="69">
        <v>483.31727027893066</v>
      </c>
      <c r="AN8" s="69">
        <v>1195.0751953125</v>
      </c>
      <c r="AO8" s="69">
        <v>1796.8117509206133</v>
      </c>
      <c r="AP8" s="69">
        <v>393.76999289194737</v>
      </c>
      <c r="AQ8" s="69">
        <v>234.17415947914122</v>
      </c>
      <c r="AR8" s="69">
        <v>128.91020849148433</v>
      </c>
      <c r="AS8" s="69">
        <v>725.93413674036651</v>
      </c>
    </row>
    <row r="9" spans="1:55" x14ac:dyDescent="0.25">
      <c r="A9" s="11">
        <v>43375</v>
      </c>
      <c r="B9" s="59"/>
      <c r="C9" s="60">
        <v>0</v>
      </c>
      <c r="D9" s="60">
        <v>0</v>
      </c>
      <c r="E9" s="50">
        <v>0</v>
      </c>
      <c r="F9" s="60">
        <v>0</v>
      </c>
      <c r="G9" s="60">
        <v>0</v>
      </c>
      <c r="H9" s="61">
        <v>0</v>
      </c>
      <c r="I9" s="59">
        <v>0</v>
      </c>
      <c r="J9" s="60">
        <v>0</v>
      </c>
      <c r="K9" s="60">
        <v>0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0">
        <v>0</v>
      </c>
      <c r="R9" s="63">
        <v>0</v>
      </c>
      <c r="S9" s="60">
        <v>0</v>
      </c>
      <c r="T9" s="64">
        <v>0</v>
      </c>
      <c r="U9" s="65">
        <v>0</v>
      </c>
      <c r="V9" s="62">
        <v>0</v>
      </c>
      <c r="W9" s="62">
        <v>0</v>
      </c>
      <c r="X9" s="62">
        <v>0</v>
      </c>
      <c r="Y9" s="66">
        <v>0</v>
      </c>
      <c r="Z9" s="66">
        <v>0</v>
      </c>
      <c r="AA9" s="67">
        <v>0</v>
      </c>
      <c r="AB9" s="68">
        <v>0</v>
      </c>
      <c r="AC9" s="69">
        <v>0</v>
      </c>
      <c r="AD9" s="412">
        <v>0</v>
      </c>
      <c r="AE9" s="412">
        <v>0</v>
      </c>
      <c r="AF9" s="69">
        <v>0</v>
      </c>
      <c r="AG9" s="68">
        <v>0</v>
      </c>
      <c r="AH9" s="68">
        <v>0</v>
      </c>
      <c r="AI9" s="68">
        <v>0</v>
      </c>
      <c r="AJ9" s="69">
        <v>194.72016906738281</v>
      </c>
      <c r="AK9" s="69">
        <v>381.84085872968035</v>
      </c>
      <c r="AL9" s="69">
        <v>980.49823780059808</v>
      </c>
      <c r="AM9" s="69">
        <v>424.98126044273374</v>
      </c>
      <c r="AN9" s="69">
        <v>1385.7187169392905</v>
      </c>
      <c r="AO9" s="69">
        <v>1750.2649998982749</v>
      </c>
      <c r="AP9" s="69">
        <v>464.85691506067911</v>
      </c>
      <c r="AQ9" s="69">
        <v>241.52493664423625</v>
      </c>
      <c r="AR9" s="69">
        <v>88.303055620193476</v>
      </c>
      <c r="AS9" s="69">
        <v>877.99637838999433</v>
      </c>
    </row>
    <row r="10" spans="1:55" x14ac:dyDescent="0.25">
      <c r="A10" s="11">
        <v>43376</v>
      </c>
      <c r="B10" s="59"/>
      <c r="C10" s="60">
        <v>0</v>
      </c>
      <c r="D10" s="60">
        <v>0</v>
      </c>
      <c r="E10" s="50">
        <v>0</v>
      </c>
      <c r="F10" s="60">
        <v>0</v>
      </c>
      <c r="G10" s="60">
        <v>0</v>
      </c>
      <c r="H10" s="61">
        <v>0</v>
      </c>
      <c r="I10" s="59">
        <v>0</v>
      </c>
      <c r="J10" s="60">
        <v>0</v>
      </c>
      <c r="K10" s="60">
        <v>0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0</v>
      </c>
      <c r="V10" s="62">
        <v>0</v>
      </c>
      <c r="W10" s="62">
        <v>0</v>
      </c>
      <c r="X10" s="62">
        <v>0</v>
      </c>
      <c r="Y10" s="66">
        <v>0</v>
      </c>
      <c r="Z10" s="66">
        <v>0</v>
      </c>
      <c r="AA10" s="67">
        <v>0</v>
      </c>
      <c r="AB10" s="68">
        <v>7.124999364217123E-2</v>
      </c>
      <c r="AC10" s="69">
        <v>0</v>
      </c>
      <c r="AD10" s="412">
        <v>0</v>
      </c>
      <c r="AE10" s="412">
        <v>0</v>
      </c>
      <c r="AF10" s="69">
        <v>0</v>
      </c>
      <c r="AG10" s="68">
        <v>0</v>
      </c>
      <c r="AH10" s="68">
        <v>0</v>
      </c>
      <c r="AI10" s="68">
        <v>0</v>
      </c>
      <c r="AJ10" s="69">
        <v>194.72016906738281</v>
      </c>
      <c r="AK10" s="69">
        <v>402.38351672490444</v>
      </c>
      <c r="AL10" s="69">
        <v>1167.8769950230917</v>
      </c>
      <c r="AM10" s="69">
        <v>288.65691177050269</v>
      </c>
      <c r="AN10" s="69">
        <v>1544.6861572265625</v>
      </c>
      <c r="AO10" s="69">
        <v>1723.2201814015709</v>
      </c>
      <c r="AP10" s="69">
        <v>546.80252291361489</v>
      </c>
      <c r="AQ10" s="69">
        <v>253.5557087103526</v>
      </c>
      <c r="AR10" s="69">
        <v>96.822903335094438</v>
      </c>
      <c r="AS10" s="69">
        <v>869.33568232854213</v>
      </c>
    </row>
    <row r="11" spans="1:55" x14ac:dyDescent="0.25">
      <c r="A11" s="11">
        <v>43377</v>
      </c>
      <c r="B11" s="59"/>
      <c r="C11" s="60">
        <v>0</v>
      </c>
      <c r="D11" s="60">
        <v>0</v>
      </c>
      <c r="E11" s="50">
        <v>0</v>
      </c>
      <c r="F11" s="60">
        <v>0</v>
      </c>
      <c r="G11" s="60">
        <v>0</v>
      </c>
      <c r="H11" s="61">
        <v>0</v>
      </c>
      <c r="I11" s="59">
        <v>0</v>
      </c>
      <c r="J11" s="60">
        <v>0</v>
      </c>
      <c r="K11" s="60">
        <v>0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0</v>
      </c>
      <c r="V11" s="62">
        <v>0</v>
      </c>
      <c r="W11" s="62">
        <v>0</v>
      </c>
      <c r="X11" s="62">
        <v>0</v>
      </c>
      <c r="Y11" s="66">
        <v>0</v>
      </c>
      <c r="Z11" s="66">
        <v>0</v>
      </c>
      <c r="AA11" s="67">
        <v>0</v>
      </c>
      <c r="AB11" s="68">
        <v>7.3071548541386928</v>
      </c>
      <c r="AC11" s="69">
        <v>0</v>
      </c>
      <c r="AD11" s="412">
        <v>0</v>
      </c>
      <c r="AE11" s="412">
        <v>0</v>
      </c>
      <c r="AF11" s="69">
        <v>0</v>
      </c>
      <c r="AG11" s="68">
        <v>0</v>
      </c>
      <c r="AH11" s="68">
        <v>0</v>
      </c>
      <c r="AI11" s="68">
        <v>0</v>
      </c>
      <c r="AJ11" s="69">
        <v>200.68108835220337</v>
      </c>
      <c r="AK11" s="69">
        <v>365.1874717394511</v>
      </c>
      <c r="AL11" s="69">
        <v>1051.7193747202555</v>
      </c>
      <c r="AM11" s="69">
        <v>157.16028800010682</v>
      </c>
      <c r="AN11" s="69">
        <v>1516.4035750071207</v>
      </c>
      <c r="AO11" s="69">
        <v>1732.4836973190309</v>
      </c>
      <c r="AP11" s="69">
        <v>475.8839243412018</v>
      </c>
      <c r="AQ11" s="69">
        <v>236.00224939187368</v>
      </c>
      <c r="AR11" s="69">
        <v>85.262988030910492</v>
      </c>
      <c r="AS11" s="69">
        <v>685.50175294876078</v>
      </c>
    </row>
    <row r="12" spans="1:55" x14ac:dyDescent="0.25">
      <c r="A12" s="11">
        <v>43378</v>
      </c>
      <c r="B12" s="59"/>
      <c r="C12" s="60">
        <v>0</v>
      </c>
      <c r="D12" s="60">
        <v>0</v>
      </c>
      <c r="E12" s="50">
        <v>0</v>
      </c>
      <c r="F12" s="60">
        <v>0</v>
      </c>
      <c r="G12" s="60">
        <v>0</v>
      </c>
      <c r="H12" s="61">
        <v>0</v>
      </c>
      <c r="I12" s="59">
        <v>0</v>
      </c>
      <c r="J12" s="60">
        <v>0</v>
      </c>
      <c r="K12" s="60">
        <v>0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0</v>
      </c>
      <c r="V12" s="62">
        <v>0</v>
      </c>
      <c r="W12" s="62">
        <v>0</v>
      </c>
      <c r="X12" s="62">
        <v>0</v>
      </c>
      <c r="Y12" s="66">
        <v>0</v>
      </c>
      <c r="Z12" s="66">
        <v>0</v>
      </c>
      <c r="AA12" s="67">
        <v>0</v>
      </c>
      <c r="AB12" s="68">
        <v>0</v>
      </c>
      <c r="AC12" s="69">
        <v>0</v>
      </c>
      <c r="AD12" s="412">
        <v>0</v>
      </c>
      <c r="AE12" s="412">
        <v>0</v>
      </c>
      <c r="AF12" s="69">
        <v>0</v>
      </c>
      <c r="AG12" s="68">
        <v>5.8817659220123299E-3</v>
      </c>
      <c r="AH12" s="68">
        <v>0</v>
      </c>
      <c r="AI12" s="68">
        <v>1</v>
      </c>
      <c r="AJ12" s="69">
        <v>208.9552001953125</v>
      </c>
      <c r="AK12" s="69">
        <v>358.07967437108363</v>
      </c>
      <c r="AL12" s="69">
        <v>854.13497912089019</v>
      </c>
      <c r="AM12" s="69">
        <v>153.16811661720277</v>
      </c>
      <c r="AN12" s="69">
        <v>1492.135669708252</v>
      </c>
      <c r="AO12" s="69">
        <v>1826.6730230967205</v>
      </c>
      <c r="AP12" s="69">
        <v>444.93009564081819</v>
      </c>
      <c r="AQ12" s="69">
        <v>240.2035303592682</v>
      </c>
      <c r="AR12" s="69">
        <v>85.241575102011367</v>
      </c>
      <c r="AS12" s="69">
        <v>703.65138533910124</v>
      </c>
    </row>
    <row r="13" spans="1:55" x14ac:dyDescent="0.25">
      <c r="A13" s="11">
        <v>43379</v>
      </c>
      <c r="B13" s="59"/>
      <c r="C13" s="60">
        <v>0</v>
      </c>
      <c r="D13" s="60">
        <v>0</v>
      </c>
      <c r="E13" s="50">
        <v>0</v>
      </c>
      <c r="F13" s="60">
        <v>0</v>
      </c>
      <c r="G13" s="60">
        <v>0</v>
      </c>
      <c r="H13" s="61">
        <v>0</v>
      </c>
      <c r="I13" s="59">
        <v>0</v>
      </c>
      <c r="J13" s="60">
        <v>0</v>
      </c>
      <c r="K13" s="60">
        <v>0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0</v>
      </c>
      <c r="V13" s="62">
        <v>0</v>
      </c>
      <c r="W13" s="62">
        <v>0</v>
      </c>
      <c r="X13" s="62">
        <v>0</v>
      </c>
      <c r="Y13" s="66">
        <v>0</v>
      </c>
      <c r="Z13" s="66">
        <v>0</v>
      </c>
      <c r="AA13" s="67">
        <v>0</v>
      </c>
      <c r="AB13" s="68">
        <v>0</v>
      </c>
      <c r="AC13" s="69">
        <v>0</v>
      </c>
      <c r="AD13" s="412">
        <v>0</v>
      </c>
      <c r="AE13" s="412">
        <v>0</v>
      </c>
      <c r="AF13" s="69">
        <v>0</v>
      </c>
      <c r="AG13" s="68">
        <v>0</v>
      </c>
      <c r="AH13" s="68">
        <v>0</v>
      </c>
      <c r="AI13" s="68">
        <v>0</v>
      </c>
      <c r="AJ13" s="69">
        <v>208.9552001953125</v>
      </c>
      <c r="AK13" s="69">
        <v>353.76042653719588</v>
      </c>
      <c r="AL13" s="69">
        <v>789.66452662150073</v>
      </c>
      <c r="AM13" s="69">
        <v>150.58616638183594</v>
      </c>
      <c r="AN13" s="69">
        <v>1488.6683349609375</v>
      </c>
      <c r="AO13" s="69">
        <v>1524.7935425440471</v>
      </c>
      <c r="AP13" s="69">
        <v>393.43596785863235</v>
      </c>
      <c r="AQ13" s="69">
        <v>231.33579051494601</v>
      </c>
      <c r="AR13" s="69">
        <v>85.144111959139508</v>
      </c>
      <c r="AS13" s="69">
        <v>543.1220821062725</v>
      </c>
    </row>
    <row r="14" spans="1:55" x14ac:dyDescent="0.25">
      <c r="A14" s="11">
        <v>43380</v>
      </c>
      <c r="B14" s="59"/>
      <c r="C14" s="60">
        <v>0</v>
      </c>
      <c r="D14" s="60">
        <v>0</v>
      </c>
      <c r="E14" s="50">
        <v>0</v>
      </c>
      <c r="F14" s="60">
        <v>0</v>
      </c>
      <c r="G14" s="60">
        <v>0</v>
      </c>
      <c r="H14" s="61">
        <v>0</v>
      </c>
      <c r="I14" s="59">
        <v>0</v>
      </c>
      <c r="J14" s="60">
        <v>0</v>
      </c>
      <c r="K14" s="60">
        <v>0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0</v>
      </c>
      <c r="V14" s="62">
        <v>0</v>
      </c>
      <c r="W14" s="62">
        <v>0</v>
      </c>
      <c r="X14" s="62">
        <v>0</v>
      </c>
      <c r="Y14" s="66">
        <v>0</v>
      </c>
      <c r="Z14" s="66">
        <v>0</v>
      </c>
      <c r="AA14" s="67">
        <v>0</v>
      </c>
      <c r="AB14" s="68">
        <v>0</v>
      </c>
      <c r="AC14" s="69">
        <v>0</v>
      </c>
      <c r="AD14" s="412">
        <v>0</v>
      </c>
      <c r="AE14" s="412">
        <v>0</v>
      </c>
      <c r="AF14" s="69">
        <v>0</v>
      </c>
      <c r="AG14" s="68">
        <v>0</v>
      </c>
      <c r="AH14" s="68">
        <v>0</v>
      </c>
      <c r="AI14" s="68">
        <v>0</v>
      </c>
      <c r="AJ14" s="69">
        <v>208.9552001953125</v>
      </c>
      <c r="AK14" s="69">
        <v>346.68757944107057</v>
      </c>
      <c r="AL14" s="69">
        <v>743.7652938842773</v>
      </c>
      <c r="AM14" s="69">
        <v>150.58616638183594</v>
      </c>
      <c r="AN14" s="69">
        <v>1488.6683349609375</v>
      </c>
      <c r="AO14" s="69">
        <v>1826.7461020787557</v>
      </c>
      <c r="AP14" s="69">
        <v>380.33464401563009</v>
      </c>
      <c r="AQ14" s="69">
        <v>218.75360669294997</v>
      </c>
      <c r="AR14" s="69">
        <v>85.73730008999506</v>
      </c>
      <c r="AS14" s="69">
        <v>539.76892735163369</v>
      </c>
    </row>
    <row r="15" spans="1:55" x14ac:dyDescent="0.25">
      <c r="A15" s="11">
        <v>43381</v>
      </c>
      <c r="B15" s="59"/>
      <c r="C15" s="60">
        <v>0</v>
      </c>
      <c r="D15" s="60">
        <v>0</v>
      </c>
      <c r="E15" s="50">
        <v>0</v>
      </c>
      <c r="F15" s="60">
        <v>0</v>
      </c>
      <c r="G15" s="60">
        <v>0</v>
      </c>
      <c r="H15" s="61">
        <v>0</v>
      </c>
      <c r="I15" s="59">
        <v>0.20294844309488932</v>
      </c>
      <c r="J15" s="60">
        <v>0.4394476572672526</v>
      </c>
      <c r="K15" s="60">
        <v>2.1365902821222943E-2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0</v>
      </c>
      <c r="V15" s="62">
        <v>0</v>
      </c>
      <c r="W15" s="62">
        <v>0</v>
      </c>
      <c r="X15" s="62">
        <v>0</v>
      </c>
      <c r="Y15" s="66">
        <v>0</v>
      </c>
      <c r="Z15" s="66">
        <v>0.26930805842081706</v>
      </c>
      <c r="AA15" s="67">
        <v>0</v>
      </c>
      <c r="AB15" s="68">
        <v>0</v>
      </c>
      <c r="AC15" s="69">
        <v>0</v>
      </c>
      <c r="AD15" s="412">
        <v>0</v>
      </c>
      <c r="AE15" s="412">
        <v>0</v>
      </c>
      <c r="AF15" s="69">
        <v>0</v>
      </c>
      <c r="AG15" s="68">
        <v>0</v>
      </c>
      <c r="AH15" s="68">
        <v>0</v>
      </c>
      <c r="AI15" s="68">
        <v>0</v>
      </c>
      <c r="AJ15" s="69">
        <v>214.32846398353576</v>
      </c>
      <c r="AK15" s="69">
        <v>348.46710403760278</v>
      </c>
      <c r="AL15" s="69">
        <v>801.17723801930754</v>
      </c>
      <c r="AM15" s="69">
        <v>150.58616638183594</v>
      </c>
      <c r="AN15" s="69">
        <v>1488.6683349609375</v>
      </c>
      <c r="AO15" s="69">
        <v>1669.1150468190513</v>
      </c>
      <c r="AP15" s="69">
        <v>422.46002915700274</v>
      </c>
      <c r="AQ15" s="69">
        <v>212.7824984550476</v>
      </c>
      <c r="AR15" s="69">
        <v>79.442281798521677</v>
      </c>
      <c r="AS15" s="69">
        <v>600.48515005111699</v>
      </c>
    </row>
    <row r="16" spans="1:55" x14ac:dyDescent="0.25">
      <c r="A16" s="11">
        <v>43382</v>
      </c>
      <c r="B16" s="49"/>
      <c r="C16" s="50">
        <v>0</v>
      </c>
      <c r="D16" s="50">
        <v>0</v>
      </c>
      <c r="E16" s="50">
        <v>0</v>
      </c>
      <c r="F16" s="50">
        <v>0</v>
      </c>
      <c r="G16" s="60">
        <v>0</v>
      </c>
      <c r="H16" s="51">
        <v>0</v>
      </c>
      <c r="I16" s="49">
        <v>0</v>
      </c>
      <c r="J16" s="50">
        <v>0</v>
      </c>
      <c r="K16" s="50">
        <v>0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0</v>
      </c>
      <c r="V16" s="62">
        <v>0</v>
      </c>
      <c r="W16" s="62">
        <v>0</v>
      </c>
      <c r="X16" s="62">
        <v>0</v>
      </c>
      <c r="Y16" s="66">
        <v>0</v>
      </c>
      <c r="Z16" s="66">
        <v>0</v>
      </c>
      <c r="AA16" s="67">
        <v>0</v>
      </c>
      <c r="AB16" s="68">
        <v>0</v>
      </c>
      <c r="AC16" s="69">
        <v>0</v>
      </c>
      <c r="AD16" s="412">
        <v>0</v>
      </c>
      <c r="AE16" s="412">
        <v>0</v>
      </c>
      <c r="AF16" s="69">
        <v>0</v>
      </c>
      <c r="AG16" s="68">
        <v>0</v>
      </c>
      <c r="AH16" s="68">
        <v>0</v>
      </c>
      <c r="AI16" s="68">
        <v>0</v>
      </c>
      <c r="AJ16" s="69">
        <v>231.24494120279948</v>
      </c>
      <c r="AK16" s="69">
        <v>372.84156475067141</v>
      </c>
      <c r="AL16" s="69">
        <v>921.48953851064039</v>
      </c>
      <c r="AM16" s="69">
        <v>155.29826380411782</v>
      </c>
      <c r="AN16" s="69">
        <v>1373.1409479777017</v>
      </c>
      <c r="AO16" s="69">
        <v>1871.1688826243083</v>
      </c>
      <c r="AP16" s="69">
        <v>490.80920853614799</v>
      </c>
      <c r="AQ16" s="69">
        <v>263.2308818658193</v>
      </c>
      <c r="AR16" s="69">
        <v>137.32961412270868</v>
      </c>
      <c r="AS16" s="69">
        <v>630.03992904027302</v>
      </c>
    </row>
    <row r="17" spans="1:45" x14ac:dyDescent="0.25">
      <c r="A17" s="11">
        <v>43383</v>
      </c>
      <c r="B17" s="59"/>
      <c r="C17" s="60">
        <v>0</v>
      </c>
      <c r="D17" s="60">
        <v>0</v>
      </c>
      <c r="E17" s="50">
        <v>0</v>
      </c>
      <c r="F17" s="60">
        <v>0</v>
      </c>
      <c r="G17" s="60">
        <v>0</v>
      </c>
      <c r="H17" s="61">
        <v>0</v>
      </c>
      <c r="I17" s="59">
        <v>0</v>
      </c>
      <c r="J17" s="60">
        <v>0</v>
      </c>
      <c r="K17" s="60">
        <v>0</v>
      </c>
      <c r="L17" s="5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0</v>
      </c>
      <c r="V17" s="62">
        <v>0</v>
      </c>
      <c r="W17" s="62">
        <v>0</v>
      </c>
      <c r="X17" s="62">
        <v>0</v>
      </c>
      <c r="Y17" s="66">
        <v>0</v>
      </c>
      <c r="Z17" s="66">
        <v>0</v>
      </c>
      <c r="AA17" s="67">
        <v>0</v>
      </c>
      <c r="AB17" s="68">
        <v>0</v>
      </c>
      <c r="AC17" s="69">
        <v>0</v>
      </c>
      <c r="AD17" s="412">
        <v>0</v>
      </c>
      <c r="AE17" s="412">
        <v>0</v>
      </c>
      <c r="AF17" s="69">
        <v>0</v>
      </c>
      <c r="AG17" s="68">
        <v>0</v>
      </c>
      <c r="AH17" s="68">
        <v>0</v>
      </c>
      <c r="AI17" s="68">
        <v>0</v>
      </c>
      <c r="AJ17" s="69">
        <v>231.62988027731581</v>
      </c>
      <c r="AK17" s="69">
        <v>367.79260058403014</v>
      </c>
      <c r="AL17" s="69">
        <v>915.35244738260906</v>
      </c>
      <c r="AM17" s="69">
        <v>139.36278533935547</v>
      </c>
      <c r="AN17" s="69">
        <v>1182.1745755513509</v>
      </c>
      <c r="AO17" s="69">
        <v>1911.4070728301999</v>
      </c>
      <c r="AP17" s="69">
        <v>558.95504080454509</v>
      </c>
      <c r="AQ17" s="69">
        <v>349.14472152392068</v>
      </c>
      <c r="AR17" s="69">
        <v>156.81777497529981</v>
      </c>
      <c r="AS17" s="69">
        <v>625.50074965159104</v>
      </c>
    </row>
    <row r="18" spans="1:45" x14ac:dyDescent="0.25">
      <c r="A18" s="11">
        <v>43384</v>
      </c>
      <c r="B18" s="59"/>
      <c r="C18" s="60">
        <v>0</v>
      </c>
      <c r="D18" s="60">
        <v>0</v>
      </c>
      <c r="E18" s="5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0</v>
      </c>
      <c r="K18" s="60">
        <v>0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0</v>
      </c>
      <c r="AC18" s="69">
        <v>0</v>
      </c>
      <c r="AD18" s="412">
        <v>0</v>
      </c>
      <c r="AE18" s="412">
        <v>0</v>
      </c>
      <c r="AF18" s="69">
        <v>0</v>
      </c>
      <c r="AG18" s="68">
        <v>0</v>
      </c>
      <c r="AH18" s="68">
        <v>0</v>
      </c>
      <c r="AI18" s="68">
        <v>0</v>
      </c>
      <c r="AJ18" s="69">
        <v>219.6563549439112</v>
      </c>
      <c r="AK18" s="69">
        <v>372.49152377446489</v>
      </c>
      <c r="AL18" s="69">
        <v>926.98868153889975</v>
      </c>
      <c r="AM18" s="69">
        <v>139.36278533935547</v>
      </c>
      <c r="AN18" s="69">
        <v>1072.820068359375</v>
      </c>
      <c r="AO18" s="69">
        <v>1855.9908806482954</v>
      </c>
      <c r="AP18" s="69">
        <v>662.42185521125793</v>
      </c>
      <c r="AQ18" s="69">
        <v>353.12861952781668</v>
      </c>
      <c r="AR18" s="69">
        <v>128.73631982405979</v>
      </c>
      <c r="AS18" s="69">
        <v>622.23596286773693</v>
      </c>
    </row>
    <row r="19" spans="1:45" x14ac:dyDescent="0.25">
      <c r="A19" s="11">
        <v>43385</v>
      </c>
      <c r="B19" s="59"/>
      <c r="C19" s="60">
        <v>0</v>
      </c>
      <c r="D19" s="60">
        <v>0</v>
      </c>
      <c r="E19" s="5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2.5487524671687019</v>
      </c>
      <c r="AC19" s="69">
        <v>0</v>
      </c>
      <c r="AD19" s="412">
        <v>0</v>
      </c>
      <c r="AE19" s="412">
        <v>0</v>
      </c>
      <c r="AF19" s="69">
        <v>0</v>
      </c>
      <c r="AG19" s="68">
        <v>0</v>
      </c>
      <c r="AH19" s="68">
        <v>0</v>
      </c>
      <c r="AI19" s="68">
        <v>0</v>
      </c>
      <c r="AJ19" s="69">
        <v>206.47028236389158</v>
      </c>
      <c r="AK19" s="69">
        <v>373.44668649037681</v>
      </c>
      <c r="AL19" s="69">
        <v>941.27817878723135</v>
      </c>
      <c r="AM19" s="69">
        <v>139.36278533935547</v>
      </c>
      <c r="AN19" s="69">
        <v>1072.820068359375</v>
      </c>
      <c r="AO19" s="69">
        <v>1790.04575398763</v>
      </c>
      <c r="AP19" s="69">
        <v>723.75603013038642</v>
      </c>
      <c r="AQ19" s="69">
        <v>329.20982946554818</v>
      </c>
      <c r="AR19" s="69">
        <v>106.77825875679652</v>
      </c>
      <c r="AS19" s="69">
        <v>633.71121136347426</v>
      </c>
    </row>
    <row r="20" spans="1:45" x14ac:dyDescent="0.25">
      <c r="A20" s="11">
        <v>43386</v>
      </c>
      <c r="B20" s="59"/>
      <c r="C20" s="60">
        <v>0</v>
      </c>
      <c r="D20" s="60">
        <v>0</v>
      </c>
      <c r="E20" s="5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0</v>
      </c>
      <c r="AC20" s="69">
        <v>0</v>
      </c>
      <c r="AD20" s="412">
        <v>0</v>
      </c>
      <c r="AE20" s="412">
        <v>0</v>
      </c>
      <c r="AF20" s="69">
        <v>0</v>
      </c>
      <c r="AG20" s="68">
        <v>0</v>
      </c>
      <c r="AH20" s="68">
        <v>0</v>
      </c>
      <c r="AI20" s="68">
        <v>0</v>
      </c>
      <c r="AJ20" s="69">
        <v>196.31303685506185</v>
      </c>
      <c r="AK20" s="69">
        <v>358.73339861234035</v>
      </c>
      <c r="AL20" s="69">
        <v>894.83194084167485</v>
      </c>
      <c r="AM20" s="69">
        <v>139.36278533935547</v>
      </c>
      <c r="AN20" s="69">
        <v>1072.820068359375</v>
      </c>
      <c r="AO20" s="69">
        <v>1745.725910949707</v>
      </c>
      <c r="AP20" s="69">
        <v>433.42857782045996</v>
      </c>
      <c r="AQ20" s="69">
        <v>278.28983472983043</v>
      </c>
      <c r="AR20" s="69">
        <v>98.077030142148345</v>
      </c>
      <c r="AS20" s="69">
        <v>560.1173075358073</v>
      </c>
    </row>
    <row r="21" spans="1:45" x14ac:dyDescent="0.25">
      <c r="A21" s="11">
        <v>43387</v>
      </c>
      <c r="B21" s="59"/>
      <c r="C21" s="60">
        <v>0</v>
      </c>
      <c r="D21" s="60">
        <v>0</v>
      </c>
      <c r="E21" s="5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0</v>
      </c>
      <c r="AC21" s="69">
        <v>0</v>
      </c>
      <c r="AD21" s="412">
        <v>0</v>
      </c>
      <c r="AE21" s="412">
        <v>0</v>
      </c>
      <c r="AF21" s="69">
        <v>0</v>
      </c>
      <c r="AG21" s="68">
        <v>0</v>
      </c>
      <c r="AH21" s="68">
        <v>0</v>
      </c>
      <c r="AI21" s="68">
        <v>0</v>
      </c>
      <c r="AJ21" s="69">
        <v>222.90849721431732</v>
      </c>
      <c r="AK21" s="69">
        <v>388.97012723286946</v>
      </c>
      <c r="AL21" s="69">
        <v>846.82571983337402</v>
      </c>
      <c r="AM21" s="69">
        <v>139.36278533935547</v>
      </c>
      <c r="AN21" s="69">
        <v>1072.820068359375</v>
      </c>
      <c r="AO21" s="69">
        <v>1925.5721984863285</v>
      </c>
      <c r="AP21" s="69">
        <v>494.36597714424141</v>
      </c>
      <c r="AQ21" s="69">
        <v>391.0157114982606</v>
      </c>
      <c r="AR21" s="69">
        <v>164.82269997994106</v>
      </c>
      <c r="AS21" s="69">
        <v>584.6842571258544</v>
      </c>
    </row>
    <row r="22" spans="1:45" x14ac:dyDescent="0.25">
      <c r="A22" s="11">
        <v>43388</v>
      </c>
      <c r="B22" s="59"/>
      <c r="C22" s="60">
        <v>0</v>
      </c>
      <c r="D22" s="60">
        <v>0</v>
      </c>
      <c r="E22" s="50">
        <v>0</v>
      </c>
      <c r="F22" s="60">
        <v>0</v>
      </c>
      <c r="G22" s="60">
        <v>0</v>
      </c>
      <c r="H22" s="61">
        <v>0</v>
      </c>
      <c r="I22" s="59">
        <v>124.39887017409006</v>
      </c>
      <c r="J22" s="60">
        <v>306.53030235370051</v>
      </c>
      <c r="K22" s="60">
        <v>16.378349714477849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31.320436652501265</v>
      </c>
      <c r="AC22" s="69">
        <v>0</v>
      </c>
      <c r="AD22" s="412">
        <v>7.507812854306013</v>
      </c>
      <c r="AE22" s="412">
        <v>0</v>
      </c>
      <c r="AF22" s="69">
        <v>0</v>
      </c>
      <c r="AG22" s="68">
        <v>0</v>
      </c>
      <c r="AH22" s="68">
        <v>0</v>
      </c>
      <c r="AI22" s="68">
        <v>0</v>
      </c>
      <c r="AJ22" s="69">
        <v>234.56632298628492</v>
      </c>
      <c r="AK22" s="69">
        <v>405.60775602658589</v>
      </c>
      <c r="AL22" s="69">
        <v>883.16290308634439</v>
      </c>
      <c r="AM22" s="69">
        <v>161.20576257705687</v>
      </c>
      <c r="AN22" s="69">
        <v>1072.820068359375</v>
      </c>
      <c r="AO22" s="69">
        <v>1928.8573986053468</v>
      </c>
      <c r="AP22" s="69">
        <v>505.92809960047396</v>
      </c>
      <c r="AQ22" s="69">
        <v>309.08429490725194</v>
      </c>
      <c r="AR22" s="69">
        <v>310.43006608088808</v>
      </c>
      <c r="AS22" s="69">
        <v>612.12022848129288</v>
      </c>
    </row>
    <row r="23" spans="1:45" x14ac:dyDescent="0.25">
      <c r="A23" s="11">
        <v>43389</v>
      </c>
      <c r="B23" s="59"/>
      <c r="C23" s="60">
        <v>0</v>
      </c>
      <c r="D23" s="60">
        <v>0</v>
      </c>
      <c r="E23" s="50">
        <v>0</v>
      </c>
      <c r="F23" s="60">
        <v>0</v>
      </c>
      <c r="G23" s="60">
        <v>0</v>
      </c>
      <c r="H23" s="61">
        <v>0</v>
      </c>
      <c r="I23" s="59">
        <v>195.1116965611775</v>
      </c>
      <c r="J23" s="60">
        <v>540.15258213678942</v>
      </c>
      <c r="K23" s="60">
        <v>29.528139339884135</v>
      </c>
      <c r="L23" s="50">
        <v>1.8882751464843751E-5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92.707659933302224</v>
      </c>
      <c r="V23" s="62">
        <v>0</v>
      </c>
      <c r="W23" s="62">
        <v>4.7917910814285314</v>
      </c>
      <c r="X23" s="62">
        <v>0</v>
      </c>
      <c r="Y23" s="66">
        <v>43.988443756103507</v>
      </c>
      <c r="Z23" s="66">
        <v>0</v>
      </c>
      <c r="AA23" s="67">
        <v>0</v>
      </c>
      <c r="AB23" s="68">
        <v>49.737956884172888</v>
      </c>
      <c r="AC23" s="69">
        <v>0</v>
      </c>
      <c r="AD23" s="412">
        <v>12.34705519836402</v>
      </c>
      <c r="AE23" s="412">
        <v>0</v>
      </c>
      <c r="AF23" s="69">
        <v>0</v>
      </c>
      <c r="AG23" s="68">
        <v>2.9716628054970924</v>
      </c>
      <c r="AH23" s="68">
        <v>0</v>
      </c>
      <c r="AI23" s="68">
        <v>1</v>
      </c>
      <c r="AJ23" s="69">
        <v>214.40512237548828</v>
      </c>
      <c r="AK23" s="69">
        <v>376.41163749694829</v>
      </c>
      <c r="AL23" s="69">
        <v>874.35156078338616</v>
      </c>
      <c r="AM23" s="69">
        <v>180.96845626831055</v>
      </c>
      <c r="AN23" s="69">
        <v>1072.820068359375</v>
      </c>
      <c r="AO23" s="69">
        <v>1922.0422031402584</v>
      </c>
      <c r="AP23" s="69">
        <v>484.54915523529053</v>
      </c>
      <c r="AQ23" s="69">
        <v>731.47637360890712</v>
      </c>
      <c r="AR23" s="69">
        <v>363.86753322283431</v>
      </c>
      <c r="AS23" s="69">
        <v>586.71258824666347</v>
      </c>
    </row>
    <row r="24" spans="1:45" x14ac:dyDescent="0.25">
      <c r="A24" s="11">
        <v>43390</v>
      </c>
      <c r="B24" s="59"/>
      <c r="C24" s="60">
        <v>0</v>
      </c>
      <c r="D24" s="60">
        <v>0</v>
      </c>
      <c r="E24" s="50">
        <v>0</v>
      </c>
      <c r="F24" s="60">
        <v>0</v>
      </c>
      <c r="G24" s="60">
        <v>0</v>
      </c>
      <c r="H24" s="61">
        <v>0</v>
      </c>
      <c r="I24" s="59">
        <v>190.63413256804154</v>
      </c>
      <c r="J24" s="60">
        <v>541.86856002807474</v>
      </c>
      <c r="K24" s="60">
        <v>29.600792442758884</v>
      </c>
      <c r="L24" s="50">
        <v>3.7765502929687501E-5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212.28443311055494</v>
      </c>
      <c r="V24" s="62">
        <v>0</v>
      </c>
      <c r="W24" s="62">
        <v>30.645358121395091</v>
      </c>
      <c r="X24" s="62">
        <v>0</v>
      </c>
      <c r="Y24" s="66">
        <v>122.2177972634634</v>
      </c>
      <c r="Z24" s="66">
        <v>0</v>
      </c>
      <c r="AA24" s="67">
        <v>0</v>
      </c>
      <c r="AB24" s="68">
        <v>49.740671168434126</v>
      </c>
      <c r="AC24" s="69">
        <v>0</v>
      </c>
      <c r="AD24" s="412">
        <v>12.340355857463278</v>
      </c>
      <c r="AE24" s="412">
        <v>0</v>
      </c>
      <c r="AF24" s="69">
        <v>4.5032372746202682</v>
      </c>
      <c r="AG24" s="68">
        <v>7.6784601492158844</v>
      </c>
      <c r="AH24" s="68">
        <v>0</v>
      </c>
      <c r="AI24" s="68">
        <v>1</v>
      </c>
      <c r="AJ24" s="69">
        <v>205.37587749958035</v>
      </c>
      <c r="AK24" s="69">
        <v>361.93951552708938</v>
      </c>
      <c r="AL24" s="69">
        <v>890.2778841018677</v>
      </c>
      <c r="AM24" s="69">
        <v>497.23837912082672</v>
      </c>
      <c r="AN24" s="69">
        <v>1072.820068359375</v>
      </c>
      <c r="AO24" s="69">
        <v>1864.4697788238523</v>
      </c>
      <c r="AP24" s="69">
        <v>402.64854550361633</v>
      </c>
      <c r="AQ24" s="69">
        <v>1196.7574008305867</v>
      </c>
      <c r="AR24" s="69">
        <v>342.09191288948057</v>
      </c>
      <c r="AS24" s="69">
        <v>585.63755318323763</v>
      </c>
    </row>
    <row r="25" spans="1:45" x14ac:dyDescent="0.25">
      <c r="A25" s="11">
        <v>43391</v>
      </c>
      <c r="B25" s="59"/>
      <c r="C25" s="60">
        <v>0</v>
      </c>
      <c r="D25" s="60">
        <v>0</v>
      </c>
      <c r="E25" s="50">
        <v>0</v>
      </c>
      <c r="F25" s="60">
        <v>0</v>
      </c>
      <c r="G25" s="60">
        <v>0</v>
      </c>
      <c r="H25" s="61">
        <v>0</v>
      </c>
      <c r="I25" s="59">
        <v>192.27379156748452</v>
      </c>
      <c r="J25" s="60">
        <v>546.67533839543603</v>
      </c>
      <c r="K25" s="60">
        <v>29.938336996237418</v>
      </c>
      <c r="L25" s="50">
        <v>1.7938613891601567E-4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309.44846416049756</v>
      </c>
      <c r="V25" s="62">
        <v>0</v>
      </c>
      <c r="W25" s="62">
        <v>48.492019955317168</v>
      </c>
      <c r="X25" s="62">
        <v>0</v>
      </c>
      <c r="Y25" s="66">
        <v>195.43595588207228</v>
      </c>
      <c r="Z25" s="66">
        <v>0</v>
      </c>
      <c r="AA25" s="67">
        <v>0</v>
      </c>
      <c r="AB25" s="68">
        <v>50.401863606770959</v>
      </c>
      <c r="AC25" s="69">
        <v>0</v>
      </c>
      <c r="AD25" s="412">
        <v>12.444220329362611</v>
      </c>
      <c r="AE25" s="412">
        <v>0</v>
      </c>
      <c r="AF25" s="69">
        <v>11.760422019826068</v>
      </c>
      <c r="AG25" s="68">
        <v>11.602749764455112</v>
      </c>
      <c r="AH25" s="68">
        <v>0</v>
      </c>
      <c r="AI25" s="68">
        <v>1</v>
      </c>
      <c r="AJ25" s="69">
        <v>202.09544149239855</v>
      </c>
      <c r="AK25" s="69">
        <v>352.23393727938333</v>
      </c>
      <c r="AL25" s="69">
        <v>860.06623624165854</v>
      </c>
      <c r="AM25" s="69">
        <v>495.93649291992188</v>
      </c>
      <c r="AN25" s="69">
        <v>1072.820068359375</v>
      </c>
      <c r="AO25" s="69">
        <v>1791.4627084096276</v>
      </c>
      <c r="AP25" s="69">
        <v>448.7813266595204</v>
      </c>
      <c r="AQ25" s="69">
        <v>1644.4593327204389</v>
      </c>
      <c r="AR25" s="69">
        <v>352.63271160125731</v>
      </c>
      <c r="AS25" s="69">
        <v>659.73309504191081</v>
      </c>
    </row>
    <row r="26" spans="1:45" x14ac:dyDescent="0.25">
      <c r="A26" s="11">
        <v>43392</v>
      </c>
      <c r="B26" s="59"/>
      <c r="C26" s="60">
        <v>0</v>
      </c>
      <c r="D26" s="60">
        <v>0</v>
      </c>
      <c r="E26" s="50">
        <v>0</v>
      </c>
      <c r="F26" s="60">
        <v>0</v>
      </c>
      <c r="G26" s="60">
        <v>0</v>
      </c>
      <c r="H26" s="61">
        <v>0</v>
      </c>
      <c r="I26" s="59">
        <v>187.09340790112816</v>
      </c>
      <c r="J26" s="60">
        <v>542.91900186538635</v>
      </c>
      <c r="K26" s="60">
        <v>29.645532811681448</v>
      </c>
      <c r="L26" s="50">
        <v>1.4162063598632815E-4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327.18000111050003</v>
      </c>
      <c r="V26" s="62">
        <v>0</v>
      </c>
      <c r="W26" s="62">
        <v>52.815625413258957</v>
      </c>
      <c r="X26" s="62">
        <v>0</v>
      </c>
      <c r="Y26" s="62">
        <v>200.86524130503315</v>
      </c>
      <c r="Z26" s="62">
        <v>0</v>
      </c>
      <c r="AA26" s="72">
        <v>0</v>
      </c>
      <c r="AB26" s="69">
        <v>50.411030840874602</v>
      </c>
      <c r="AC26" s="69">
        <v>0</v>
      </c>
      <c r="AD26" s="412">
        <v>12.353671671115549</v>
      </c>
      <c r="AE26" s="412">
        <v>0</v>
      </c>
      <c r="AF26" s="69">
        <v>12.15899200240773</v>
      </c>
      <c r="AG26" s="69">
        <v>11.999339987681328</v>
      </c>
      <c r="AH26" s="69">
        <v>0</v>
      </c>
      <c r="AI26" s="69">
        <v>1</v>
      </c>
      <c r="AJ26" s="69">
        <v>195.99364998340607</v>
      </c>
      <c r="AK26" s="69">
        <v>350.62235487302144</v>
      </c>
      <c r="AL26" s="69">
        <v>972.83482430775973</v>
      </c>
      <c r="AM26" s="69">
        <v>495.93649291992188</v>
      </c>
      <c r="AN26" s="69">
        <v>1072.820068359375</v>
      </c>
      <c r="AO26" s="69">
        <v>1748.8205206553139</v>
      </c>
      <c r="AP26" s="69">
        <v>449.04849621454878</v>
      </c>
      <c r="AQ26" s="69">
        <v>1599.3519673029582</v>
      </c>
      <c r="AR26" s="69">
        <v>320.56571354866037</v>
      </c>
      <c r="AS26" s="69">
        <v>569.3660303115845</v>
      </c>
    </row>
    <row r="27" spans="1:45" x14ac:dyDescent="0.25">
      <c r="A27" s="11">
        <v>43393</v>
      </c>
      <c r="B27" s="59"/>
      <c r="C27" s="60">
        <v>0</v>
      </c>
      <c r="D27" s="60">
        <v>0</v>
      </c>
      <c r="E27" s="50">
        <v>0</v>
      </c>
      <c r="F27" s="60">
        <v>0</v>
      </c>
      <c r="G27" s="60">
        <v>0</v>
      </c>
      <c r="H27" s="61">
        <v>0</v>
      </c>
      <c r="I27" s="59">
        <v>187.07508691946671</v>
      </c>
      <c r="J27" s="60">
        <v>543.27522923151639</v>
      </c>
      <c r="K27" s="60">
        <v>29.683206822474794</v>
      </c>
      <c r="L27" s="50">
        <v>1.8882751464843755E-4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326.50030610826116</v>
      </c>
      <c r="V27" s="62">
        <v>0</v>
      </c>
      <c r="W27" s="62">
        <v>50.637127176920579</v>
      </c>
      <c r="X27" s="62">
        <v>0</v>
      </c>
      <c r="Y27" s="66">
        <v>197.29702769120536</v>
      </c>
      <c r="Z27" s="66">
        <v>0</v>
      </c>
      <c r="AA27" s="67">
        <v>0</v>
      </c>
      <c r="AB27" s="68">
        <v>50.408957740996243</v>
      </c>
      <c r="AC27" s="69">
        <v>0</v>
      </c>
      <c r="AD27" s="412">
        <v>12.357425505926729</v>
      </c>
      <c r="AE27" s="412">
        <v>0</v>
      </c>
      <c r="AF27" s="69">
        <v>12.157526286443103</v>
      </c>
      <c r="AG27" s="68">
        <v>11.999446991076054</v>
      </c>
      <c r="AH27" s="68">
        <v>0</v>
      </c>
      <c r="AI27" s="68">
        <v>1</v>
      </c>
      <c r="AJ27" s="69">
        <v>196.85416099230446</v>
      </c>
      <c r="AK27" s="69">
        <v>358.85530810356141</v>
      </c>
      <c r="AL27" s="69">
        <v>918.7530506769815</v>
      </c>
      <c r="AM27" s="69">
        <v>495.93649291992188</v>
      </c>
      <c r="AN27" s="69">
        <v>1072.820068359375</v>
      </c>
      <c r="AO27" s="69">
        <v>1746.9489393234255</v>
      </c>
      <c r="AP27" s="69">
        <v>474.30094532966598</v>
      </c>
      <c r="AQ27" s="69">
        <v>1616.2198249816895</v>
      </c>
      <c r="AR27" s="69">
        <v>316.62643500963844</v>
      </c>
      <c r="AS27" s="69">
        <v>601.93249743779484</v>
      </c>
    </row>
    <row r="28" spans="1:45" x14ac:dyDescent="0.25">
      <c r="A28" s="11">
        <v>43394</v>
      </c>
      <c r="B28" s="59"/>
      <c r="C28" s="60">
        <v>0</v>
      </c>
      <c r="D28" s="60">
        <v>0</v>
      </c>
      <c r="E28" s="50">
        <v>0</v>
      </c>
      <c r="F28" s="60">
        <v>0</v>
      </c>
      <c r="G28" s="60">
        <v>0</v>
      </c>
      <c r="H28" s="61">
        <v>0</v>
      </c>
      <c r="I28" s="59">
        <v>186.92783822218581</v>
      </c>
      <c r="J28" s="60">
        <v>542.80556770960402</v>
      </c>
      <c r="K28" s="60">
        <v>29.759928212563189</v>
      </c>
      <c r="L28" s="50">
        <v>1.8882751464843751E-5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320.90603842205331</v>
      </c>
      <c r="V28" s="62">
        <v>0</v>
      </c>
      <c r="W28" s="62">
        <v>49.963263428211256</v>
      </c>
      <c r="X28" s="62">
        <v>0</v>
      </c>
      <c r="Y28" s="66">
        <v>199.23388127485913</v>
      </c>
      <c r="Z28" s="66">
        <v>0</v>
      </c>
      <c r="AA28" s="67">
        <v>0</v>
      </c>
      <c r="AB28" s="68">
        <v>50.411543549432693</v>
      </c>
      <c r="AC28" s="69">
        <v>0</v>
      </c>
      <c r="AD28" s="412">
        <v>12.348535128877833</v>
      </c>
      <c r="AE28" s="412">
        <v>0</v>
      </c>
      <c r="AF28" s="69">
        <v>11.981884755028624</v>
      </c>
      <c r="AG28" s="68">
        <v>11.819869121814666</v>
      </c>
      <c r="AH28" s="68">
        <v>0</v>
      </c>
      <c r="AI28" s="68">
        <v>1</v>
      </c>
      <c r="AJ28" s="69">
        <v>201.61747741699219</v>
      </c>
      <c r="AK28" s="69">
        <v>345.40997505187988</v>
      </c>
      <c r="AL28" s="69">
        <v>986.67658373514814</v>
      </c>
      <c r="AM28" s="69">
        <v>495.93649291992188</v>
      </c>
      <c r="AN28" s="69">
        <v>1072.820068359375</v>
      </c>
      <c r="AO28" s="69">
        <v>1764.2980283101399</v>
      </c>
      <c r="AP28" s="69">
        <v>470.22235849698382</v>
      </c>
      <c r="AQ28" s="69">
        <v>1634.8273003896077</v>
      </c>
      <c r="AR28" s="69">
        <v>313.26593810717264</v>
      </c>
      <c r="AS28" s="69">
        <v>660.82651882171638</v>
      </c>
    </row>
    <row r="29" spans="1:45" x14ac:dyDescent="0.25">
      <c r="A29" s="11">
        <v>43395</v>
      </c>
      <c r="B29" s="59"/>
      <c r="C29" s="60">
        <v>0</v>
      </c>
      <c r="D29" s="60">
        <v>0</v>
      </c>
      <c r="E29" s="50">
        <v>0</v>
      </c>
      <c r="F29" s="60">
        <v>0</v>
      </c>
      <c r="G29" s="60">
        <v>0</v>
      </c>
      <c r="H29" s="61">
        <v>0</v>
      </c>
      <c r="I29" s="59">
        <v>186.9946140766144</v>
      </c>
      <c r="J29" s="60">
        <v>543.06513916651329</v>
      </c>
      <c r="K29" s="60">
        <v>29.794766368468604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315.24217739105256</v>
      </c>
      <c r="V29" s="62">
        <v>0</v>
      </c>
      <c r="W29" s="62">
        <v>48.708940092722614</v>
      </c>
      <c r="X29" s="62">
        <v>0</v>
      </c>
      <c r="Y29" s="66">
        <v>201.06585097312941</v>
      </c>
      <c r="Z29" s="66">
        <v>0</v>
      </c>
      <c r="AA29" s="67">
        <v>0</v>
      </c>
      <c r="AB29" s="68">
        <v>50.412539108594906</v>
      </c>
      <c r="AC29" s="69">
        <v>0</v>
      </c>
      <c r="AD29" s="412">
        <v>12.357771753784744</v>
      </c>
      <c r="AE29" s="412">
        <v>0</v>
      </c>
      <c r="AF29" s="69">
        <v>11.758277788427126</v>
      </c>
      <c r="AG29" s="68">
        <v>11.598917383590566</v>
      </c>
      <c r="AH29" s="68">
        <v>0</v>
      </c>
      <c r="AI29" s="68">
        <v>1</v>
      </c>
      <c r="AJ29" s="69">
        <v>201.61747741699219</v>
      </c>
      <c r="AK29" s="69">
        <v>370.04291265805563</v>
      </c>
      <c r="AL29" s="69">
        <v>918.9232724507649</v>
      </c>
      <c r="AM29" s="69">
        <v>495.93649291992188</v>
      </c>
      <c r="AN29" s="69">
        <v>1072.820068359375</v>
      </c>
      <c r="AO29" s="69">
        <v>1834.1000090281168</v>
      </c>
      <c r="AP29" s="69">
        <v>441.35881431897474</v>
      </c>
      <c r="AQ29" s="69">
        <v>1633.9968593597409</v>
      </c>
      <c r="AR29" s="69">
        <v>309.92023992538452</v>
      </c>
      <c r="AS29" s="69">
        <v>666.18919944763195</v>
      </c>
    </row>
    <row r="30" spans="1:45" x14ac:dyDescent="0.25">
      <c r="A30" s="11">
        <v>43396</v>
      </c>
      <c r="B30" s="59"/>
      <c r="C30" s="60">
        <v>0</v>
      </c>
      <c r="D30" s="60">
        <v>0</v>
      </c>
      <c r="E30" s="50">
        <v>0</v>
      </c>
      <c r="F30" s="60">
        <v>0</v>
      </c>
      <c r="G30" s="60">
        <v>0</v>
      </c>
      <c r="H30" s="61">
        <v>0</v>
      </c>
      <c r="I30" s="59">
        <v>186.68688511053728</v>
      </c>
      <c r="J30" s="60">
        <v>541.95926624933782</v>
      </c>
      <c r="K30" s="60">
        <v>29.699850979447376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326.38348126941094</v>
      </c>
      <c r="V30" s="62">
        <v>0</v>
      </c>
      <c r="W30" s="62">
        <v>49.752744388580339</v>
      </c>
      <c r="X30" s="62">
        <v>0</v>
      </c>
      <c r="Y30" s="66">
        <v>210.84755593140946</v>
      </c>
      <c r="Z30" s="66">
        <v>0</v>
      </c>
      <c r="AA30" s="67">
        <v>0</v>
      </c>
      <c r="AB30" s="68">
        <v>50.415265938971274</v>
      </c>
      <c r="AC30" s="69">
        <v>0</v>
      </c>
      <c r="AD30" s="412">
        <v>12.337855339473608</v>
      </c>
      <c r="AE30" s="412">
        <v>0</v>
      </c>
      <c r="AF30" s="69">
        <v>12.094555588563271</v>
      </c>
      <c r="AG30" s="68">
        <v>11.938148804740512</v>
      </c>
      <c r="AH30" s="68">
        <v>0</v>
      </c>
      <c r="AI30" s="68">
        <v>1</v>
      </c>
      <c r="AJ30" s="69">
        <v>205.71908259391785</v>
      </c>
      <c r="AK30" s="69">
        <v>400.73153467178344</v>
      </c>
      <c r="AL30" s="69">
        <v>851.44169235229515</v>
      </c>
      <c r="AM30" s="69">
        <v>495.93649291992188</v>
      </c>
      <c r="AN30" s="69">
        <v>1072.820068359375</v>
      </c>
      <c r="AO30" s="69">
        <v>1806.5494368235272</v>
      </c>
      <c r="AP30" s="69">
        <v>452.36424434979756</v>
      </c>
      <c r="AQ30" s="69">
        <v>1611.6120963414508</v>
      </c>
      <c r="AR30" s="69">
        <v>314.91783086458838</v>
      </c>
      <c r="AS30" s="69">
        <v>589.00875689188638</v>
      </c>
    </row>
    <row r="31" spans="1:45" x14ac:dyDescent="0.25">
      <c r="A31" s="11">
        <v>43397</v>
      </c>
      <c r="B31" s="59"/>
      <c r="C31" s="60">
        <v>0</v>
      </c>
      <c r="D31" s="60">
        <v>0</v>
      </c>
      <c r="E31" s="50">
        <v>0</v>
      </c>
      <c r="F31" s="60">
        <v>0</v>
      </c>
      <c r="G31" s="60">
        <v>0</v>
      </c>
      <c r="H31" s="61">
        <v>0</v>
      </c>
      <c r="I31" s="59">
        <v>181.84582445621479</v>
      </c>
      <c r="J31" s="60">
        <v>515.55340970357292</v>
      </c>
      <c r="K31" s="60">
        <v>28.249611394604095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320.22512324650694</v>
      </c>
      <c r="V31" s="62">
        <v>0</v>
      </c>
      <c r="W31" s="62">
        <v>49.409708348910016</v>
      </c>
      <c r="X31" s="62">
        <v>0</v>
      </c>
      <c r="Y31" s="66">
        <v>195.39369932810484</v>
      </c>
      <c r="Z31" s="66">
        <v>0</v>
      </c>
      <c r="AA31" s="67">
        <v>0</v>
      </c>
      <c r="AB31" s="68">
        <v>50.416477062967324</v>
      </c>
      <c r="AC31" s="69">
        <v>0</v>
      </c>
      <c r="AD31" s="412">
        <v>12.345403828451962</v>
      </c>
      <c r="AE31" s="412">
        <v>0</v>
      </c>
      <c r="AF31" s="69">
        <v>11.92389563686317</v>
      </c>
      <c r="AG31" s="68">
        <v>11.768176682398282</v>
      </c>
      <c r="AH31" s="68">
        <v>0</v>
      </c>
      <c r="AI31" s="68">
        <v>1</v>
      </c>
      <c r="AJ31" s="69">
        <v>207.6628439585368</v>
      </c>
      <c r="AK31" s="69">
        <v>385.30215454101563</v>
      </c>
      <c r="AL31" s="69">
        <v>845.11772257486984</v>
      </c>
      <c r="AM31" s="69">
        <v>495.93649291992188</v>
      </c>
      <c r="AN31" s="69">
        <v>1072.820068359375</v>
      </c>
      <c r="AO31" s="69">
        <v>1801.2093294779459</v>
      </c>
      <c r="AP31" s="69">
        <v>451.21273770332351</v>
      </c>
      <c r="AQ31" s="69">
        <v>1629.1712418238321</v>
      </c>
      <c r="AR31" s="69">
        <v>338.48333633740742</v>
      </c>
      <c r="AS31" s="69">
        <v>556.29207967122386</v>
      </c>
    </row>
    <row r="32" spans="1:45" x14ac:dyDescent="0.25">
      <c r="A32" s="11">
        <v>43398</v>
      </c>
      <c r="B32" s="59"/>
      <c r="C32" s="60">
        <v>0</v>
      </c>
      <c r="D32" s="60">
        <v>0</v>
      </c>
      <c r="E32" s="50">
        <v>0</v>
      </c>
      <c r="F32" s="60">
        <v>0</v>
      </c>
      <c r="G32" s="60">
        <v>0</v>
      </c>
      <c r="H32" s="61">
        <v>0</v>
      </c>
      <c r="I32" s="59">
        <v>178.7099131266275</v>
      </c>
      <c r="J32" s="60">
        <v>498.46267229716068</v>
      </c>
      <c r="K32" s="60">
        <v>27.287596478064849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322.97237517038747</v>
      </c>
      <c r="V32" s="62">
        <v>0</v>
      </c>
      <c r="W32" s="62">
        <v>50.131317043304414</v>
      </c>
      <c r="X32" s="62">
        <v>0</v>
      </c>
      <c r="Y32" s="66">
        <v>192.25540235837283</v>
      </c>
      <c r="Z32" s="66">
        <v>0</v>
      </c>
      <c r="AA32" s="67">
        <v>0</v>
      </c>
      <c r="AB32" s="68">
        <v>50.601952960755924</v>
      </c>
      <c r="AC32" s="69">
        <v>0</v>
      </c>
      <c r="AD32" s="412">
        <v>12.331342452808512</v>
      </c>
      <c r="AE32" s="412">
        <v>0</v>
      </c>
      <c r="AF32" s="69">
        <v>12.023420017957669</v>
      </c>
      <c r="AG32" s="68">
        <v>11.877108387722652</v>
      </c>
      <c r="AH32" s="68">
        <v>0</v>
      </c>
      <c r="AI32" s="68">
        <v>1</v>
      </c>
      <c r="AJ32" s="69">
        <v>215.06773220698039</v>
      </c>
      <c r="AK32" s="69">
        <v>384.54653644561768</v>
      </c>
      <c r="AL32" s="69">
        <v>871.36196072896314</v>
      </c>
      <c r="AM32" s="69">
        <v>495.93649291992188</v>
      </c>
      <c r="AN32" s="69">
        <v>1072.820068359375</v>
      </c>
      <c r="AO32" s="69">
        <v>1796.6161703745524</v>
      </c>
      <c r="AP32" s="69">
        <v>453.50972735087072</v>
      </c>
      <c r="AQ32" s="69">
        <v>1647.0517193476362</v>
      </c>
      <c r="AR32" s="69">
        <v>353.03317119280496</v>
      </c>
      <c r="AS32" s="69">
        <v>587.42219219207766</v>
      </c>
    </row>
    <row r="33" spans="1:45" x14ac:dyDescent="0.25">
      <c r="A33" s="11">
        <v>43399</v>
      </c>
      <c r="B33" s="59"/>
      <c r="C33" s="60">
        <v>0</v>
      </c>
      <c r="D33" s="60">
        <v>0</v>
      </c>
      <c r="E33" s="50">
        <v>0</v>
      </c>
      <c r="F33" s="60">
        <v>0</v>
      </c>
      <c r="G33" s="60">
        <v>0</v>
      </c>
      <c r="H33" s="61">
        <v>0</v>
      </c>
      <c r="I33" s="59">
        <v>178.51613298257186</v>
      </c>
      <c r="J33" s="60">
        <v>498.27480074564619</v>
      </c>
      <c r="K33" s="60">
        <v>27.265150406956664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311.45023866229332</v>
      </c>
      <c r="V33" s="62">
        <v>0</v>
      </c>
      <c r="W33" s="62">
        <v>48.25214776992798</v>
      </c>
      <c r="X33" s="62">
        <v>0</v>
      </c>
      <c r="Y33" s="66">
        <v>175.04415322144848</v>
      </c>
      <c r="Z33" s="66">
        <v>0</v>
      </c>
      <c r="AA33" s="67">
        <v>0</v>
      </c>
      <c r="AB33" s="68">
        <v>51.090508362982</v>
      </c>
      <c r="AC33" s="69">
        <v>0</v>
      </c>
      <c r="AD33" s="412">
        <v>12.333096820200899</v>
      </c>
      <c r="AE33" s="412">
        <v>0</v>
      </c>
      <c r="AF33" s="69">
        <v>11.612833313809483</v>
      </c>
      <c r="AG33" s="68">
        <v>11.465899095401241</v>
      </c>
      <c r="AH33" s="68">
        <v>0</v>
      </c>
      <c r="AI33" s="68">
        <v>1</v>
      </c>
      <c r="AJ33" s="69">
        <v>209.11800142923991</v>
      </c>
      <c r="AK33" s="69">
        <v>379.06024508476264</v>
      </c>
      <c r="AL33" s="69">
        <v>949.31242624918627</v>
      </c>
      <c r="AM33" s="69">
        <v>495.93649291992188</v>
      </c>
      <c r="AN33" s="69">
        <v>1072.820068359375</v>
      </c>
      <c r="AO33" s="69">
        <v>1803.6771473566691</v>
      </c>
      <c r="AP33" s="69">
        <v>416.10092352231339</v>
      </c>
      <c r="AQ33" s="69">
        <v>1648.5149170557654</v>
      </c>
      <c r="AR33" s="69">
        <v>308.25515071551007</v>
      </c>
      <c r="AS33" s="69">
        <v>641.64314196904502</v>
      </c>
    </row>
    <row r="34" spans="1:45" x14ac:dyDescent="0.25">
      <c r="A34" s="11">
        <v>43400</v>
      </c>
      <c r="B34" s="59"/>
      <c r="C34" s="60">
        <v>0</v>
      </c>
      <c r="D34" s="60">
        <v>0</v>
      </c>
      <c r="E34" s="50">
        <v>0</v>
      </c>
      <c r="F34" s="60">
        <v>0</v>
      </c>
      <c r="G34" s="60">
        <v>0</v>
      </c>
      <c r="H34" s="61">
        <v>0</v>
      </c>
      <c r="I34" s="59">
        <v>178.67498327096274</v>
      </c>
      <c r="J34" s="60">
        <v>498.72284228007004</v>
      </c>
      <c r="K34" s="60">
        <v>27.290500023961123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315.946393108368</v>
      </c>
      <c r="V34" s="62">
        <v>0</v>
      </c>
      <c r="W34" s="62">
        <v>48.568510301907935</v>
      </c>
      <c r="X34" s="62">
        <v>0</v>
      </c>
      <c r="Y34" s="66">
        <v>177.39807271162672</v>
      </c>
      <c r="Z34" s="66">
        <v>0</v>
      </c>
      <c r="AA34" s="67">
        <v>0</v>
      </c>
      <c r="AB34" s="68">
        <v>51.090159153938309</v>
      </c>
      <c r="AC34" s="69">
        <v>0</v>
      </c>
      <c r="AD34" s="412">
        <v>12.346680289164434</v>
      </c>
      <c r="AE34" s="412">
        <v>0</v>
      </c>
      <c r="AF34" s="69">
        <v>11.767314834064898</v>
      </c>
      <c r="AG34" s="68">
        <v>11.609496352896688</v>
      </c>
      <c r="AH34" s="68">
        <v>0</v>
      </c>
      <c r="AI34" s="68">
        <v>1</v>
      </c>
      <c r="AJ34" s="69">
        <v>208.6238159020742</v>
      </c>
      <c r="AK34" s="69">
        <v>386.89002450307208</v>
      </c>
      <c r="AL34" s="69">
        <v>975.62909100850436</v>
      </c>
      <c r="AM34" s="69">
        <v>495.93649291992188</v>
      </c>
      <c r="AN34" s="69">
        <v>1072.820068359375</v>
      </c>
      <c r="AO34" s="69">
        <v>1747.763098271688</v>
      </c>
      <c r="AP34" s="69">
        <v>415.70387171109508</v>
      </c>
      <c r="AQ34" s="69">
        <v>1654.5052281061808</v>
      </c>
      <c r="AR34" s="69">
        <v>308.02813706398013</v>
      </c>
      <c r="AS34" s="69">
        <v>676.06207885742197</v>
      </c>
    </row>
    <row r="35" spans="1:45" x14ac:dyDescent="0.25">
      <c r="A35" s="11">
        <v>43401</v>
      </c>
      <c r="B35" s="59"/>
      <c r="C35" s="60">
        <v>0</v>
      </c>
      <c r="D35" s="60">
        <v>0</v>
      </c>
      <c r="E35" s="50">
        <v>0</v>
      </c>
      <c r="F35" s="60">
        <v>0</v>
      </c>
      <c r="G35" s="60">
        <v>0</v>
      </c>
      <c r="H35" s="61">
        <v>0</v>
      </c>
      <c r="I35" s="59">
        <v>179.64777355988812</v>
      </c>
      <c r="J35" s="60">
        <v>501.13551944096878</v>
      </c>
      <c r="K35" s="60">
        <v>27.446541399757116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316.46964217291833</v>
      </c>
      <c r="V35" s="62">
        <v>0</v>
      </c>
      <c r="W35" s="62">
        <v>48.802232829729725</v>
      </c>
      <c r="X35" s="62">
        <v>0</v>
      </c>
      <c r="Y35" s="66">
        <v>183.93847084840152</v>
      </c>
      <c r="Z35" s="66">
        <v>0</v>
      </c>
      <c r="AA35" s="67">
        <v>0</v>
      </c>
      <c r="AB35" s="68">
        <v>50.569187749757397</v>
      </c>
      <c r="AC35" s="69">
        <v>0</v>
      </c>
      <c r="AD35" s="412">
        <v>12.404680403250467</v>
      </c>
      <c r="AE35" s="412">
        <v>0</v>
      </c>
      <c r="AF35" s="69">
        <v>11.835025258196705</v>
      </c>
      <c r="AG35" s="68">
        <v>11.635677168381349</v>
      </c>
      <c r="AH35" s="68">
        <v>0</v>
      </c>
      <c r="AI35" s="68">
        <v>1</v>
      </c>
      <c r="AJ35" s="69">
        <v>210.44339334170024</v>
      </c>
      <c r="AK35" s="69">
        <v>383.781899134318</v>
      </c>
      <c r="AL35" s="69">
        <v>953.02432111104326</v>
      </c>
      <c r="AM35" s="69">
        <v>495.93649291992188</v>
      </c>
      <c r="AN35" s="69">
        <v>1072.820068359375</v>
      </c>
      <c r="AO35" s="69">
        <v>1749.4366315841676</v>
      </c>
      <c r="AP35" s="69">
        <v>417.96992559432988</v>
      </c>
      <c r="AQ35" s="69">
        <v>1657.3113159179686</v>
      </c>
      <c r="AR35" s="69">
        <v>310.9758599917094</v>
      </c>
      <c r="AS35" s="69">
        <v>680.48136583964049</v>
      </c>
    </row>
    <row r="36" spans="1:45" x14ac:dyDescent="0.25">
      <c r="A36" s="11">
        <v>43402</v>
      </c>
      <c r="B36" s="59"/>
      <c r="C36" s="60">
        <v>0</v>
      </c>
      <c r="D36" s="60">
        <v>0</v>
      </c>
      <c r="E36" s="50">
        <v>0</v>
      </c>
      <c r="F36" s="60">
        <v>0</v>
      </c>
      <c r="G36" s="60">
        <v>0</v>
      </c>
      <c r="H36" s="61">
        <v>0</v>
      </c>
      <c r="I36" s="59">
        <v>174.9034906625746</v>
      </c>
      <c r="J36" s="60">
        <v>475.12878103256151</v>
      </c>
      <c r="K36" s="60">
        <v>25.997341591616468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321.25725671980234</v>
      </c>
      <c r="V36" s="62">
        <v>0</v>
      </c>
      <c r="W36" s="62">
        <v>48.789630961418233</v>
      </c>
      <c r="X36" s="62">
        <v>0</v>
      </c>
      <c r="Y36" s="66">
        <v>189.06276712417616</v>
      </c>
      <c r="Z36" s="66">
        <v>0</v>
      </c>
      <c r="AA36" s="67">
        <v>0</v>
      </c>
      <c r="AB36" s="68">
        <v>49.31728729407056</v>
      </c>
      <c r="AC36" s="69">
        <v>0</v>
      </c>
      <c r="AD36" s="412">
        <v>12.333662751267944</v>
      </c>
      <c r="AE36" s="412">
        <v>0</v>
      </c>
      <c r="AF36" s="69">
        <v>12.030003855956936</v>
      </c>
      <c r="AG36" s="68">
        <v>11.815726292308943</v>
      </c>
      <c r="AH36" s="68">
        <v>0</v>
      </c>
      <c r="AI36" s="68">
        <v>1</v>
      </c>
      <c r="AJ36" s="69">
        <v>209.23956298828125</v>
      </c>
      <c r="AK36" s="69">
        <v>394.31063849131266</v>
      </c>
      <c r="AL36" s="69">
        <v>918.37655366261799</v>
      </c>
      <c r="AM36" s="69">
        <v>495.93649291992188</v>
      </c>
      <c r="AN36" s="69">
        <v>1072.820068359375</v>
      </c>
      <c r="AO36" s="69">
        <v>1820.975778834025</v>
      </c>
      <c r="AP36" s="69">
        <v>407.55120798746742</v>
      </c>
      <c r="AQ36" s="69">
        <v>1639.9320207595827</v>
      </c>
      <c r="AR36" s="69">
        <v>390.4500531196594</v>
      </c>
      <c r="AS36" s="69">
        <v>679.49848480224614</v>
      </c>
    </row>
    <row r="37" spans="1:45" x14ac:dyDescent="0.25">
      <c r="A37" s="11">
        <v>43403</v>
      </c>
      <c r="B37" s="65"/>
      <c r="C37" s="66">
        <v>0</v>
      </c>
      <c r="D37" s="66">
        <v>0</v>
      </c>
      <c r="E37" s="66">
        <v>0</v>
      </c>
      <c r="F37" s="66">
        <v>0</v>
      </c>
      <c r="G37" s="66">
        <v>0</v>
      </c>
      <c r="H37" s="67">
        <v>0</v>
      </c>
      <c r="I37" s="71">
        <v>171.67717148462901</v>
      </c>
      <c r="J37" s="66">
        <v>458.01475683847991</v>
      </c>
      <c r="K37" s="66">
        <v>25.031722028056794</v>
      </c>
      <c r="L37" s="66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93">
        <v>0</v>
      </c>
      <c r="S37" s="66">
        <v>0</v>
      </c>
      <c r="T37" s="67">
        <v>0</v>
      </c>
      <c r="U37" s="79">
        <v>321.48852930068733</v>
      </c>
      <c r="V37" s="80">
        <v>0</v>
      </c>
      <c r="W37" s="81">
        <v>49.705778217315604</v>
      </c>
      <c r="X37" s="81">
        <v>0</v>
      </c>
      <c r="Y37" s="80">
        <v>187.99459767341565</v>
      </c>
      <c r="Z37" s="80">
        <v>0</v>
      </c>
      <c r="AA37" s="82">
        <v>0</v>
      </c>
      <c r="AB37" s="68">
        <v>50.298079329067036</v>
      </c>
      <c r="AC37" s="394">
        <v>0</v>
      </c>
      <c r="AD37" s="412">
        <v>12.32839536535516</v>
      </c>
      <c r="AE37" s="412">
        <v>0</v>
      </c>
      <c r="AF37" s="394">
        <v>12.048329701357437</v>
      </c>
      <c r="AG37" s="68">
        <v>11.823659047199236</v>
      </c>
      <c r="AH37" s="68">
        <v>0</v>
      </c>
      <c r="AI37" s="68">
        <v>1</v>
      </c>
      <c r="AJ37" s="394">
        <v>217.30904925664268</v>
      </c>
      <c r="AK37" s="394">
        <v>411.69128060340881</v>
      </c>
      <c r="AL37" s="394">
        <v>821.34713408152265</v>
      </c>
      <c r="AM37" s="394">
        <v>495.93649291992188</v>
      </c>
      <c r="AN37" s="394">
        <v>1072.820068359375</v>
      </c>
      <c r="AO37" s="394">
        <v>1787.8991216023765</v>
      </c>
      <c r="AP37" s="394">
        <v>437.21993266741418</v>
      </c>
      <c r="AQ37" s="394">
        <v>1670.375215593974</v>
      </c>
      <c r="AR37" s="394">
        <v>365.9229078769684</v>
      </c>
      <c r="AS37" s="394">
        <v>583.50026003519713</v>
      </c>
    </row>
    <row r="38" spans="1:45" ht="15.75" thickBot="1" x14ac:dyDescent="0.3">
      <c r="A38" s="11">
        <v>43404</v>
      </c>
      <c r="B38" s="73"/>
      <c r="C38" s="420">
        <v>0</v>
      </c>
      <c r="D38" s="420">
        <v>0</v>
      </c>
      <c r="E38" s="50">
        <v>0</v>
      </c>
      <c r="F38" s="420">
        <v>0</v>
      </c>
      <c r="G38" s="420">
        <v>0</v>
      </c>
      <c r="H38" s="421">
        <v>0</v>
      </c>
      <c r="I38" s="422">
        <v>171.64429680506362</v>
      </c>
      <c r="J38" s="420">
        <v>457.96398909886631</v>
      </c>
      <c r="K38" s="420">
        <v>25.063490568101411</v>
      </c>
      <c r="L38" s="420">
        <v>0</v>
      </c>
      <c r="M38" s="420">
        <v>0</v>
      </c>
      <c r="N38" s="421">
        <v>0</v>
      </c>
      <c r="O38" s="422">
        <v>0</v>
      </c>
      <c r="P38" s="420">
        <v>0</v>
      </c>
      <c r="Q38" s="420">
        <v>0</v>
      </c>
      <c r="R38" s="423">
        <v>0</v>
      </c>
      <c r="S38" s="420">
        <v>0</v>
      </c>
      <c r="T38" s="424">
        <v>0</v>
      </c>
      <c r="U38" s="79">
        <v>322.16966045167692</v>
      </c>
      <c r="V38" s="80">
        <v>0</v>
      </c>
      <c r="W38" s="81">
        <v>50.793762969970693</v>
      </c>
      <c r="X38" s="81">
        <v>0</v>
      </c>
      <c r="Y38" s="80">
        <v>183.26921263535826</v>
      </c>
      <c r="Z38" s="80">
        <v>0</v>
      </c>
      <c r="AA38" s="82">
        <v>0</v>
      </c>
      <c r="AB38" s="425">
        <v>51.728319308493127</v>
      </c>
      <c r="AC38" s="84">
        <v>0</v>
      </c>
      <c r="AD38" s="412">
        <v>12.325254726565186</v>
      </c>
      <c r="AE38" s="412">
        <v>0</v>
      </c>
      <c r="AF38" s="85">
        <v>12.164921046296786</v>
      </c>
      <c r="AG38" s="425">
        <v>11.938929323065208</v>
      </c>
      <c r="AH38" s="425">
        <v>0</v>
      </c>
      <c r="AI38" s="425">
        <v>1</v>
      </c>
      <c r="AJ38" s="84">
        <v>227.31146485010791</v>
      </c>
      <c r="AK38" s="84">
        <v>410.54665942192082</v>
      </c>
      <c r="AL38" s="84">
        <v>899.14273001352944</v>
      </c>
      <c r="AM38" s="84">
        <v>495.93649291992188</v>
      </c>
      <c r="AN38" s="84">
        <v>1072.820068359375</v>
      </c>
      <c r="AO38" s="84">
        <v>1787.2876789093016</v>
      </c>
      <c r="AP38" s="84">
        <v>472.09584039052322</v>
      </c>
      <c r="AQ38" s="84">
        <v>1744.0610593795773</v>
      </c>
      <c r="AR38" s="84">
        <v>384.66464587847389</v>
      </c>
      <c r="AS38" s="84">
        <v>577.7170426368715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0</v>
      </c>
      <c r="D39" s="30">
        <f t="shared" si="0"/>
        <v>0</v>
      </c>
      <c r="E39" s="30">
        <f t="shared" si="0"/>
        <v>0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3053.0188578923535</v>
      </c>
      <c r="J39" s="30">
        <f t="shared" si="0"/>
        <v>8552.9472062309505</v>
      </c>
      <c r="K39" s="30">
        <f t="shared" si="0"/>
        <v>467.68222348193342</v>
      </c>
      <c r="L39" s="30">
        <f t="shared" si="0"/>
        <v>5.8536529541015642E-4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4782.6317803382735</v>
      </c>
      <c r="V39" s="262">
        <f t="shared" si="0"/>
        <v>0</v>
      </c>
      <c r="W39" s="262">
        <f t="shared" si="0"/>
        <v>730.25995810031918</v>
      </c>
      <c r="X39" s="262">
        <f t="shared" si="0"/>
        <v>0</v>
      </c>
      <c r="Y39" s="262">
        <f t="shared" si="0"/>
        <v>2855.3081299781807</v>
      </c>
      <c r="Z39" s="262">
        <f t="shared" si="0"/>
        <v>0.26930805842081706</v>
      </c>
      <c r="AA39" s="270">
        <f t="shared" si="0"/>
        <v>0</v>
      </c>
      <c r="AB39" s="273">
        <f t="shared" si="0"/>
        <v>848.29939402773016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6499.222209302583</v>
      </c>
      <c r="AK39" s="273">
        <f t="shared" si="1"/>
        <v>11602.2776102225</v>
      </c>
      <c r="AL39" s="273">
        <f t="shared" si="1"/>
        <v>28207.254224840803</v>
      </c>
      <c r="AM39" s="273">
        <f t="shared" si="1"/>
        <v>10593.67803560098</v>
      </c>
      <c r="AN39" s="273">
        <f t="shared" si="1"/>
        <v>36684.561278152469</v>
      </c>
      <c r="AO39" s="273">
        <f t="shared" si="1"/>
        <v>55652.433023134872</v>
      </c>
      <c r="AP39" s="273">
        <f t="shared" si="1"/>
        <v>14486.776934162777</v>
      </c>
      <c r="AQ39" s="273">
        <f t="shared" si="1"/>
        <v>29101.060247286165</v>
      </c>
      <c r="AR39" s="273">
        <f t="shared" si="1"/>
        <v>7231.557765654723</v>
      </c>
      <c r="AS39" s="273">
        <f t="shared" si="1"/>
        <v>19716.228026707973</v>
      </c>
    </row>
    <row r="40" spans="1:45" ht="15.75" thickBot="1" x14ac:dyDescent="0.3">
      <c r="A40" s="47" t="s">
        <v>172</v>
      </c>
      <c r="B40" s="32">
        <f>Projection!$AD$30</f>
        <v>0.82128400199999985</v>
      </c>
      <c r="C40" s="33">
        <f>Projection!$AD$28</f>
        <v>1.2667292399999999</v>
      </c>
      <c r="D40" s="33">
        <f>Projection!$AD$31</f>
        <v>3.0824639999999999</v>
      </c>
      <c r="E40" s="33">
        <f>Projection!$AD$26</f>
        <v>3.9898560000000005</v>
      </c>
      <c r="F40" s="33">
        <f>Projection!$AD$23</f>
        <v>0</v>
      </c>
      <c r="G40" s="33">
        <f>Projection!$AD$24</f>
        <v>5.5265000000000002E-2</v>
      </c>
      <c r="H40" s="34">
        <f>Projection!$AD$29</f>
        <v>3.5497125</v>
      </c>
      <c r="I40" s="32">
        <f>Projection!$AD$30</f>
        <v>0.82128400199999985</v>
      </c>
      <c r="J40" s="33">
        <f>Projection!$AD$28</f>
        <v>1.2667292399999999</v>
      </c>
      <c r="K40" s="33">
        <f>Projection!$AD$26</f>
        <v>3.9898560000000005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1.2667292399999999</v>
      </c>
      <c r="T40" s="266">
        <f>Projection!$AD$28</f>
        <v>1.2667292399999999</v>
      </c>
      <c r="U40" s="264">
        <f>Projection!$AD$27</f>
        <v>0.29460000000000003</v>
      </c>
      <c r="V40" s="265">
        <f>Projection!$AD$27</f>
        <v>0.29460000000000003</v>
      </c>
      <c r="W40" s="265">
        <f>Projection!$AD$22</f>
        <v>0.74349432000000004</v>
      </c>
      <c r="X40" s="265">
        <f>Projection!$AD$22</f>
        <v>0.74349432000000004</v>
      </c>
      <c r="Y40" s="265">
        <f>Projection!$AD$31</f>
        <v>3.0824639999999999</v>
      </c>
      <c r="Z40" s="265">
        <f>Projection!$AD$31</f>
        <v>3.0824639999999999</v>
      </c>
      <c r="AA40" s="271">
        <v>0</v>
      </c>
      <c r="AB40" s="274">
        <f>Projection!$AD$27</f>
        <v>0.29460000000000003</v>
      </c>
      <c r="AC40" s="274">
        <f>Projection!$AD$30</f>
        <v>0.82128400199999985</v>
      </c>
      <c r="AD40" s="404">
        <f>SUM(AD8:AD38)</f>
        <v>205.14322027573894</v>
      </c>
      <c r="AE40" s="404">
        <f>SUM(AE8:AE38)</f>
        <v>0</v>
      </c>
      <c r="AF40" s="277">
        <f>SUM(AF8:AF38)</f>
        <v>171.82063937981928</v>
      </c>
      <c r="AG40" s="277">
        <f>SUM(AG8:AG38)</f>
        <v>175.54914912336679</v>
      </c>
      <c r="AH40" s="277">
        <f>SUM(AH8:AH38)</f>
        <v>0</v>
      </c>
      <c r="AI40" s="277">
        <f>IF(SUM(AG40:AH40)&gt;0, AG40/(AG40+AH40),0)</f>
        <v>1</v>
      </c>
      <c r="AJ40" s="313">
        <v>7.0000000000000007E-2</v>
      </c>
      <c r="AK40" s="313">
        <f t="shared" ref="AK40:AS40" si="2">$AJ$40</f>
        <v>7.0000000000000007E-2</v>
      </c>
      <c r="AL40" s="313">
        <f t="shared" si="2"/>
        <v>7.0000000000000007E-2</v>
      </c>
      <c r="AM40" s="313">
        <f t="shared" si="2"/>
        <v>7.0000000000000007E-2</v>
      </c>
      <c r="AN40" s="313">
        <f t="shared" si="2"/>
        <v>7.0000000000000007E-2</v>
      </c>
      <c r="AO40" s="313">
        <f t="shared" si="2"/>
        <v>7.0000000000000007E-2</v>
      </c>
      <c r="AP40" s="313">
        <f t="shared" si="2"/>
        <v>7.0000000000000007E-2</v>
      </c>
      <c r="AQ40" s="313">
        <f t="shared" si="2"/>
        <v>7.0000000000000007E-2</v>
      </c>
      <c r="AR40" s="313">
        <f t="shared" si="2"/>
        <v>7.0000000000000007E-2</v>
      </c>
      <c r="AS40" s="313">
        <f t="shared" si="2"/>
        <v>7.0000000000000007E-2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0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2507.3955457913007</v>
      </c>
      <c r="J41" s="36">
        <f t="shared" si="3"/>
        <v>10834.268314309054</v>
      </c>
      <c r="K41" s="36">
        <f t="shared" si="3"/>
        <v>1865.9847254527331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1408.9633224876554</v>
      </c>
      <c r="V41" s="268">
        <f t="shared" si="3"/>
        <v>0</v>
      </c>
      <c r="W41" s="268">
        <f t="shared" si="3"/>
        <v>542.94413097102529</v>
      </c>
      <c r="X41" s="268">
        <f t="shared" si="3"/>
        <v>0</v>
      </c>
      <c r="Y41" s="268">
        <f t="shared" si="3"/>
        <v>8801.3845195650629</v>
      </c>
      <c r="Z41" s="268">
        <f t="shared" si="3"/>
        <v>0.83013239499206537</v>
      </c>
      <c r="AA41" s="272">
        <f t="shared" si="3"/>
        <v>0</v>
      </c>
      <c r="AB41" s="275">
        <f t="shared" si="3"/>
        <v>249.90900148056932</v>
      </c>
      <c r="AC41" s="275">
        <f t="shared" si="3"/>
        <v>0</v>
      </c>
      <c r="AJ41" s="278">
        <f t="shared" ref="AJ41:AS41" si="4">AJ40*AJ39</f>
        <v>454.94555465118083</v>
      </c>
      <c r="AK41" s="278">
        <f t="shared" si="4"/>
        <v>812.15943271557501</v>
      </c>
      <c r="AL41" s="278">
        <f t="shared" si="4"/>
        <v>1974.5077957388564</v>
      </c>
      <c r="AM41" s="278">
        <f t="shared" si="4"/>
        <v>741.55746249206868</v>
      </c>
      <c r="AN41" s="278">
        <f t="shared" si="4"/>
        <v>2567.919289470673</v>
      </c>
      <c r="AO41" s="278">
        <f t="shared" si="4"/>
        <v>3895.6703116194412</v>
      </c>
      <c r="AP41" s="278">
        <f t="shared" si="4"/>
        <v>1014.0743853913945</v>
      </c>
      <c r="AQ41" s="278">
        <f t="shared" si="4"/>
        <v>2037.0742173100318</v>
      </c>
      <c r="AR41" s="278">
        <f t="shared" si="4"/>
        <v>506.20904359583068</v>
      </c>
      <c r="AS41" s="278">
        <f t="shared" si="4"/>
        <v>1380.1359618695583</v>
      </c>
    </row>
    <row r="42" spans="1:45" ht="49.5" customHeight="1" thickTop="1" thickBot="1" x14ac:dyDescent="0.3">
      <c r="A42" s="637">
        <f>SEPTEMBER!$A$42+30</f>
        <v>43375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423.16</v>
      </c>
      <c r="AK42" s="278" t="s">
        <v>197</v>
      </c>
      <c r="AL42" s="278">
        <v>1063.02</v>
      </c>
      <c r="AM42" s="278">
        <v>653.96</v>
      </c>
      <c r="AN42" s="278">
        <v>484.88</v>
      </c>
      <c r="AO42" s="278">
        <v>2745.36</v>
      </c>
      <c r="AP42" s="278">
        <v>266.95999999999998</v>
      </c>
      <c r="AQ42" s="278" t="s">
        <v>197</v>
      </c>
      <c r="AR42" s="278">
        <v>92.95</v>
      </c>
      <c r="AS42" s="278">
        <v>187.15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26211.679692452395</v>
      </c>
      <c r="C44" s="12"/>
      <c r="D44" s="282" t="s">
        <v>135</v>
      </c>
      <c r="E44" s="283">
        <f>SUM(B41:H41)+P41+R41+T41+V41+X41+Z41</f>
        <v>0.83013239499206537</v>
      </c>
      <c r="F44" s="12"/>
      <c r="G44" s="282" t="s">
        <v>135</v>
      </c>
      <c r="H44" s="283">
        <f>SUM(I41:N41)+O41+Q41+S41+U41+W41+Y41</f>
        <v>25960.940558576833</v>
      </c>
      <c r="I44" s="12"/>
      <c r="J44" s="282" t="s">
        <v>198</v>
      </c>
      <c r="K44" s="283">
        <v>137392.95000000001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15384.253454854608</v>
      </c>
      <c r="C45" s="12"/>
      <c r="D45" s="284" t="s">
        <v>183</v>
      </c>
      <c r="E45" s="285">
        <f>AJ41*(1-$AI$40)+AK41+AL41*0.5+AN41+AO41*(1-$AI$40)+AP41*(1-$AI$40)+AQ41*(1-$AI$40)+AR41*0.5+AS41*0.5</f>
        <v>5310.5051227883714</v>
      </c>
      <c r="F45" s="24"/>
      <c r="G45" s="284" t="s">
        <v>183</v>
      </c>
      <c r="H45" s="285">
        <f>AJ41*AI40+AL41*0.5+AM41+AO41*AI40+AP41*AI40+AQ41*AI40+AR41*0.5+AS41*0.5</f>
        <v>10073.74833206624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730.25995810031918</v>
      </c>
      <c r="U45" s="256">
        <f>(T45*8.34*0.895)/27000</f>
        <v>0.20188442241660046</v>
      </c>
    </row>
    <row r="46" spans="1:45" ht="32.25" thickBot="1" x14ac:dyDescent="0.3">
      <c r="A46" s="286" t="s">
        <v>184</v>
      </c>
      <c r="B46" s="287">
        <f>SUM(AJ42:AS42)</f>
        <v>5917.4400000000005</v>
      </c>
      <c r="C46" s="12"/>
      <c r="D46" s="286" t="s">
        <v>184</v>
      </c>
      <c r="E46" s="287">
        <f>AJ42*(1-$AI$40)+AL42*0.5+AN42+AO42*(1-$AI$40)+AP42*(1-$AI$40)+AR42*0.5+AS42*0.5</f>
        <v>1156.44</v>
      </c>
      <c r="F46" s="23"/>
      <c r="G46" s="286" t="s">
        <v>184</v>
      </c>
      <c r="H46" s="287">
        <f>AJ42*AI40+AL42*0.5+AM42+AO42*AI40+AP42*AI40+AR42*0.5+AS42*0.5</f>
        <v>4761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137392.95000000001</v>
      </c>
      <c r="C47" s="12"/>
      <c r="D47" s="286" t="s">
        <v>187</v>
      </c>
      <c r="E47" s="287">
        <f>K44*0.5</f>
        <v>68696.475000000006</v>
      </c>
      <c r="F47" s="24"/>
      <c r="G47" s="286" t="s">
        <v>185</v>
      </c>
      <c r="H47" s="287">
        <f>K44*0.5</f>
        <v>68696.475000000006</v>
      </c>
      <c r="I47" s="12"/>
      <c r="J47" s="282" t="s">
        <v>198</v>
      </c>
      <c r="K47" s="283">
        <v>108900.58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0</v>
      </c>
      <c r="U47" s="256">
        <f>T47/40000</f>
        <v>0</v>
      </c>
    </row>
    <row r="48" spans="1:45" ht="24" thickBot="1" x14ac:dyDescent="0.3">
      <c r="A48" s="286" t="s">
        <v>186</v>
      </c>
      <c r="B48" s="287">
        <f>K47</f>
        <v>108900.58</v>
      </c>
      <c r="C48" s="12"/>
      <c r="D48" s="286" t="s">
        <v>186</v>
      </c>
      <c r="E48" s="287">
        <f>K47*0.5</f>
        <v>54450.29</v>
      </c>
      <c r="F48" s="23"/>
      <c r="G48" s="286" t="s">
        <v>186</v>
      </c>
      <c r="H48" s="287">
        <f>K47*0.5</f>
        <v>54450.29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5.8536529541015642E-4</v>
      </c>
      <c r="U48" s="256">
        <f>T48*9.34*0.107</f>
        <v>5.8500236892700206E-4</v>
      </c>
    </row>
    <row r="49" spans="1:25" ht="48" thickTop="1" thickBot="1" x14ac:dyDescent="0.3">
      <c r="A49" s="291" t="s">
        <v>194</v>
      </c>
      <c r="B49" s="292">
        <f>AF40</f>
        <v>171.82063937981928</v>
      </c>
      <c r="C49" s="12"/>
      <c r="D49" s="291" t="s">
        <v>195</v>
      </c>
      <c r="E49" s="292">
        <f>AH40</f>
        <v>0</v>
      </c>
      <c r="F49" s="23"/>
      <c r="G49" s="291" t="s">
        <v>196</v>
      </c>
      <c r="H49" s="292">
        <f>AG40</f>
        <v>175.54914912336679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467.68222348193342</v>
      </c>
      <c r="U49" s="256">
        <f>(T49*8.34*1.04)/45000</f>
        <v>9.014418963539772E-2</v>
      </c>
    </row>
    <row r="50" spans="1:25" ht="48" customHeight="1" thickTop="1" thickBot="1" x14ac:dyDescent="0.3">
      <c r="A50" s="291" t="s">
        <v>223</v>
      </c>
      <c r="B50" s="292">
        <f>SUM(E50+H50)</f>
        <v>205.14322027573894</v>
      </c>
      <c r="C50" s="12"/>
      <c r="D50" s="291" t="s">
        <v>224</v>
      </c>
      <c r="E50" s="292">
        <f>AE40</f>
        <v>0</v>
      </c>
      <c r="F50" s="23"/>
      <c r="G50" s="291" t="s">
        <v>225</v>
      </c>
      <c r="H50" s="292">
        <f>AD40</f>
        <v>205.14322027573894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1432.2038171790064</v>
      </c>
      <c r="C51" s="12"/>
      <c r="D51" s="291" t="s">
        <v>188</v>
      </c>
      <c r="E51" s="403" t="e">
        <f>SUM(E44:E48)/E50</f>
        <v>#DIV/0!</v>
      </c>
      <c r="F51" s="23"/>
      <c r="G51" s="291" t="s">
        <v>189</v>
      </c>
      <c r="H51" s="403">
        <f>SUM(H44:H48)/H50</f>
        <v>799.16096505789119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5630.9311743660037</v>
      </c>
      <c r="U51" s="256">
        <f>T51/2000/8</f>
        <v>0.35193319839787524</v>
      </c>
    </row>
    <row r="52" spans="1:25" ht="48" thickTop="1" thickBot="1" x14ac:dyDescent="0.3">
      <c r="A52" s="281" t="s">
        <v>191</v>
      </c>
      <c r="B52" s="294">
        <f>B51/1000</f>
        <v>1.4322038171790064</v>
      </c>
      <c r="C52" s="12"/>
      <c r="D52" s="281" t="s">
        <v>192</v>
      </c>
      <c r="E52" s="294" t="e">
        <f>E51/1000</f>
        <v>#DIV/0!</v>
      </c>
      <c r="F52" s="374" t="e">
        <f>E44/E49</f>
        <v>#DIV/0!</v>
      </c>
      <c r="G52" s="281" t="s">
        <v>193</v>
      </c>
      <c r="H52" s="294">
        <f>H51/1000</f>
        <v>0.79916096505789114</v>
      </c>
      <c r="I52" s="374">
        <f>H44/H49</f>
        <v>147.88417197244766</v>
      </c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8552.9472062309505</v>
      </c>
      <c r="U52" s="256">
        <f>(T52*8.34*1.4)/45000</f>
        <v>2.2192047017767238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0</v>
      </c>
      <c r="U53" s="256">
        <f>(T53*8.34*1.135)/45000</f>
        <v>0</v>
      </c>
    </row>
    <row r="54" spans="1:25" ht="33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3053.0188578923535</v>
      </c>
      <c r="U54" s="256">
        <f>(T54*8.34*1.029*0.03)/3300</f>
        <v>0.2381870946890188</v>
      </c>
    </row>
    <row r="55" spans="1:25" ht="59.25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2855.5774380366015</v>
      </c>
      <c r="U55" s="259">
        <f>(T55*1.54*8.34)/45000</f>
        <v>0.81501987518148655</v>
      </c>
      <c r="V55" s="326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3"/>
      <c r="T56" s="649"/>
      <c r="U56" s="649"/>
      <c r="V56" s="324"/>
      <c r="W56" s="325"/>
      <c r="X56" s="323"/>
      <c r="Y56" s="323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3"/>
      <c r="T57" s="648"/>
      <c r="U57" s="648"/>
      <c r="V57" s="324"/>
      <c r="W57" s="325"/>
      <c r="X57" s="323"/>
      <c r="Y57" s="323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3"/>
      <c r="T58" s="648"/>
      <c r="U58" s="648"/>
      <c r="V58" s="324"/>
      <c r="W58" s="325"/>
      <c r="X58" s="323"/>
      <c r="Y58" s="323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3"/>
      <c r="T59" s="648"/>
      <c r="U59" s="648"/>
      <c r="V59" s="324"/>
      <c r="W59" s="325"/>
      <c r="X59" s="323"/>
      <c r="Y59" s="323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3"/>
      <c r="T60" s="648"/>
      <c r="U60" s="648"/>
      <c r="V60" s="324"/>
      <c r="W60" s="325"/>
      <c r="X60" s="323"/>
      <c r="Y60" s="323"/>
    </row>
    <row r="61" spans="1:25" x14ac:dyDescent="0.25">
      <c r="S61" s="323"/>
      <c r="T61" s="648"/>
      <c r="U61" s="648"/>
      <c r="V61" s="324"/>
      <c r="W61" s="325"/>
      <c r="X61" s="323"/>
      <c r="Y61" s="323"/>
    </row>
    <row r="62" spans="1:25" x14ac:dyDescent="0.25">
      <c r="S62" s="323"/>
      <c r="T62" s="648"/>
      <c r="U62" s="648"/>
      <c r="V62" s="324"/>
      <c r="W62" s="325"/>
      <c r="X62" s="323"/>
      <c r="Y62" s="323"/>
    </row>
    <row r="63" spans="1:25" x14ac:dyDescent="0.25">
      <c r="S63" s="323"/>
      <c r="T63" s="648"/>
      <c r="U63" s="648"/>
      <c r="V63" s="324"/>
      <c r="W63" s="325"/>
      <c r="X63" s="323"/>
      <c r="Y63" s="323"/>
    </row>
    <row r="64" spans="1:25" x14ac:dyDescent="0.25">
      <c r="S64" s="323"/>
      <c r="T64" s="323"/>
      <c r="U64" s="323"/>
      <c r="V64" s="323"/>
      <c r="W64" s="323"/>
      <c r="X64" s="323"/>
      <c r="Y64" s="323"/>
    </row>
    <row r="65" spans="19:25" x14ac:dyDescent="0.25">
      <c r="S65" s="323"/>
      <c r="T65" s="323"/>
      <c r="U65" s="323"/>
      <c r="V65" s="323"/>
      <c r="W65" s="323"/>
      <c r="X65" s="323"/>
      <c r="Y65" s="323"/>
    </row>
    <row r="66" spans="19:25" x14ac:dyDescent="0.25">
      <c r="S66" s="323"/>
      <c r="T66" s="323"/>
      <c r="U66" s="323"/>
      <c r="V66" s="323"/>
      <c r="W66" s="323"/>
      <c r="X66" s="323"/>
      <c r="Y66" s="323"/>
    </row>
    <row r="67" spans="19:25" x14ac:dyDescent="0.25">
      <c r="S67" s="323"/>
      <c r="T67" s="323"/>
      <c r="U67" s="323"/>
      <c r="V67" s="323"/>
      <c r="W67" s="323"/>
      <c r="X67" s="323"/>
      <c r="Y67" s="323"/>
    </row>
  </sheetData>
  <sheetProtection algorithmName="SHA-512" hashValue="0z1aPxNx+kEJiHfQ2760VwfByeKnSBJpC6lIe2RfUiJUo292exSJE529+e8rOIuNWFXeOgRbaLgkvRV/mD8HvA==" saltValue="tKwj9lJeVR3xX399EVZnXQ==" spinCount="100000" sheet="1" objects="1" scenarios="1" selectLockedCells="1" selectUnlockedCells="1"/>
  <mergeCells count="40">
    <mergeCell ref="T63:U63"/>
    <mergeCell ref="T57:U57"/>
    <mergeCell ref="T58:U58"/>
    <mergeCell ref="T59:U59"/>
    <mergeCell ref="T60:U60"/>
    <mergeCell ref="T61:U61"/>
    <mergeCell ref="J46:K46"/>
    <mergeCell ref="A54:E54"/>
    <mergeCell ref="A55:E55"/>
    <mergeCell ref="R55:S55"/>
    <mergeCell ref="T62:U62"/>
    <mergeCell ref="T56:U56"/>
    <mergeCell ref="B4:H5"/>
    <mergeCell ref="I4:N5"/>
    <mergeCell ref="G43:H43"/>
    <mergeCell ref="D43:E43"/>
    <mergeCell ref="A43:B43"/>
    <mergeCell ref="A42:K42"/>
    <mergeCell ref="J43:K43"/>
    <mergeCell ref="O4:T5"/>
    <mergeCell ref="U4:AA5"/>
    <mergeCell ref="R43:U43"/>
    <mergeCell ref="AP4:AP5"/>
    <mergeCell ref="AQ4:AQ5"/>
    <mergeCell ref="AI4:AI5"/>
    <mergeCell ref="AB4:AB5"/>
    <mergeCell ref="AC4:AC5"/>
    <mergeCell ref="AF4:AF5"/>
    <mergeCell ref="AG4:AG5"/>
    <mergeCell ref="AH4:AH5"/>
    <mergeCell ref="AD4:AD5"/>
    <mergeCell ref="AE4:AE5"/>
    <mergeCell ref="AR4:AR5"/>
    <mergeCell ref="AS4:AS5"/>
    <mergeCell ref="AJ4:AJ5"/>
    <mergeCell ref="AK4:AK5"/>
    <mergeCell ref="AL4:AL5"/>
    <mergeCell ref="AM4:AM5"/>
    <mergeCell ref="AN4:AN5"/>
    <mergeCell ref="AO4:AO5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C70"/>
  <sheetViews>
    <sheetView topLeftCell="B37" zoomScale="80" zoomScaleNormal="80" workbookViewId="0">
      <selection activeCell="A37" sqref="A37:XFD37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60" t="s">
        <v>206</v>
      </c>
    </row>
    <row r="4" spans="1:55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</row>
    <row r="5" spans="1:55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>
        <v>43405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171.77181359926854</v>
      </c>
      <c r="J8" s="50">
        <v>457.92233956654798</v>
      </c>
      <c r="K8" s="50">
        <v>25.082895725965479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313.03166233698329</v>
      </c>
      <c r="V8" s="54">
        <v>0</v>
      </c>
      <c r="W8" s="54">
        <v>48.395665220419623</v>
      </c>
      <c r="X8" s="54">
        <v>0</v>
      </c>
      <c r="Y8" s="54">
        <v>170.29206988016753</v>
      </c>
      <c r="Z8" s="54">
        <v>0</v>
      </c>
      <c r="AA8" s="55">
        <v>0</v>
      </c>
      <c r="AB8" s="56">
        <v>51.727888496717036</v>
      </c>
      <c r="AC8" s="57">
        <v>0</v>
      </c>
      <c r="AD8" s="411">
        <v>12.324233927311955</v>
      </c>
      <c r="AE8" s="411">
        <v>0</v>
      </c>
      <c r="AF8" s="57">
        <v>11.824703983134706</v>
      </c>
      <c r="AG8" s="58">
        <v>11.607157234889225</v>
      </c>
      <c r="AH8" s="58">
        <v>0</v>
      </c>
      <c r="AI8" s="58">
        <v>1</v>
      </c>
      <c r="AJ8" s="57">
        <v>217.29869855244957</v>
      </c>
      <c r="AK8" s="57">
        <v>395.87914021809894</v>
      </c>
      <c r="AL8" s="57">
        <v>915.98091169993074</v>
      </c>
      <c r="AM8" s="57">
        <v>495.93649291992188</v>
      </c>
      <c r="AN8" s="57">
        <v>1072.820068359375</v>
      </c>
      <c r="AO8" s="57">
        <v>1804.4979958852132</v>
      </c>
      <c r="AP8" s="57">
        <v>463.80444226264962</v>
      </c>
      <c r="AQ8" s="57">
        <v>1733.9699791590374</v>
      </c>
      <c r="AR8" s="57">
        <v>362.4226745446523</v>
      </c>
      <c r="AS8" s="57">
        <v>576.01092303593953</v>
      </c>
    </row>
    <row r="9" spans="1:55" x14ac:dyDescent="0.25">
      <c r="A9" s="11">
        <v>43406</v>
      </c>
      <c r="B9" s="59"/>
      <c r="C9" s="60">
        <v>0</v>
      </c>
      <c r="D9" s="60">
        <v>0</v>
      </c>
      <c r="E9" s="50">
        <v>0</v>
      </c>
      <c r="F9" s="60">
        <v>0</v>
      </c>
      <c r="G9" s="60">
        <v>0</v>
      </c>
      <c r="H9" s="61">
        <v>0</v>
      </c>
      <c r="I9" s="59">
        <v>180.24533412456489</v>
      </c>
      <c r="J9" s="60">
        <v>480.7940613110847</v>
      </c>
      <c r="K9" s="60">
        <v>26.345626750588359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324.49607759052003</v>
      </c>
      <c r="V9" s="62">
        <v>0</v>
      </c>
      <c r="W9" s="62">
        <v>48.728992986679081</v>
      </c>
      <c r="X9" s="62">
        <v>0</v>
      </c>
      <c r="Y9" s="66">
        <v>172.83998978932701</v>
      </c>
      <c r="Z9" s="66">
        <v>0</v>
      </c>
      <c r="AA9" s="67">
        <v>0</v>
      </c>
      <c r="AB9" s="68">
        <v>53.989605893028561</v>
      </c>
      <c r="AC9" s="69">
        <v>0</v>
      </c>
      <c r="AD9" s="412">
        <v>12.941012430771693</v>
      </c>
      <c r="AE9" s="412">
        <v>0</v>
      </c>
      <c r="AF9" s="69">
        <v>12.080934177173535</v>
      </c>
      <c r="AG9" s="68">
        <v>11.873314159622982</v>
      </c>
      <c r="AH9" s="68">
        <v>0</v>
      </c>
      <c r="AI9" s="68">
        <v>1</v>
      </c>
      <c r="AJ9" s="69">
        <v>209.71114762624109</v>
      </c>
      <c r="AK9" s="69">
        <v>388.36899350484208</v>
      </c>
      <c r="AL9" s="69">
        <v>967.4020289103189</v>
      </c>
      <c r="AM9" s="69">
        <v>495.93649291992188</v>
      </c>
      <c r="AN9" s="69">
        <v>1072.820068359375</v>
      </c>
      <c r="AO9" s="69">
        <v>1796.5296480178836</v>
      </c>
      <c r="AP9" s="69">
        <v>444.75305201212564</v>
      </c>
      <c r="AQ9" s="69">
        <v>1770.5533662796024</v>
      </c>
      <c r="AR9" s="69">
        <v>343.37307896614072</v>
      </c>
      <c r="AS9" s="69">
        <v>581.79982255299876</v>
      </c>
    </row>
    <row r="10" spans="1:55" x14ac:dyDescent="0.25">
      <c r="A10" s="11">
        <v>43407</v>
      </c>
      <c r="B10" s="59"/>
      <c r="C10" s="60">
        <v>0</v>
      </c>
      <c r="D10" s="60">
        <v>0</v>
      </c>
      <c r="E10" s="50">
        <v>0</v>
      </c>
      <c r="F10" s="60">
        <v>0</v>
      </c>
      <c r="G10" s="60">
        <v>0</v>
      </c>
      <c r="H10" s="61">
        <v>0</v>
      </c>
      <c r="I10" s="59">
        <v>170.74170427322377</v>
      </c>
      <c r="J10" s="60">
        <v>455.17209828694558</v>
      </c>
      <c r="K10" s="60">
        <v>24.920674462119713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333.76641328600056</v>
      </c>
      <c r="V10" s="62">
        <v>0</v>
      </c>
      <c r="W10" s="62">
        <v>49.757912119229708</v>
      </c>
      <c r="X10" s="62">
        <v>0</v>
      </c>
      <c r="Y10" s="66">
        <v>168.43835576375318</v>
      </c>
      <c r="Z10" s="66">
        <v>0</v>
      </c>
      <c r="AA10" s="67">
        <v>0</v>
      </c>
      <c r="AB10" s="68">
        <v>51.086087179183679</v>
      </c>
      <c r="AC10" s="69">
        <v>0</v>
      </c>
      <c r="AD10" s="412">
        <v>12.251782630841832</v>
      </c>
      <c r="AE10" s="412">
        <v>0</v>
      </c>
      <c r="AF10" s="69">
        <v>11.813070654206818</v>
      </c>
      <c r="AG10" s="68">
        <v>11.682298292732288</v>
      </c>
      <c r="AH10" s="68">
        <v>0</v>
      </c>
      <c r="AI10" s="68">
        <v>1</v>
      </c>
      <c r="AJ10" s="69">
        <v>213.68273536364242</v>
      </c>
      <c r="AK10" s="69">
        <v>394.07858344713844</v>
      </c>
      <c r="AL10" s="69">
        <v>828.8741440455118</v>
      </c>
      <c r="AM10" s="69">
        <v>495.46897757848103</v>
      </c>
      <c r="AN10" s="69">
        <v>1072.820068359375</v>
      </c>
      <c r="AO10" s="69">
        <v>1728.638224919637</v>
      </c>
      <c r="AP10" s="69">
        <v>452.12653792699177</v>
      </c>
      <c r="AQ10" s="69">
        <v>1698.6561275482177</v>
      </c>
      <c r="AR10" s="69">
        <v>342.80190987586974</v>
      </c>
      <c r="AS10" s="69">
        <v>526.54410597483309</v>
      </c>
    </row>
    <row r="11" spans="1:55" x14ac:dyDescent="0.25">
      <c r="A11" s="11">
        <v>43408</v>
      </c>
      <c r="B11" s="59"/>
      <c r="C11" s="60">
        <v>40.037471069892256</v>
      </c>
      <c r="D11" s="60">
        <v>0</v>
      </c>
      <c r="E11" s="50">
        <v>0</v>
      </c>
      <c r="F11" s="60">
        <v>0</v>
      </c>
      <c r="G11" s="60">
        <v>0</v>
      </c>
      <c r="H11" s="61">
        <v>0</v>
      </c>
      <c r="I11" s="59">
        <v>165.54295876820899</v>
      </c>
      <c r="J11" s="60">
        <v>454.98645153045561</v>
      </c>
      <c r="K11" s="60">
        <v>24.898330054183823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319.74982780880191</v>
      </c>
      <c r="V11" s="62">
        <v>0</v>
      </c>
      <c r="W11" s="62">
        <v>49.021564320723108</v>
      </c>
      <c r="X11" s="62">
        <v>0</v>
      </c>
      <c r="Y11" s="66">
        <v>164.02816655635846</v>
      </c>
      <c r="Z11" s="66">
        <v>0</v>
      </c>
      <c r="AA11" s="67">
        <v>0</v>
      </c>
      <c r="AB11" s="68">
        <v>51.085232708188983</v>
      </c>
      <c r="AC11" s="69">
        <v>0</v>
      </c>
      <c r="AD11" s="412">
        <v>12.245640955108261</v>
      </c>
      <c r="AE11" s="412">
        <v>0</v>
      </c>
      <c r="AF11" s="69">
        <v>11.787199640274027</v>
      </c>
      <c r="AG11" s="68">
        <v>11.64995736404847</v>
      </c>
      <c r="AH11" s="68">
        <v>0</v>
      </c>
      <c r="AI11" s="68">
        <v>1</v>
      </c>
      <c r="AJ11" s="69">
        <v>217.91373995145165</v>
      </c>
      <c r="AK11" s="69">
        <v>397.62172462145486</v>
      </c>
      <c r="AL11" s="69">
        <v>876.53885358174637</v>
      </c>
      <c r="AM11" s="69">
        <v>493.50608825683594</v>
      </c>
      <c r="AN11" s="69">
        <v>1072.820068359375</v>
      </c>
      <c r="AO11" s="69">
        <v>1728.0510930379237</v>
      </c>
      <c r="AP11" s="69">
        <v>473.44787068367009</v>
      </c>
      <c r="AQ11" s="69">
        <v>1727.8623041152953</v>
      </c>
      <c r="AR11" s="69">
        <v>349.40868202845257</v>
      </c>
      <c r="AS11" s="69">
        <v>557.42424551645922</v>
      </c>
    </row>
    <row r="12" spans="1:55" x14ac:dyDescent="0.25">
      <c r="A12" s="11">
        <v>43409</v>
      </c>
      <c r="B12" s="59"/>
      <c r="C12" s="60">
        <v>0</v>
      </c>
      <c r="D12" s="60">
        <v>0</v>
      </c>
      <c r="E12" s="50">
        <v>0</v>
      </c>
      <c r="F12" s="60">
        <v>0</v>
      </c>
      <c r="G12" s="60">
        <v>0</v>
      </c>
      <c r="H12" s="61">
        <v>0</v>
      </c>
      <c r="I12" s="59">
        <v>162.76284412542975</v>
      </c>
      <c r="J12" s="60">
        <v>455.21700077056835</v>
      </c>
      <c r="K12" s="60">
        <v>24.885704286396461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317.13329005770714</v>
      </c>
      <c r="V12" s="62">
        <v>0</v>
      </c>
      <c r="W12" s="62">
        <v>48.479532396793203</v>
      </c>
      <c r="X12" s="62">
        <v>0</v>
      </c>
      <c r="Y12" s="66">
        <v>174.3542121807736</v>
      </c>
      <c r="Z12" s="66">
        <v>0</v>
      </c>
      <c r="AA12" s="67">
        <v>0</v>
      </c>
      <c r="AB12" s="68">
        <v>51.083917554219575</v>
      </c>
      <c r="AC12" s="69">
        <v>0</v>
      </c>
      <c r="AD12" s="412">
        <v>12.252314636023536</v>
      </c>
      <c r="AE12" s="412">
        <v>0</v>
      </c>
      <c r="AF12" s="69">
        <v>11.749895556767779</v>
      </c>
      <c r="AG12" s="68">
        <v>11.661482934669728</v>
      </c>
      <c r="AH12" s="68">
        <v>0</v>
      </c>
      <c r="AI12" s="68">
        <v>1</v>
      </c>
      <c r="AJ12" s="69">
        <v>214.78477919896443</v>
      </c>
      <c r="AK12" s="69">
        <v>391.2970310529073</v>
      </c>
      <c r="AL12" s="69">
        <v>881.78838971455889</v>
      </c>
      <c r="AM12" s="69">
        <v>493.50608825683594</v>
      </c>
      <c r="AN12" s="69">
        <v>1072.820068359375</v>
      </c>
      <c r="AO12" s="69">
        <v>1780.604804611206</v>
      </c>
      <c r="AP12" s="69">
        <v>461.6497620900472</v>
      </c>
      <c r="AQ12" s="69">
        <v>1721.5704271316529</v>
      </c>
      <c r="AR12" s="69">
        <v>355.28259051640828</v>
      </c>
      <c r="AS12" s="69">
        <v>557.78878383636481</v>
      </c>
    </row>
    <row r="13" spans="1:55" x14ac:dyDescent="0.25">
      <c r="A13" s="11">
        <v>43410</v>
      </c>
      <c r="B13" s="59"/>
      <c r="C13" s="60">
        <v>0</v>
      </c>
      <c r="D13" s="60">
        <v>0</v>
      </c>
      <c r="E13" s="50">
        <v>0</v>
      </c>
      <c r="F13" s="60">
        <v>0</v>
      </c>
      <c r="G13" s="60">
        <v>0</v>
      </c>
      <c r="H13" s="61">
        <v>0</v>
      </c>
      <c r="I13" s="59">
        <v>157.18450053532919</v>
      </c>
      <c r="J13" s="60">
        <v>454.46529696782386</v>
      </c>
      <c r="K13" s="60">
        <v>24.837153110404785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309.56288097169607</v>
      </c>
      <c r="V13" s="62">
        <v>0</v>
      </c>
      <c r="W13" s="62">
        <v>47.280199476083141</v>
      </c>
      <c r="X13" s="62">
        <v>0</v>
      </c>
      <c r="Y13" s="66">
        <v>175.3300189336141</v>
      </c>
      <c r="Z13" s="66">
        <v>0</v>
      </c>
      <c r="AA13" s="67">
        <v>0</v>
      </c>
      <c r="AB13" s="68">
        <v>51.082290371258871</v>
      </c>
      <c r="AC13" s="69">
        <v>0</v>
      </c>
      <c r="AD13" s="412">
        <v>12.231693406674349</v>
      </c>
      <c r="AE13" s="412">
        <v>1.7206052050965652</v>
      </c>
      <c r="AF13" s="69">
        <v>11.588251366880231</v>
      </c>
      <c r="AG13" s="68">
        <v>11.423375858718957</v>
      </c>
      <c r="AH13" s="68">
        <v>0</v>
      </c>
      <c r="AI13" s="68">
        <v>1</v>
      </c>
      <c r="AJ13" s="69">
        <v>221.64069062868751</v>
      </c>
      <c r="AK13" s="69">
        <v>412.21335837046303</v>
      </c>
      <c r="AL13" s="69">
        <v>1902.5311045328776</v>
      </c>
      <c r="AM13" s="69">
        <v>493.50608825683594</v>
      </c>
      <c r="AN13" s="69">
        <v>1072.820068359375</v>
      </c>
      <c r="AO13" s="69">
        <v>1862.9044181823731</v>
      </c>
      <c r="AP13" s="69">
        <v>475.1540109316507</v>
      </c>
      <c r="AQ13" s="69">
        <v>1753.5155073801675</v>
      </c>
      <c r="AR13" s="69">
        <v>412.24228205680851</v>
      </c>
      <c r="AS13" s="69">
        <v>608.06089394887283</v>
      </c>
    </row>
    <row r="14" spans="1:55" x14ac:dyDescent="0.25">
      <c r="A14" s="11">
        <v>43411</v>
      </c>
      <c r="B14" s="59"/>
      <c r="C14" s="60">
        <v>35.132788922389317</v>
      </c>
      <c r="D14" s="60">
        <v>412.59489807287883</v>
      </c>
      <c r="E14" s="50">
        <v>14.004943732420617</v>
      </c>
      <c r="F14" s="60">
        <v>0</v>
      </c>
      <c r="G14" s="60">
        <v>3269.5477287292465</v>
      </c>
      <c r="H14" s="61">
        <v>0</v>
      </c>
      <c r="I14" s="59">
        <v>150.87097690105449</v>
      </c>
      <c r="J14" s="60">
        <v>455.165506617228</v>
      </c>
      <c r="K14" s="60">
        <v>24.981158272425326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326.55969681209831</v>
      </c>
      <c r="V14" s="62">
        <v>0</v>
      </c>
      <c r="W14" s="62">
        <v>50.808442477385256</v>
      </c>
      <c r="X14" s="62">
        <v>0</v>
      </c>
      <c r="Y14" s="66">
        <v>172.64072761535647</v>
      </c>
      <c r="Z14" s="66">
        <v>0</v>
      </c>
      <c r="AA14" s="67">
        <v>0</v>
      </c>
      <c r="AB14" s="68">
        <v>67.369411124123232</v>
      </c>
      <c r="AC14" s="69">
        <v>0</v>
      </c>
      <c r="AD14" s="412">
        <v>12.260986295392856</v>
      </c>
      <c r="AE14" s="412">
        <v>4.0844241322373183</v>
      </c>
      <c r="AF14" s="69">
        <v>12.154997086524974</v>
      </c>
      <c r="AG14" s="68">
        <v>12.000801153248355</v>
      </c>
      <c r="AH14" s="68">
        <v>0</v>
      </c>
      <c r="AI14" s="68">
        <v>1</v>
      </c>
      <c r="AJ14" s="69">
        <v>241.59181922276821</v>
      </c>
      <c r="AK14" s="69">
        <v>819.63261985778797</v>
      </c>
      <c r="AL14" s="69">
        <v>2757.6083782196047</v>
      </c>
      <c r="AM14" s="69">
        <v>493.50608825683594</v>
      </c>
      <c r="AN14" s="69">
        <v>1072.820068359375</v>
      </c>
      <c r="AO14" s="69">
        <v>1980.4933441162111</v>
      </c>
      <c r="AP14" s="69">
        <v>511.40315060615541</v>
      </c>
      <c r="AQ14" s="69">
        <v>1748.2350940704346</v>
      </c>
      <c r="AR14" s="69">
        <v>428.4353872140249</v>
      </c>
      <c r="AS14" s="69">
        <v>594.24226287206011</v>
      </c>
    </row>
    <row r="15" spans="1:55" x14ac:dyDescent="0.25">
      <c r="A15" s="11">
        <v>43412</v>
      </c>
      <c r="B15" s="59"/>
      <c r="C15" s="60">
        <v>70.157346145311877</v>
      </c>
      <c r="D15" s="60">
        <v>663.94174153010044</v>
      </c>
      <c r="E15" s="50">
        <v>27.444395289321697</v>
      </c>
      <c r="F15" s="60">
        <v>0</v>
      </c>
      <c r="G15" s="60">
        <v>1872.0203422546399</v>
      </c>
      <c r="H15" s="61">
        <v>22.746598193049426</v>
      </c>
      <c r="I15" s="59">
        <v>120.78686559200293</v>
      </c>
      <c r="J15" s="60">
        <v>379.50442090034477</v>
      </c>
      <c r="K15" s="60">
        <v>20.603552361826093</v>
      </c>
      <c r="L15" s="50">
        <v>1.6646325588226464E-2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276.82049768956813</v>
      </c>
      <c r="V15" s="62">
        <v>83.454685786775926</v>
      </c>
      <c r="W15" s="62">
        <v>39.302578696809363</v>
      </c>
      <c r="X15" s="62">
        <v>11.848777034677887</v>
      </c>
      <c r="Y15" s="66">
        <v>128.54318193451573</v>
      </c>
      <c r="Z15" s="66">
        <v>38.752660832246029</v>
      </c>
      <c r="AA15" s="67">
        <v>0</v>
      </c>
      <c r="AB15" s="68">
        <v>73.280954482819624</v>
      </c>
      <c r="AC15" s="69">
        <v>0</v>
      </c>
      <c r="AD15" s="412">
        <v>9.8256501586825227</v>
      </c>
      <c r="AE15" s="412">
        <v>7.9894954380772019</v>
      </c>
      <c r="AF15" s="69">
        <v>12.373440114657063</v>
      </c>
      <c r="AG15" s="68">
        <v>9.4809662957779839</v>
      </c>
      <c r="AH15" s="68">
        <v>2.8582820628278256</v>
      </c>
      <c r="AI15" s="68">
        <v>0.76835849479969631</v>
      </c>
      <c r="AJ15" s="69">
        <v>252.07171161969498</v>
      </c>
      <c r="AK15" s="69">
        <v>1065.1407832463581</v>
      </c>
      <c r="AL15" s="69">
        <v>2768.067942682902</v>
      </c>
      <c r="AM15" s="69">
        <v>493.50608825683594</v>
      </c>
      <c r="AN15" s="69">
        <v>1072.820068359375</v>
      </c>
      <c r="AO15" s="69">
        <v>2310.2057135264081</v>
      </c>
      <c r="AP15" s="69">
        <v>522.28897713025412</v>
      </c>
      <c r="AQ15" s="69">
        <v>1793.331565539042</v>
      </c>
      <c r="AR15" s="69">
        <v>487.69711669286085</v>
      </c>
      <c r="AS15" s="69">
        <v>579.40734866460173</v>
      </c>
    </row>
    <row r="16" spans="1:55" x14ac:dyDescent="0.25">
      <c r="A16" s="11">
        <v>43413</v>
      </c>
      <c r="B16" s="59"/>
      <c r="C16" s="60">
        <v>76.458924714724006</v>
      </c>
      <c r="D16" s="60">
        <v>750.20228891770068</v>
      </c>
      <c r="E16" s="50">
        <v>25.734078366557821</v>
      </c>
      <c r="F16" s="60">
        <v>0</v>
      </c>
      <c r="G16" s="60">
        <v>1267.8274318059277</v>
      </c>
      <c r="H16" s="61">
        <v>32.5561207036178</v>
      </c>
      <c r="I16" s="59">
        <v>89.558180034160614</v>
      </c>
      <c r="J16" s="60">
        <v>296.0741760571795</v>
      </c>
      <c r="K16" s="60">
        <v>16.019284489254176</v>
      </c>
      <c r="L16" s="50">
        <v>5.6648254394531249E-5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201.34513096554485</v>
      </c>
      <c r="V16" s="62">
        <v>172.58463865641068</v>
      </c>
      <c r="W16" s="62">
        <v>30.157110124850501</v>
      </c>
      <c r="X16" s="62">
        <v>25.84941552278983</v>
      </c>
      <c r="Y16" s="66">
        <v>68.943624826589129</v>
      </c>
      <c r="Z16" s="66">
        <v>59.095596309186014</v>
      </c>
      <c r="AA16" s="67">
        <v>0</v>
      </c>
      <c r="AB16" s="68">
        <v>60.078133090337587</v>
      </c>
      <c r="AC16" s="69">
        <v>0</v>
      </c>
      <c r="AD16" s="412">
        <v>7.2849534396440996</v>
      </c>
      <c r="AE16" s="412">
        <v>7.4975532115222032</v>
      </c>
      <c r="AF16" s="69">
        <v>12.756308290693509</v>
      </c>
      <c r="AG16" s="68">
        <v>6.7908822598815171</v>
      </c>
      <c r="AH16" s="68">
        <v>5.8208607049973295</v>
      </c>
      <c r="AI16" s="68">
        <v>0.53845707756594396</v>
      </c>
      <c r="AJ16" s="69">
        <v>258.12017682393389</v>
      </c>
      <c r="AK16" s="69">
        <v>1067.2062523523966</v>
      </c>
      <c r="AL16" s="69">
        <v>2725.5705701192219</v>
      </c>
      <c r="AM16" s="69">
        <v>493.50608825683594</v>
      </c>
      <c r="AN16" s="69">
        <v>1072.820068359375</v>
      </c>
      <c r="AO16" s="69">
        <v>2531.2628053029371</v>
      </c>
      <c r="AP16" s="69">
        <v>522.12995664278662</v>
      </c>
      <c r="AQ16" s="69">
        <v>1846.9116330464683</v>
      </c>
      <c r="AR16" s="69">
        <v>474.54117279052736</v>
      </c>
      <c r="AS16" s="69">
        <v>606.80349756876626</v>
      </c>
    </row>
    <row r="17" spans="1:45" x14ac:dyDescent="0.25">
      <c r="A17" s="11">
        <v>43414</v>
      </c>
      <c r="B17" s="49"/>
      <c r="C17" s="50">
        <v>76.075637296835581</v>
      </c>
      <c r="D17" s="50">
        <v>784.56496143341235</v>
      </c>
      <c r="E17" s="50">
        <v>21.376910134156592</v>
      </c>
      <c r="F17" s="50">
        <v>0</v>
      </c>
      <c r="G17" s="50">
        <v>1296.2851428985637</v>
      </c>
      <c r="H17" s="51">
        <v>26.842059777180381</v>
      </c>
      <c r="I17" s="49">
        <v>89.505696415901184</v>
      </c>
      <c r="J17" s="50">
        <v>296.09018397331226</v>
      </c>
      <c r="K17" s="50">
        <v>16.240561073025084</v>
      </c>
      <c r="L17" s="50">
        <v>1.8882751464843751E-5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190.30713020862061</v>
      </c>
      <c r="V17" s="66">
        <v>164.3166562726006</v>
      </c>
      <c r="W17" s="62">
        <v>28.980510591967057</v>
      </c>
      <c r="X17" s="62">
        <v>25.022607362763974</v>
      </c>
      <c r="Y17" s="66">
        <v>65.219551174664957</v>
      </c>
      <c r="Z17" s="66">
        <v>56.312438534871355</v>
      </c>
      <c r="AA17" s="67">
        <v>0</v>
      </c>
      <c r="AB17" s="68">
        <v>53.709985370106992</v>
      </c>
      <c r="AC17" s="69">
        <v>0</v>
      </c>
      <c r="AD17" s="412">
        <v>7.2860369458105705</v>
      </c>
      <c r="AE17" s="412">
        <v>6.1176789700002372</v>
      </c>
      <c r="AF17" s="69">
        <v>12.746202841401114</v>
      </c>
      <c r="AG17" s="68">
        <v>6.7539691447700978</v>
      </c>
      <c r="AH17" s="68">
        <v>5.8315714456959764</v>
      </c>
      <c r="AI17" s="68">
        <v>0.53664513623566013</v>
      </c>
      <c r="AJ17" s="69">
        <v>242.5280366420746</v>
      </c>
      <c r="AK17" s="69">
        <v>1048.5139359792072</v>
      </c>
      <c r="AL17" s="69">
        <v>2774.8391749064131</v>
      </c>
      <c r="AM17" s="69">
        <v>493.50608825683594</v>
      </c>
      <c r="AN17" s="69">
        <v>1072.820068359375</v>
      </c>
      <c r="AO17" s="69">
        <v>2463.2433648427332</v>
      </c>
      <c r="AP17" s="69">
        <v>495.86980234781902</v>
      </c>
      <c r="AQ17" s="69">
        <v>1836.0929263432822</v>
      </c>
      <c r="AR17" s="69">
        <v>379.90803182919825</v>
      </c>
      <c r="AS17" s="69">
        <v>559.17176806131999</v>
      </c>
    </row>
    <row r="18" spans="1:45" x14ac:dyDescent="0.25">
      <c r="A18" s="11">
        <v>43415</v>
      </c>
      <c r="B18" s="59"/>
      <c r="C18" s="60">
        <v>75.887191247939569</v>
      </c>
      <c r="D18" s="60">
        <v>803.73005040486782</v>
      </c>
      <c r="E18" s="50">
        <v>21.321841239929221</v>
      </c>
      <c r="F18" s="60">
        <v>0</v>
      </c>
      <c r="G18" s="60">
        <v>1320.5801493962592</v>
      </c>
      <c r="H18" s="61">
        <v>26.806780636310567</v>
      </c>
      <c r="I18" s="59">
        <v>92.301743213335669</v>
      </c>
      <c r="J18" s="60">
        <v>298.83652722040836</v>
      </c>
      <c r="K18" s="60">
        <v>16.29750110954047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194.95781533988693</v>
      </c>
      <c r="V18" s="62">
        <v>167.09813847006492</v>
      </c>
      <c r="W18" s="62">
        <v>30.886304980126809</v>
      </c>
      <c r="X18" s="62">
        <v>26.472619512073358</v>
      </c>
      <c r="Y18" s="66">
        <v>61.539339995671369</v>
      </c>
      <c r="Z18" s="66">
        <v>52.745303582857971</v>
      </c>
      <c r="AA18" s="67">
        <v>0</v>
      </c>
      <c r="AB18" s="68">
        <v>53.708988949988125</v>
      </c>
      <c r="AC18" s="69">
        <v>0</v>
      </c>
      <c r="AD18" s="412">
        <v>7.3540044751932658</v>
      </c>
      <c r="AE18" s="412">
        <v>6.1186751625436608</v>
      </c>
      <c r="AF18" s="69">
        <v>13.211668231752192</v>
      </c>
      <c r="AG18" s="68">
        <v>6.9995052455950608</v>
      </c>
      <c r="AH18" s="68">
        <v>5.9992685838796271</v>
      </c>
      <c r="AI18" s="68">
        <v>0.53847426975948298</v>
      </c>
      <c r="AJ18" s="69">
        <v>262.95880829493206</v>
      </c>
      <c r="AK18" s="69">
        <v>1074.1685708999637</v>
      </c>
      <c r="AL18" s="69">
        <v>2715.0106600443523</v>
      </c>
      <c r="AM18" s="69">
        <v>493.50608825683594</v>
      </c>
      <c r="AN18" s="69">
        <v>1072.820068359375</v>
      </c>
      <c r="AO18" s="69">
        <v>2495.713461430867</v>
      </c>
      <c r="AP18" s="69">
        <v>544.61535701751711</v>
      </c>
      <c r="AQ18" s="69">
        <v>1827.3010196685789</v>
      </c>
      <c r="AR18" s="69">
        <v>418.34297089576722</v>
      </c>
      <c r="AS18" s="69">
        <v>557.33622010548925</v>
      </c>
    </row>
    <row r="19" spans="1:45" x14ac:dyDescent="0.25">
      <c r="A19" s="11">
        <v>43416</v>
      </c>
      <c r="B19" s="59"/>
      <c r="C19" s="60">
        <v>75.576921947797416</v>
      </c>
      <c r="D19" s="60">
        <v>904.73843803405873</v>
      </c>
      <c r="E19" s="50">
        <v>21.279785165190695</v>
      </c>
      <c r="F19" s="60">
        <v>0</v>
      </c>
      <c r="G19" s="60">
        <v>1648.557481129973</v>
      </c>
      <c r="H19" s="61">
        <v>26.904234598080393</v>
      </c>
      <c r="I19" s="59">
        <v>99.051838755607392</v>
      </c>
      <c r="J19" s="60">
        <v>301.47106720606456</v>
      </c>
      <c r="K19" s="60">
        <v>16.439694777627793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186.09460857918452</v>
      </c>
      <c r="V19" s="62">
        <v>159.50727312621007</v>
      </c>
      <c r="W19" s="62">
        <v>27.555541082406037</v>
      </c>
      <c r="X19" s="62">
        <v>23.618681116716004</v>
      </c>
      <c r="Y19" s="66">
        <v>58.643010336946702</v>
      </c>
      <c r="Z19" s="66">
        <v>50.264683851807192</v>
      </c>
      <c r="AA19" s="67">
        <v>0</v>
      </c>
      <c r="AB19" s="68">
        <v>54.689614007208633</v>
      </c>
      <c r="AC19" s="69">
        <v>0</v>
      </c>
      <c r="AD19" s="412">
        <v>7.4155316205444164</v>
      </c>
      <c r="AE19" s="412">
        <v>6.1189304138276581</v>
      </c>
      <c r="AF19" s="69">
        <v>12.920520890090204</v>
      </c>
      <c r="AG19" s="68">
        <v>6.8354634763531674</v>
      </c>
      <c r="AH19" s="68">
        <v>5.8588808563089829</v>
      </c>
      <c r="AI19" s="68">
        <v>0.53846526431189778</v>
      </c>
      <c r="AJ19" s="69">
        <v>278.11280515988665</v>
      </c>
      <c r="AK19" s="69">
        <v>1085.0662928263348</v>
      </c>
      <c r="AL19" s="69">
        <v>2746.7554561614993</v>
      </c>
      <c r="AM19" s="69">
        <v>493.50608825683594</v>
      </c>
      <c r="AN19" s="69">
        <v>1072.820068359375</v>
      </c>
      <c r="AO19" s="69">
        <v>2520.3734221140544</v>
      </c>
      <c r="AP19" s="69">
        <v>577.97164231936142</v>
      </c>
      <c r="AQ19" s="69">
        <v>1839.7449817021691</v>
      </c>
      <c r="AR19" s="69">
        <v>429.05555629730225</v>
      </c>
      <c r="AS19" s="69">
        <v>589.9223217010499</v>
      </c>
    </row>
    <row r="20" spans="1:45" x14ac:dyDescent="0.25">
      <c r="A20" s="11">
        <v>43417</v>
      </c>
      <c r="B20" s="59"/>
      <c r="C20" s="60">
        <v>76.022133727868166</v>
      </c>
      <c r="D20" s="60">
        <v>945.63124535878512</v>
      </c>
      <c r="E20" s="50">
        <v>21.344804576039355</v>
      </c>
      <c r="F20" s="60">
        <v>0</v>
      </c>
      <c r="G20" s="60">
        <v>1654.0010288238532</v>
      </c>
      <c r="H20" s="61">
        <v>26.860751177867268</v>
      </c>
      <c r="I20" s="59">
        <v>102.31565471490229</v>
      </c>
      <c r="J20" s="60">
        <v>298.7507029851277</v>
      </c>
      <c r="K20" s="60">
        <v>16.138682795067631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185.70205147021684</v>
      </c>
      <c r="V20" s="62">
        <v>159.16041360410921</v>
      </c>
      <c r="W20" s="62">
        <v>27.454181815829081</v>
      </c>
      <c r="X20" s="62">
        <v>23.530267427716467</v>
      </c>
      <c r="Y20" s="66">
        <v>56.770666762337399</v>
      </c>
      <c r="Z20" s="66">
        <v>48.656666584665189</v>
      </c>
      <c r="AA20" s="67">
        <v>0</v>
      </c>
      <c r="AB20" s="68">
        <v>55.013608018557491</v>
      </c>
      <c r="AC20" s="69">
        <v>0</v>
      </c>
      <c r="AD20" s="412">
        <v>7.3498939963169594</v>
      </c>
      <c r="AE20" s="412">
        <v>6.1291716673567738</v>
      </c>
      <c r="AF20" s="69">
        <v>12.878852425681226</v>
      </c>
      <c r="AG20" s="68">
        <v>6.8349988824618588</v>
      </c>
      <c r="AH20" s="68">
        <v>5.8581003306294983</v>
      </c>
      <c r="AI20" s="68">
        <v>0.53848148255332351</v>
      </c>
      <c r="AJ20" s="69">
        <v>259.3644362131754</v>
      </c>
      <c r="AK20" s="69">
        <v>1060.6495977401732</v>
      </c>
      <c r="AL20" s="69">
        <v>2839.9362119038897</v>
      </c>
      <c r="AM20" s="69">
        <v>493.50608825683594</v>
      </c>
      <c r="AN20" s="69">
        <v>1072.820068359375</v>
      </c>
      <c r="AO20" s="69">
        <v>2539.2068795522055</v>
      </c>
      <c r="AP20" s="69">
        <v>534.11221590042123</v>
      </c>
      <c r="AQ20" s="69">
        <v>1846.8855449040732</v>
      </c>
      <c r="AR20" s="69">
        <v>406.97319342295333</v>
      </c>
      <c r="AS20" s="69">
        <v>599.45514917373657</v>
      </c>
    </row>
    <row r="21" spans="1:45" x14ac:dyDescent="0.25">
      <c r="A21" s="11">
        <v>43418</v>
      </c>
      <c r="B21" s="59"/>
      <c r="C21" s="60">
        <v>75.880836228529716</v>
      </c>
      <c r="D21" s="60">
        <v>982.65439503987602</v>
      </c>
      <c r="E21" s="50">
        <v>21.292414458096012</v>
      </c>
      <c r="F21" s="60">
        <v>0</v>
      </c>
      <c r="G21" s="60">
        <v>1822.7632203420058</v>
      </c>
      <c r="H21" s="61">
        <v>26.833391735951199</v>
      </c>
      <c r="I21" s="59">
        <v>109.53930265108701</v>
      </c>
      <c r="J21" s="60">
        <v>298.66860192616753</v>
      </c>
      <c r="K21" s="60">
        <v>16.158462310830778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191.4274064224702</v>
      </c>
      <c r="V21" s="62">
        <v>160.19077201931947</v>
      </c>
      <c r="W21" s="62">
        <v>26.905630583259132</v>
      </c>
      <c r="X21" s="62">
        <v>22.515238624123008</v>
      </c>
      <c r="Y21" s="66">
        <v>58.673446200123472</v>
      </c>
      <c r="Z21" s="66">
        <v>49.099263368218082</v>
      </c>
      <c r="AA21" s="67">
        <v>0</v>
      </c>
      <c r="AB21" s="68">
        <v>55.018935759862316</v>
      </c>
      <c r="AC21" s="69">
        <v>0</v>
      </c>
      <c r="AD21" s="412">
        <v>7.3504079496406565</v>
      </c>
      <c r="AE21" s="412">
        <v>6.1252122213789351</v>
      </c>
      <c r="AF21" s="69">
        <v>13.09010750121541</v>
      </c>
      <c r="AG21" s="68">
        <v>6.9999914955194349</v>
      </c>
      <c r="AH21" s="68">
        <v>5.8577507931189539</v>
      </c>
      <c r="AI21" s="68">
        <v>0.54441840086536075</v>
      </c>
      <c r="AJ21" s="69">
        <v>232.04818571408589</v>
      </c>
      <c r="AK21" s="69">
        <v>1028.4849026362099</v>
      </c>
      <c r="AL21" s="69">
        <v>2805.776226425171</v>
      </c>
      <c r="AM21" s="69">
        <v>493.50608825683594</v>
      </c>
      <c r="AN21" s="69">
        <v>1072.820068359375</v>
      </c>
      <c r="AO21" s="69">
        <v>2454.3339576721191</v>
      </c>
      <c r="AP21" s="69">
        <v>492.49499923388152</v>
      </c>
      <c r="AQ21" s="69">
        <v>1808.6724094390868</v>
      </c>
      <c r="AR21" s="69">
        <v>377.10929187138879</v>
      </c>
      <c r="AS21" s="69">
        <v>587.9157049814861</v>
      </c>
    </row>
    <row r="22" spans="1:45" x14ac:dyDescent="0.25">
      <c r="A22" s="11">
        <v>43419</v>
      </c>
      <c r="B22" s="59"/>
      <c r="C22" s="60">
        <v>75.956212290127894</v>
      </c>
      <c r="D22" s="60">
        <v>985.81646334330287</v>
      </c>
      <c r="E22" s="50">
        <v>21.313997274637249</v>
      </c>
      <c r="F22" s="60">
        <v>0</v>
      </c>
      <c r="G22" s="60">
        <v>1839.5947085062714</v>
      </c>
      <c r="H22" s="61">
        <v>28.763589112957341</v>
      </c>
      <c r="I22" s="59">
        <v>109.77096750736244</v>
      </c>
      <c r="J22" s="60">
        <v>298.8122562885286</v>
      </c>
      <c r="K22" s="60">
        <v>16.407919031878315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192.34389494689242</v>
      </c>
      <c r="V22" s="62">
        <v>164.84712400537029</v>
      </c>
      <c r="W22" s="62">
        <v>26.288966744628947</v>
      </c>
      <c r="X22" s="62">
        <v>22.530793411048787</v>
      </c>
      <c r="Y22" s="66">
        <v>59.39769588385559</v>
      </c>
      <c r="Z22" s="66">
        <v>50.906421239430202</v>
      </c>
      <c r="AA22" s="67">
        <v>0</v>
      </c>
      <c r="AB22" s="68">
        <v>55.021016589800169</v>
      </c>
      <c r="AC22" s="69">
        <v>0</v>
      </c>
      <c r="AD22" s="412">
        <v>7.3525271305456545</v>
      </c>
      <c r="AE22" s="412">
        <v>6.1259275006850586</v>
      </c>
      <c r="AF22" s="69">
        <v>13.097374765740495</v>
      </c>
      <c r="AG22" s="68">
        <v>6.9382638181179566</v>
      </c>
      <c r="AH22" s="68">
        <v>5.9463953161760772</v>
      </c>
      <c r="AI22" s="68">
        <v>0.53849028878466421</v>
      </c>
      <c r="AJ22" s="69">
        <v>222.23851261138915</v>
      </c>
      <c r="AK22" s="69">
        <v>1021.9819684346517</v>
      </c>
      <c r="AL22" s="69">
        <v>2783.8986279805504</v>
      </c>
      <c r="AM22" s="69">
        <v>493.50608825683594</v>
      </c>
      <c r="AN22" s="69">
        <v>1072.820068359375</v>
      </c>
      <c r="AO22" s="69">
        <v>2399.0059268951418</v>
      </c>
      <c r="AP22" s="69">
        <v>468.39861106872547</v>
      </c>
      <c r="AQ22" s="69">
        <v>1789.4999359130857</v>
      </c>
      <c r="AR22" s="69">
        <v>358.41096458435049</v>
      </c>
      <c r="AS22" s="69">
        <v>623.79454704920443</v>
      </c>
    </row>
    <row r="23" spans="1:45" x14ac:dyDescent="0.25">
      <c r="A23" s="11">
        <v>43420</v>
      </c>
      <c r="B23" s="59"/>
      <c r="C23" s="60">
        <v>75.520426348845234</v>
      </c>
      <c r="D23" s="60">
        <v>984.81941897074444</v>
      </c>
      <c r="E23" s="50">
        <v>21.141117352743905</v>
      </c>
      <c r="F23" s="60">
        <v>0</v>
      </c>
      <c r="G23" s="60">
        <v>1856.4120534261112</v>
      </c>
      <c r="H23" s="61">
        <v>26.801982676982931</v>
      </c>
      <c r="I23" s="59">
        <v>109.57710247039776</v>
      </c>
      <c r="J23" s="60">
        <v>298.95603953997318</v>
      </c>
      <c r="K23" s="60">
        <v>16.277833744883544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179.89162498818217</v>
      </c>
      <c r="V23" s="62">
        <v>154.18039492792684</v>
      </c>
      <c r="W23" s="62">
        <v>24.314933828752189</v>
      </c>
      <c r="X23" s="62">
        <v>20.839692234753564</v>
      </c>
      <c r="Y23" s="66">
        <v>57.342376474500369</v>
      </c>
      <c r="Z23" s="66">
        <v>49.146647330164114</v>
      </c>
      <c r="AA23" s="67">
        <v>0</v>
      </c>
      <c r="AB23" s="68">
        <v>55.025632015864034</v>
      </c>
      <c r="AC23" s="69">
        <v>0</v>
      </c>
      <c r="AD23" s="412">
        <v>7.3568135489552606</v>
      </c>
      <c r="AE23" s="412">
        <v>6.1207344113619087</v>
      </c>
      <c r="AF23" s="69">
        <v>12.523133779234362</v>
      </c>
      <c r="AG23" s="68">
        <v>6.6268185663539478</v>
      </c>
      <c r="AH23" s="68">
        <v>5.6796724346855552</v>
      </c>
      <c r="AI23" s="68">
        <v>0.53848156763728949</v>
      </c>
      <c r="AJ23" s="69">
        <v>230.55262516339624</v>
      </c>
      <c r="AK23" s="69">
        <v>1029.4737241109212</v>
      </c>
      <c r="AL23" s="69">
        <v>2852.342068481445</v>
      </c>
      <c r="AM23" s="69">
        <v>493.50608825683594</v>
      </c>
      <c r="AN23" s="69">
        <v>1072.820068359375</v>
      </c>
      <c r="AO23" s="69">
        <v>2384.4346124013268</v>
      </c>
      <c r="AP23" s="69">
        <v>488.8400650819143</v>
      </c>
      <c r="AQ23" s="69">
        <v>1812.0724463780718</v>
      </c>
      <c r="AR23" s="69">
        <v>376.16907879511518</v>
      </c>
      <c r="AS23" s="69">
        <v>642.62484715779624</v>
      </c>
    </row>
    <row r="24" spans="1:45" x14ac:dyDescent="0.25">
      <c r="A24" s="11">
        <v>43421</v>
      </c>
      <c r="B24" s="59"/>
      <c r="C24" s="60">
        <v>75.37095630168804</v>
      </c>
      <c r="D24" s="60">
        <v>985.96658401489276</v>
      </c>
      <c r="E24" s="50">
        <v>21.01126249680917</v>
      </c>
      <c r="F24" s="60">
        <v>0</v>
      </c>
      <c r="G24" s="60">
        <v>1865.3722634633391</v>
      </c>
      <c r="H24" s="61">
        <v>26.85932410955429</v>
      </c>
      <c r="I24" s="59">
        <v>109.4408082246778</v>
      </c>
      <c r="J24" s="60">
        <v>298.92770404815678</v>
      </c>
      <c r="K24" s="60">
        <v>16.243011687695983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188.36816283365951</v>
      </c>
      <c r="V24" s="62">
        <v>161.47877975006534</v>
      </c>
      <c r="W24" s="62">
        <v>27.402125776262004</v>
      </c>
      <c r="X24" s="62">
        <v>23.490497366139422</v>
      </c>
      <c r="Y24" s="66">
        <v>59.563127156790671</v>
      </c>
      <c r="Z24" s="66">
        <v>51.060545193456988</v>
      </c>
      <c r="AA24" s="67">
        <v>0</v>
      </c>
      <c r="AB24" s="68">
        <v>54.469804814127038</v>
      </c>
      <c r="AC24" s="69">
        <v>0</v>
      </c>
      <c r="AD24" s="412">
        <v>7.3517744427760565</v>
      </c>
      <c r="AE24" s="412">
        <v>6.1276110833686568</v>
      </c>
      <c r="AF24" s="69">
        <v>13.034740828805509</v>
      </c>
      <c r="AG24" s="68">
        <v>6.9263065124027472</v>
      </c>
      <c r="AH24" s="68">
        <v>5.9375825881223179</v>
      </c>
      <c r="AI24" s="68">
        <v>0.53843021020136406</v>
      </c>
      <c r="AJ24" s="69">
        <v>266.39972149531053</v>
      </c>
      <c r="AK24" s="69">
        <v>1068.7545851389566</v>
      </c>
      <c r="AL24" s="69">
        <v>2790.2989364624027</v>
      </c>
      <c r="AM24" s="69">
        <v>493.50608825683594</v>
      </c>
      <c r="AN24" s="69">
        <v>1072.820068359375</v>
      </c>
      <c r="AO24" s="69">
        <v>2442.8665049235024</v>
      </c>
      <c r="AP24" s="69">
        <v>581.36689631144202</v>
      </c>
      <c r="AQ24" s="69">
        <v>1823.8925060908</v>
      </c>
      <c r="AR24" s="69">
        <v>416.59055123329176</v>
      </c>
      <c r="AS24" s="69">
        <v>569.5232171694438</v>
      </c>
    </row>
    <row r="25" spans="1:45" x14ac:dyDescent="0.25">
      <c r="A25" s="11">
        <v>43422</v>
      </c>
      <c r="B25" s="59"/>
      <c r="C25" s="60">
        <v>75.375467133522193</v>
      </c>
      <c r="D25" s="60">
        <v>986.1334808985398</v>
      </c>
      <c r="E25" s="50">
        <v>21.386694813271411</v>
      </c>
      <c r="F25" s="60">
        <v>0</v>
      </c>
      <c r="G25" s="60">
        <v>1885.6568505605057</v>
      </c>
      <c r="H25" s="61">
        <v>26.938175151745511</v>
      </c>
      <c r="I25" s="59">
        <v>109.15161791642501</v>
      </c>
      <c r="J25" s="60">
        <v>298.37140676180536</v>
      </c>
      <c r="K25" s="60">
        <v>16.332670860985914</v>
      </c>
      <c r="L25" s="50">
        <v>9.4413757324218753E-6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184.30487800299551</v>
      </c>
      <c r="V25" s="62">
        <v>157.97076209260763</v>
      </c>
      <c r="W25" s="62">
        <v>27.288740425820038</v>
      </c>
      <c r="X25" s="62">
        <v>23.389631182437164</v>
      </c>
      <c r="Y25" s="66">
        <v>55.961661299280081</v>
      </c>
      <c r="Z25" s="66">
        <v>47.965666341571151</v>
      </c>
      <c r="AA25" s="67">
        <v>0</v>
      </c>
      <c r="AB25" s="68">
        <v>53.931237355868141</v>
      </c>
      <c r="AC25" s="69">
        <v>0</v>
      </c>
      <c r="AD25" s="412">
        <v>7.3391805437406941</v>
      </c>
      <c r="AE25" s="412">
        <v>6.1283817211277345</v>
      </c>
      <c r="AF25" s="69">
        <v>12.706025413672101</v>
      </c>
      <c r="AG25" s="68">
        <v>6.7677597475708886</v>
      </c>
      <c r="AH25" s="68">
        <v>5.8007589195011491</v>
      </c>
      <c r="AI25" s="68">
        <v>0.53846916465196348</v>
      </c>
      <c r="AJ25" s="69">
        <v>262.58262232144671</v>
      </c>
      <c r="AK25" s="69">
        <v>1061.9134254455566</v>
      </c>
      <c r="AL25" s="69">
        <v>2806.5306471506751</v>
      </c>
      <c r="AM25" s="69">
        <v>493.50608825683594</v>
      </c>
      <c r="AN25" s="69">
        <v>1072.820068359375</v>
      </c>
      <c r="AO25" s="69">
        <v>2451.6581484476724</v>
      </c>
      <c r="AP25" s="69">
        <v>565.37929743130996</v>
      </c>
      <c r="AQ25" s="69">
        <v>1857.1231555938723</v>
      </c>
      <c r="AR25" s="69">
        <v>408.65840846697495</v>
      </c>
      <c r="AS25" s="69">
        <v>468.83579263687125</v>
      </c>
    </row>
    <row r="26" spans="1:45" x14ac:dyDescent="0.25">
      <c r="A26" s="11">
        <v>43423</v>
      </c>
      <c r="B26" s="59"/>
      <c r="C26" s="60">
        <v>75.405067416032125</v>
      </c>
      <c r="D26" s="60">
        <v>986.50847333272191</v>
      </c>
      <c r="E26" s="50">
        <v>21.82552391787377</v>
      </c>
      <c r="F26" s="60">
        <v>0</v>
      </c>
      <c r="G26" s="60">
        <v>1934.6602060317985</v>
      </c>
      <c r="H26" s="61">
        <v>26.916111785173424</v>
      </c>
      <c r="I26" s="59">
        <v>108.26148000558221</v>
      </c>
      <c r="J26" s="60">
        <v>295.5912893931071</v>
      </c>
      <c r="K26" s="60">
        <v>16.053196986516355</v>
      </c>
      <c r="L26" s="50">
        <v>3.7765502929687501E-5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187.99741056399142</v>
      </c>
      <c r="V26" s="62">
        <v>161.1568715396499</v>
      </c>
      <c r="W26" s="62">
        <v>27.733085576089099</v>
      </c>
      <c r="X26" s="62">
        <v>23.773611009725055</v>
      </c>
      <c r="Y26" s="66">
        <v>56.430144068043546</v>
      </c>
      <c r="Z26" s="66">
        <v>48.373567759552387</v>
      </c>
      <c r="AA26" s="67">
        <v>0</v>
      </c>
      <c r="AB26" s="68">
        <v>53.702876122792787</v>
      </c>
      <c r="AC26" s="69">
        <v>0</v>
      </c>
      <c r="AD26" s="412">
        <v>7.2739165571161282</v>
      </c>
      <c r="AE26" s="412">
        <v>6.1287863695042999</v>
      </c>
      <c r="AF26" s="69">
        <v>13.021183170212643</v>
      </c>
      <c r="AG26" s="68">
        <v>6.934890833340611</v>
      </c>
      <c r="AH26" s="68">
        <v>5.9447909831170405</v>
      </c>
      <c r="AI26" s="68">
        <v>0.53843650271540178</v>
      </c>
      <c r="AJ26" s="69">
        <v>349.2080993493397</v>
      </c>
      <c r="AK26" s="69">
        <v>1280.5795546213783</v>
      </c>
      <c r="AL26" s="69">
        <v>2989.2107592264811</v>
      </c>
      <c r="AM26" s="69">
        <v>493.50608825683594</v>
      </c>
      <c r="AN26" s="69">
        <v>1072.820068359375</v>
      </c>
      <c r="AO26" s="69">
        <v>2633.3412740071617</v>
      </c>
      <c r="AP26" s="69">
        <v>589.81719392140712</v>
      </c>
      <c r="AQ26" s="69">
        <v>1842.6388331731162</v>
      </c>
      <c r="AR26" s="69">
        <v>392.76447043418887</v>
      </c>
      <c r="AS26" s="69">
        <v>494.98108097712191</v>
      </c>
    </row>
    <row r="27" spans="1:45" x14ac:dyDescent="0.25">
      <c r="A27" s="11">
        <v>43424</v>
      </c>
      <c r="B27" s="59"/>
      <c r="C27" s="60">
        <v>76.012104698021588</v>
      </c>
      <c r="D27" s="60">
        <v>986.13512910207271</v>
      </c>
      <c r="E27" s="50">
        <v>21.470090085268051</v>
      </c>
      <c r="F27" s="60">
        <v>0</v>
      </c>
      <c r="G27" s="60">
        <v>1983.200215276079</v>
      </c>
      <c r="H27" s="61">
        <v>26.878818456331892</v>
      </c>
      <c r="I27" s="59">
        <v>108.38009303410848</v>
      </c>
      <c r="J27" s="60">
        <v>295.85253210067771</v>
      </c>
      <c r="K27" s="60">
        <v>15.860978069404808</v>
      </c>
      <c r="L27" s="50">
        <v>2.3603439331054696E-4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185.28443655496494</v>
      </c>
      <c r="V27" s="62">
        <v>158.82392691447529</v>
      </c>
      <c r="W27" s="62">
        <v>27.450770278260748</v>
      </c>
      <c r="X27" s="62">
        <v>23.530519958848146</v>
      </c>
      <c r="Y27" s="62">
        <v>51.528583467456826</v>
      </c>
      <c r="Z27" s="62">
        <v>44.169775545146848</v>
      </c>
      <c r="AA27" s="72">
        <v>0</v>
      </c>
      <c r="AB27" s="69">
        <v>53.703508745299949</v>
      </c>
      <c r="AC27" s="69">
        <v>0</v>
      </c>
      <c r="AD27" s="412">
        <v>7.2802124734932594</v>
      </c>
      <c r="AE27" s="412">
        <v>6.1284489799029886</v>
      </c>
      <c r="AF27" s="69">
        <v>12.801770652665015</v>
      </c>
      <c r="AG27" s="69">
        <v>6.8133477339001454</v>
      </c>
      <c r="AH27" s="69">
        <v>5.8403321004829722</v>
      </c>
      <c r="AI27" s="69">
        <v>0.53844793159588455</v>
      </c>
      <c r="AJ27" s="69">
        <v>370.321051677068</v>
      </c>
      <c r="AK27" s="69">
        <v>1362.7564564387003</v>
      </c>
      <c r="AL27" s="69">
        <v>3028.2185237884523</v>
      </c>
      <c r="AM27" s="69">
        <v>493.50608825683594</v>
      </c>
      <c r="AN27" s="69">
        <v>1072.820068359375</v>
      </c>
      <c r="AO27" s="69">
        <v>2708.9679859161379</v>
      </c>
      <c r="AP27" s="69">
        <v>633.74892320632955</v>
      </c>
      <c r="AQ27" s="69">
        <v>1868.3057959238683</v>
      </c>
      <c r="AR27" s="69">
        <v>386.31788706779486</v>
      </c>
      <c r="AS27" s="69">
        <v>515.22596524556479</v>
      </c>
    </row>
    <row r="28" spans="1:45" x14ac:dyDescent="0.25">
      <c r="A28" s="11">
        <v>43425</v>
      </c>
      <c r="B28" s="59"/>
      <c r="C28" s="60">
        <v>75.86450372536973</v>
      </c>
      <c r="D28" s="60">
        <v>968.97342262267978</v>
      </c>
      <c r="E28" s="50">
        <v>21.523322007060084</v>
      </c>
      <c r="F28" s="60">
        <v>0</v>
      </c>
      <c r="G28" s="60">
        <v>1941.7051963806132</v>
      </c>
      <c r="H28" s="61">
        <v>26.820638728141837</v>
      </c>
      <c r="I28" s="59">
        <v>108.25141995747919</v>
      </c>
      <c r="J28" s="60">
        <v>295.65147434870403</v>
      </c>
      <c r="K28" s="60">
        <v>16.110773650308449</v>
      </c>
      <c r="L28" s="50">
        <v>1.4162063598632836E-3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188.00229942159066</v>
      </c>
      <c r="V28" s="62">
        <v>157.47229261772705</v>
      </c>
      <c r="W28" s="62">
        <v>27.579446400241483</v>
      </c>
      <c r="X28" s="62">
        <v>23.100774124228526</v>
      </c>
      <c r="Y28" s="66">
        <v>53.086654456207754</v>
      </c>
      <c r="Z28" s="66">
        <v>44.465824143340583</v>
      </c>
      <c r="AA28" s="67">
        <v>0</v>
      </c>
      <c r="AB28" s="68">
        <v>53.706854669253453</v>
      </c>
      <c r="AC28" s="69">
        <v>0</v>
      </c>
      <c r="AD28" s="412">
        <v>7.2750770729841889</v>
      </c>
      <c r="AE28" s="412">
        <v>6.1321624655769478</v>
      </c>
      <c r="AF28" s="69">
        <v>12.815610253479774</v>
      </c>
      <c r="AG28" s="68">
        <v>6.8943906086332145</v>
      </c>
      <c r="AH28" s="68">
        <v>5.7747990247129772</v>
      </c>
      <c r="AI28" s="68">
        <v>0.54418560367007984</v>
      </c>
      <c r="AJ28" s="69">
        <v>376.17012763023376</v>
      </c>
      <c r="AK28" s="69">
        <v>1377.6334768931067</v>
      </c>
      <c r="AL28" s="69">
        <v>3390.1198804219566</v>
      </c>
      <c r="AM28" s="69">
        <v>493.50608825683594</v>
      </c>
      <c r="AN28" s="69">
        <v>1072.820068359375</v>
      </c>
      <c r="AO28" s="69">
        <v>2651.1280897776287</v>
      </c>
      <c r="AP28" s="69">
        <v>603.06361144383754</v>
      </c>
      <c r="AQ28" s="69">
        <v>1823.8272251764938</v>
      </c>
      <c r="AR28" s="69">
        <v>377.34587844212848</v>
      </c>
      <c r="AS28" s="69">
        <v>508.13138017654421</v>
      </c>
    </row>
    <row r="29" spans="1:45" x14ac:dyDescent="0.25">
      <c r="A29" s="11">
        <v>43426</v>
      </c>
      <c r="B29" s="59"/>
      <c r="C29" s="60">
        <v>76.013719117641642</v>
      </c>
      <c r="D29" s="60">
        <v>961.78123442331821</v>
      </c>
      <c r="E29" s="50">
        <v>21.320348429679878</v>
      </c>
      <c r="F29" s="60">
        <v>0</v>
      </c>
      <c r="G29" s="60">
        <v>1889.0168244679764</v>
      </c>
      <c r="H29" s="61">
        <v>26.858949291706114</v>
      </c>
      <c r="I29" s="59">
        <v>112.49115534623468</v>
      </c>
      <c r="J29" s="60">
        <v>316.9503138542176</v>
      </c>
      <c r="K29" s="60">
        <v>17.304320625960848</v>
      </c>
      <c r="L29" s="50">
        <v>4.4374465942382776E-4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199.13452219975829</v>
      </c>
      <c r="V29" s="62">
        <v>160.9587357678738</v>
      </c>
      <c r="W29" s="62">
        <v>29.410088728817879</v>
      </c>
      <c r="X29" s="62">
        <v>23.771923864928258</v>
      </c>
      <c r="Y29" s="66">
        <v>58.172079619950793</v>
      </c>
      <c r="Z29" s="66">
        <v>47.019995775633234</v>
      </c>
      <c r="AA29" s="67">
        <v>0</v>
      </c>
      <c r="AB29" s="68">
        <v>56.382495382096458</v>
      </c>
      <c r="AC29" s="69">
        <v>0</v>
      </c>
      <c r="AD29" s="412">
        <v>7.8004872149117928</v>
      </c>
      <c r="AE29" s="412">
        <v>6.1257101093668602</v>
      </c>
      <c r="AF29" s="69">
        <v>13.263629393113982</v>
      </c>
      <c r="AG29" s="68">
        <v>7.254543009418124</v>
      </c>
      <c r="AH29" s="68">
        <v>5.863785236586291</v>
      </c>
      <c r="AI29" s="68">
        <v>0.5530081938319934</v>
      </c>
      <c r="AJ29" s="69">
        <v>367.825313393275</v>
      </c>
      <c r="AK29" s="69">
        <v>1359.8183205286664</v>
      </c>
      <c r="AL29" s="69">
        <v>3137.7662974039713</v>
      </c>
      <c r="AM29" s="69">
        <v>493.50608825683594</v>
      </c>
      <c r="AN29" s="69">
        <v>1072.820068359375</v>
      </c>
      <c r="AO29" s="69">
        <v>2571.6474472045902</v>
      </c>
      <c r="AP29" s="69">
        <v>584.00077775319403</v>
      </c>
      <c r="AQ29" s="69">
        <v>1847.1893093744918</v>
      </c>
      <c r="AR29" s="69">
        <v>377.93157787323003</v>
      </c>
      <c r="AS29" s="69">
        <v>482.75648120244347</v>
      </c>
    </row>
    <row r="30" spans="1:45" x14ac:dyDescent="0.25">
      <c r="A30" s="11">
        <v>43427</v>
      </c>
      <c r="B30" s="59"/>
      <c r="C30" s="60">
        <v>76.142025534311529</v>
      </c>
      <c r="D30" s="60">
        <v>962.65781898498358</v>
      </c>
      <c r="E30" s="50">
        <v>21.328311983247591</v>
      </c>
      <c r="F30" s="60">
        <v>0</v>
      </c>
      <c r="G30" s="60">
        <v>1909.1087518056261</v>
      </c>
      <c r="H30" s="61">
        <v>26.937247302134857</v>
      </c>
      <c r="I30" s="59">
        <v>109.77113792101517</v>
      </c>
      <c r="J30" s="60">
        <v>335.20933666229286</v>
      </c>
      <c r="K30" s="60">
        <v>18.274987561007336</v>
      </c>
      <c r="L30" s="50">
        <v>4.8151016235351517E-4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214.3062115945196</v>
      </c>
      <c r="V30" s="62">
        <v>160.72311687889032</v>
      </c>
      <c r="W30" s="62">
        <v>31.892389609950033</v>
      </c>
      <c r="X30" s="62">
        <v>23.918318674427955</v>
      </c>
      <c r="Y30" s="66">
        <v>66.199369862252397</v>
      </c>
      <c r="Z30" s="66">
        <v>49.647506623889996</v>
      </c>
      <c r="AA30" s="67">
        <v>0</v>
      </c>
      <c r="AB30" s="68">
        <v>58.945036172866729</v>
      </c>
      <c r="AC30" s="69">
        <v>0</v>
      </c>
      <c r="AD30" s="412">
        <v>8.2488352495201234</v>
      </c>
      <c r="AE30" s="412">
        <v>6.1323954308268904</v>
      </c>
      <c r="AF30" s="69">
        <v>14.144510267178209</v>
      </c>
      <c r="AG30" s="68">
        <v>7.9990869754997318</v>
      </c>
      <c r="AH30" s="68">
        <v>5.9990710550198996</v>
      </c>
      <c r="AI30" s="68">
        <v>0.57143853913205134</v>
      </c>
      <c r="AJ30" s="69">
        <v>367.81896967887883</v>
      </c>
      <c r="AK30" s="69">
        <v>1360.15754553477</v>
      </c>
      <c r="AL30" s="69">
        <v>3031.9408152262372</v>
      </c>
      <c r="AM30" s="69">
        <v>493.50608825683594</v>
      </c>
      <c r="AN30" s="69">
        <v>1072.820068359375</v>
      </c>
      <c r="AO30" s="69">
        <v>2481.8946317036948</v>
      </c>
      <c r="AP30" s="69">
        <v>558.82940514882398</v>
      </c>
      <c r="AQ30" s="69">
        <v>1904.6151515960692</v>
      </c>
      <c r="AR30" s="69">
        <v>382.73150502840679</v>
      </c>
      <c r="AS30" s="69">
        <v>471.52429908116659</v>
      </c>
    </row>
    <row r="31" spans="1:45" x14ac:dyDescent="0.25">
      <c r="A31" s="11">
        <v>43428</v>
      </c>
      <c r="B31" s="59"/>
      <c r="C31" s="60">
        <v>75.675264918804487</v>
      </c>
      <c r="D31" s="60">
        <v>949.30793889363792</v>
      </c>
      <c r="E31" s="60">
        <v>21.299985534946153</v>
      </c>
      <c r="F31" s="60">
        <v>0</v>
      </c>
      <c r="G31" s="60">
        <v>2009.13317960103</v>
      </c>
      <c r="H31" s="61">
        <v>26.886167279879313</v>
      </c>
      <c r="I31" s="59">
        <v>114.63386113643674</v>
      </c>
      <c r="J31" s="60">
        <v>336.67695803642334</v>
      </c>
      <c r="K31" s="60">
        <v>18.387793804208428</v>
      </c>
      <c r="L31" s="50">
        <v>5.3815841674804629E-4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211.20580164343539</v>
      </c>
      <c r="V31" s="62">
        <v>158.43299751529634</v>
      </c>
      <c r="W31" s="62">
        <v>31.133214869089386</v>
      </c>
      <c r="X31" s="62">
        <v>23.354133814585659</v>
      </c>
      <c r="Y31" s="66">
        <v>59.739187105355711</v>
      </c>
      <c r="Z31" s="66">
        <v>44.81249287937267</v>
      </c>
      <c r="AA31" s="67">
        <v>0</v>
      </c>
      <c r="AB31" s="68">
        <v>59.068433120515301</v>
      </c>
      <c r="AC31" s="69">
        <v>0</v>
      </c>
      <c r="AD31" s="412">
        <v>8.2841392584949425</v>
      </c>
      <c r="AE31" s="412">
        <v>6.1305334810607981</v>
      </c>
      <c r="AF31" s="69">
        <v>13.95047413739894</v>
      </c>
      <c r="AG31" s="68">
        <v>7.8864394399330529</v>
      </c>
      <c r="AH31" s="68">
        <v>5.9158992341547929</v>
      </c>
      <c r="AI31" s="68">
        <v>0.57138428683385745</v>
      </c>
      <c r="AJ31" s="69">
        <v>369.58766067822768</v>
      </c>
      <c r="AK31" s="69">
        <v>1362.6415309270228</v>
      </c>
      <c r="AL31" s="69">
        <v>3054.8369426727295</v>
      </c>
      <c r="AM31" s="69">
        <v>493.50608825683594</v>
      </c>
      <c r="AN31" s="69">
        <v>1072.820068359375</v>
      </c>
      <c r="AO31" s="69">
        <v>2525.66228090922</v>
      </c>
      <c r="AP31" s="69">
        <v>580.52113189697263</v>
      </c>
      <c r="AQ31" s="69">
        <v>1915.4756237030026</v>
      </c>
      <c r="AR31" s="69">
        <v>392.19149223963416</v>
      </c>
      <c r="AS31" s="69">
        <v>500.18544731140139</v>
      </c>
    </row>
    <row r="32" spans="1:45" x14ac:dyDescent="0.25">
      <c r="A32" s="11">
        <v>43429</v>
      </c>
      <c r="B32" s="59"/>
      <c r="C32" s="60">
        <v>76.014641543229217</v>
      </c>
      <c r="D32" s="60">
        <v>938.45044015248629</v>
      </c>
      <c r="E32" s="60">
        <v>21.187161644299813</v>
      </c>
      <c r="F32" s="60">
        <v>0</v>
      </c>
      <c r="G32" s="60">
        <v>2015.7767489115386</v>
      </c>
      <c r="H32" s="61">
        <v>26.933627063036027</v>
      </c>
      <c r="I32" s="59">
        <v>121.09613049825025</v>
      </c>
      <c r="J32" s="60">
        <v>338.21234165827497</v>
      </c>
      <c r="K32" s="60">
        <v>18.358042378723624</v>
      </c>
      <c r="L32" s="50">
        <v>2.3159432411194447E-2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207.15812662083312</v>
      </c>
      <c r="V32" s="62">
        <v>155.20382739002457</v>
      </c>
      <c r="W32" s="62">
        <v>30.815244886084688</v>
      </c>
      <c r="X32" s="62">
        <v>23.086924111044038</v>
      </c>
      <c r="Y32" s="66">
        <v>60.597619586161144</v>
      </c>
      <c r="Z32" s="66">
        <v>45.400017097620847</v>
      </c>
      <c r="AA32" s="67">
        <v>0</v>
      </c>
      <c r="AB32" s="68">
        <v>59.061284330156148</v>
      </c>
      <c r="AC32" s="69">
        <v>0</v>
      </c>
      <c r="AD32" s="412">
        <v>8.319351451241344</v>
      </c>
      <c r="AE32" s="412">
        <v>6.1317671045380218</v>
      </c>
      <c r="AF32" s="69">
        <v>14.010447282923602</v>
      </c>
      <c r="AG32" s="68">
        <v>7.9319515309813298</v>
      </c>
      <c r="AH32" s="68">
        <v>5.942654803659841</v>
      </c>
      <c r="AI32" s="68">
        <v>0.57168840251541941</v>
      </c>
      <c r="AJ32" s="69">
        <v>378.62578365008034</v>
      </c>
      <c r="AK32" s="69">
        <v>1389.6526977539061</v>
      </c>
      <c r="AL32" s="69">
        <v>3005.2183236440019</v>
      </c>
      <c r="AM32" s="69">
        <v>493.50608825683594</v>
      </c>
      <c r="AN32" s="69">
        <v>1072.820068359375</v>
      </c>
      <c r="AO32" s="69">
        <v>2673.9170508066818</v>
      </c>
      <c r="AP32" s="69">
        <v>622.65335591634107</v>
      </c>
      <c r="AQ32" s="69">
        <v>1958.4347837448115</v>
      </c>
      <c r="AR32" s="69">
        <v>423.23724762598675</v>
      </c>
      <c r="AS32" s="69">
        <v>478.09469292958585</v>
      </c>
    </row>
    <row r="33" spans="1:45" x14ac:dyDescent="0.25">
      <c r="A33" s="11">
        <v>43430</v>
      </c>
      <c r="B33" s="59"/>
      <c r="C33" s="60">
        <v>75.753891170025199</v>
      </c>
      <c r="D33" s="60">
        <v>917.48545385996499</v>
      </c>
      <c r="E33" s="60">
        <v>21.289007905622377</v>
      </c>
      <c r="F33" s="60">
        <v>0</v>
      </c>
      <c r="G33" s="60">
        <v>1878.6395487467466</v>
      </c>
      <c r="H33" s="61">
        <v>26.947930922110931</v>
      </c>
      <c r="I33" s="59">
        <v>123.08722003300986</v>
      </c>
      <c r="J33" s="60">
        <v>336.17331126531036</v>
      </c>
      <c r="K33" s="60">
        <v>18.434424800177425</v>
      </c>
      <c r="L33" s="50">
        <v>3.3092284202576309E-2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209.39889173670642</v>
      </c>
      <c r="V33" s="62">
        <v>157.08015402524839</v>
      </c>
      <c r="W33" s="62">
        <v>31.189350052051374</v>
      </c>
      <c r="X33" s="62">
        <v>23.396627696978456</v>
      </c>
      <c r="Y33" s="66">
        <v>61.870804237632079</v>
      </c>
      <c r="Z33" s="66">
        <v>46.412258339615697</v>
      </c>
      <c r="AA33" s="67">
        <v>0</v>
      </c>
      <c r="AB33" s="68">
        <v>59.708004000452028</v>
      </c>
      <c r="AC33" s="69">
        <v>0</v>
      </c>
      <c r="AD33" s="412">
        <v>8.2722617546899784</v>
      </c>
      <c r="AE33" s="412">
        <v>6.1401939797881431</v>
      </c>
      <c r="AF33" s="69">
        <v>13.796310615208418</v>
      </c>
      <c r="AG33" s="68">
        <v>7.8103037270016955</v>
      </c>
      <c r="AH33" s="68">
        <v>5.8588835033759601</v>
      </c>
      <c r="AI33" s="68">
        <v>0.57138025804815251</v>
      </c>
      <c r="AJ33" s="69">
        <v>376.39632140795396</v>
      </c>
      <c r="AK33" s="69">
        <v>1373.2922110875447</v>
      </c>
      <c r="AL33" s="69">
        <v>3141.9788883209235</v>
      </c>
      <c r="AM33" s="69">
        <v>493.73623043696085</v>
      </c>
      <c r="AN33" s="69">
        <v>1072.820068359375</v>
      </c>
      <c r="AO33" s="69">
        <v>2724.395059204101</v>
      </c>
      <c r="AP33" s="69">
        <v>619.48322095870981</v>
      </c>
      <c r="AQ33" s="69">
        <v>1964.9126428604127</v>
      </c>
      <c r="AR33" s="69">
        <v>416.03074137369794</v>
      </c>
      <c r="AS33" s="69">
        <v>546.30645561218273</v>
      </c>
    </row>
    <row r="34" spans="1:45" x14ac:dyDescent="0.25">
      <c r="A34" s="11">
        <v>43431</v>
      </c>
      <c r="B34" s="59"/>
      <c r="C34" s="60">
        <v>75.622110084692423</v>
      </c>
      <c r="D34" s="60">
        <v>914.15453103383447</v>
      </c>
      <c r="E34" s="60">
        <v>21.39581908931337</v>
      </c>
      <c r="F34" s="60">
        <v>0</v>
      </c>
      <c r="G34" s="60">
        <v>1787.1836860656772</v>
      </c>
      <c r="H34" s="61">
        <v>26.841381764411974</v>
      </c>
      <c r="I34" s="59">
        <v>122.90033166408539</v>
      </c>
      <c r="J34" s="60">
        <v>335.57750317255699</v>
      </c>
      <c r="K34" s="60">
        <v>18.248516050477814</v>
      </c>
      <c r="L34" s="50">
        <v>2.1054267883300866E-3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212.57795325196156</v>
      </c>
      <c r="V34" s="62">
        <v>159.44378363480246</v>
      </c>
      <c r="W34" s="62">
        <v>31.83645129206478</v>
      </c>
      <c r="X34" s="62">
        <v>23.878883834653088</v>
      </c>
      <c r="Y34" s="66">
        <v>63.041004201557094</v>
      </c>
      <c r="Z34" s="66">
        <v>47.283813209547837</v>
      </c>
      <c r="AA34" s="67">
        <v>0</v>
      </c>
      <c r="AB34" s="68">
        <v>59.715612496268989</v>
      </c>
      <c r="AC34" s="69">
        <v>0</v>
      </c>
      <c r="AD34" s="412">
        <v>8.2572270782912547</v>
      </c>
      <c r="AE34" s="412">
        <v>6.1308519244536104</v>
      </c>
      <c r="AF34" s="69">
        <v>14.018741224871768</v>
      </c>
      <c r="AG34" s="68">
        <v>7.9324864996698281</v>
      </c>
      <c r="AH34" s="68">
        <v>5.9497499236914715</v>
      </c>
      <c r="AI34" s="68">
        <v>0.57141272182347247</v>
      </c>
      <c r="AJ34" s="69">
        <v>377.16722140312191</v>
      </c>
      <c r="AK34" s="69">
        <v>1368.9287776311239</v>
      </c>
      <c r="AL34" s="69">
        <v>3094.8935633341471</v>
      </c>
      <c r="AM34" s="69">
        <v>493.87472534179688</v>
      </c>
      <c r="AN34" s="69">
        <v>1072.820068359375</v>
      </c>
      <c r="AO34" s="69">
        <v>2660.6051354726151</v>
      </c>
      <c r="AP34" s="69">
        <v>593.90673615137734</v>
      </c>
      <c r="AQ34" s="69">
        <v>1919.9480904261268</v>
      </c>
      <c r="AR34" s="69">
        <v>386.67748448053999</v>
      </c>
      <c r="AS34" s="69">
        <v>519.9659139633178</v>
      </c>
    </row>
    <row r="35" spans="1:45" x14ac:dyDescent="0.25">
      <c r="A35" s="11">
        <v>43432</v>
      </c>
      <c r="B35" s="59"/>
      <c r="C35" s="60">
        <v>75.570934406916422</v>
      </c>
      <c r="D35" s="60">
        <v>913.10296122233103</v>
      </c>
      <c r="E35" s="60">
        <v>21.29583879212538</v>
      </c>
      <c r="F35" s="60">
        <v>0</v>
      </c>
      <c r="G35" s="60">
        <v>1781.1352953592943</v>
      </c>
      <c r="H35" s="61">
        <v>26.827897692720143</v>
      </c>
      <c r="I35" s="59">
        <v>123.92530412673953</v>
      </c>
      <c r="J35" s="60">
        <v>338.64218980471378</v>
      </c>
      <c r="K35" s="60">
        <v>18.425974241395764</v>
      </c>
      <c r="L35" s="50">
        <v>9.7246170043945154E-4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209.00937664517275</v>
      </c>
      <c r="V35" s="62">
        <v>153.0737921051639</v>
      </c>
      <c r="W35" s="62">
        <v>31.322796383674707</v>
      </c>
      <c r="X35" s="62">
        <v>22.940115408921486</v>
      </c>
      <c r="Y35" s="66">
        <v>61.707719994980458</v>
      </c>
      <c r="Z35" s="66">
        <v>45.193353778721324</v>
      </c>
      <c r="AA35" s="67">
        <v>0</v>
      </c>
      <c r="AB35" s="68">
        <v>59.052485209041706</v>
      </c>
      <c r="AC35" s="69">
        <v>0</v>
      </c>
      <c r="AD35" s="412">
        <v>8.3299257614729658</v>
      </c>
      <c r="AE35" s="412">
        <v>6.1222392809271735</v>
      </c>
      <c r="AF35" s="69">
        <v>13.578594287898818</v>
      </c>
      <c r="AG35" s="68">
        <v>7.7552167105096705</v>
      </c>
      <c r="AH35" s="68">
        <v>5.6797472416291619</v>
      </c>
      <c r="AI35" s="68">
        <v>0.57724134862863163</v>
      </c>
      <c r="AJ35" s="69">
        <v>365.9892896811167</v>
      </c>
      <c r="AK35" s="69">
        <v>1356.8490809122723</v>
      </c>
      <c r="AL35" s="69">
        <v>2971.9104170481364</v>
      </c>
      <c r="AM35" s="69">
        <v>493.87472534179688</v>
      </c>
      <c r="AN35" s="69">
        <v>1072.820068359375</v>
      </c>
      <c r="AO35" s="69">
        <v>2623.2132200876868</v>
      </c>
      <c r="AP35" s="69">
        <v>590.59683198928838</v>
      </c>
      <c r="AQ35" s="69">
        <v>1893.6426802953079</v>
      </c>
      <c r="AR35" s="69">
        <v>379.11262756983439</v>
      </c>
      <c r="AS35" s="69">
        <v>494.58318475087475</v>
      </c>
    </row>
    <row r="36" spans="1:45" x14ac:dyDescent="0.25">
      <c r="A36" s="11">
        <v>43433</v>
      </c>
      <c r="B36" s="59"/>
      <c r="C36" s="60">
        <v>75.8045755902927</v>
      </c>
      <c r="D36" s="60">
        <v>910.58525981903142</v>
      </c>
      <c r="E36" s="60">
        <v>21.334921853740997</v>
      </c>
      <c r="F36" s="60">
        <v>0</v>
      </c>
      <c r="G36" s="60">
        <v>1790.7247403462757</v>
      </c>
      <c r="H36" s="61">
        <v>27.749994954466864</v>
      </c>
      <c r="I36" s="59">
        <v>124.19352207978577</v>
      </c>
      <c r="J36" s="60">
        <v>338.8577172756203</v>
      </c>
      <c r="K36" s="60">
        <v>18.397414296865485</v>
      </c>
      <c r="L36" s="50">
        <v>3.5877227783203108E-4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214.54598954218142</v>
      </c>
      <c r="V36" s="62">
        <v>160.91586473553753</v>
      </c>
      <c r="W36" s="62">
        <v>32.193852485579391</v>
      </c>
      <c r="X36" s="62">
        <v>24.146345606086548</v>
      </c>
      <c r="Y36" s="66">
        <v>62.627246699921862</v>
      </c>
      <c r="Z36" s="66">
        <v>46.972295218514951</v>
      </c>
      <c r="AA36" s="67">
        <v>0</v>
      </c>
      <c r="AB36" s="68">
        <v>59.709978969890862</v>
      </c>
      <c r="AC36" s="69">
        <v>0</v>
      </c>
      <c r="AD36" s="412">
        <v>8.3425484665865106</v>
      </c>
      <c r="AE36" s="412">
        <v>6.1232629513671037</v>
      </c>
      <c r="AF36" s="69">
        <v>14.077991722689719</v>
      </c>
      <c r="AG36" s="68">
        <v>7.9250323455112843</v>
      </c>
      <c r="AH36" s="68">
        <v>5.9440096533910145</v>
      </c>
      <c r="AI36" s="68">
        <v>0.57141887277711989</v>
      </c>
      <c r="AJ36" s="69">
        <v>350.92990811665857</v>
      </c>
      <c r="AK36" s="69">
        <v>1347.7933235168457</v>
      </c>
      <c r="AL36" s="69">
        <v>3282.7601295471195</v>
      </c>
      <c r="AM36" s="69">
        <v>493.87472534179688</v>
      </c>
      <c r="AN36" s="69">
        <v>2257.5591199239097</v>
      </c>
      <c r="AO36" s="69">
        <v>2656.1860562642414</v>
      </c>
      <c r="AP36" s="69">
        <v>612.51927318573007</v>
      </c>
      <c r="AQ36" s="69">
        <v>1963.2224217096962</v>
      </c>
      <c r="AR36" s="69">
        <v>386.74015340805067</v>
      </c>
      <c r="AS36" s="69">
        <v>556.68824911117531</v>
      </c>
    </row>
    <row r="37" spans="1:45" x14ac:dyDescent="0.25">
      <c r="A37" s="11">
        <v>43434</v>
      </c>
      <c r="B37" s="59"/>
      <c r="C37" s="60">
        <v>75.532835268974111</v>
      </c>
      <c r="D37" s="60">
        <v>912.02262248993156</v>
      </c>
      <c r="E37" s="60">
        <v>21.337466948727773</v>
      </c>
      <c r="F37" s="60">
        <v>0</v>
      </c>
      <c r="G37" s="60">
        <v>1752.0952996571866</v>
      </c>
      <c r="H37" s="61">
        <v>26.822387001911856</v>
      </c>
      <c r="I37" s="59">
        <v>142.10650823116285</v>
      </c>
      <c r="J37" s="60">
        <v>395.11417957941717</v>
      </c>
      <c r="K37" s="60">
        <v>21.676771991948307</v>
      </c>
      <c r="L37" s="50">
        <v>1.5295028686523472E-3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240.26481322845058</v>
      </c>
      <c r="V37" s="62">
        <v>154.79008081621311</v>
      </c>
      <c r="W37" s="62">
        <v>36.266379181558378</v>
      </c>
      <c r="X37" s="62">
        <v>23.364535526420209</v>
      </c>
      <c r="Y37" s="66">
        <v>73.094559200396233</v>
      </c>
      <c r="Z37" s="66">
        <v>47.091010014424526</v>
      </c>
      <c r="AA37" s="67">
        <v>0</v>
      </c>
      <c r="AB37" s="68">
        <v>65.211366181904054</v>
      </c>
      <c r="AC37" s="69">
        <v>0</v>
      </c>
      <c r="AD37" s="412">
        <v>9.7246130177610866</v>
      </c>
      <c r="AE37" s="412">
        <v>6.1180531410612993</v>
      </c>
      <c r="AF37" s="69">
        <v>14.906945665015105</v>
      </c>
      <c r="AG37" s="68">
        <v>8.9311640381025388</v>
      </c>
      <c r="AH37" s="68">
        <v>5.7538829122109973</v>
      </c>
      <c r="AI37" s="68">
        <v>0.608180829678032</v>
      </c>
      <c r="AJ37" s="69">
        <v>367.56139240264895</v>
      </c>
      <c r="AK37" s="69">
        <v>1372.7666987101238</v>
      </c>
      <c r="AL37" s="69">
        <v>3039.3450654347739</v>
      </c>
      <c r="AM37" s="69">
        <v>493.87472534179688</v>
      </c>
      <c r="AN37" s="69">
        <v>3906.6800537109375</v>
      </c>
      <c r="AO37" s="69">
        <v>2745.4752515157065</v>
      </c>
      <c r="AP37" s="69">
        <v>657.8033410072328</v>
      </c>
      <c r="AQ37" s="69">
        <v>2077.2786509195962</v>
      </c>
      <c r="AR37" s="69">
        <v>414.52847790718073</v>
      </c>
      <c r="AS37" s="69">
        <v>620.50846859614046</v>
      </c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2"/>
      <c r="AE38" s="402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1812.8639868497823</v>
      </c>
      <c r="D39" s="30">
        <f t="shared" si="0"/>
        <v>21511.959251956156</v>
      </c>
      <c r="E39" s="30">
        <f t="shared" si="0"/>
        <v>515.26004309107896</v>
      </c>
      <c r="F39" s="30">
        <f t="shared" si="0"/>
        <v>0</v>
      </c>
      <c r="G39" s="30">
        <f t="shared" si="0"/>
        <v>44270.998093986535</v>
      </c>
      <c r="H39" s="31">
        <f t="shared" si="0"/>
        <v>622.33416011532222</v>
      </c>
      <c r="I39" s="29">
        <f t="shared" si="0"/>
        <v>3719.2180738568304</v>
      </c>
      <c r="J39" s="30">
        <f t="shared" si="0"/>
        <v>10536.694989109039</v>
      </c>
      <c r="K39" s="30">
        <f t="shared" si="0"/>
        <v>574.64391136169411</v>
      </c>
      <c r="L39" s="30">
        <f t="shared" si="0"/>
        <v>8.110259771347185E-2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6894.7488833145953</v>
      </c>
      <c r="V39" s="262">
        <f t="shared" si="0"/>
        <v>3602.8650826523635</v>
      </c>
      <c r="W39" s="262">
        <f t="shared" si="0"/>
        <v>1027.8320033914863</v>
      </c>
      <c r="X39" s="262">
        <f t="shared" si="0"/>
        <v>531.37093442608693</v>
      </c>
      <c r="Y39" s="262">
        <f t="shared" si="0"/>
        <v>2656.6161952645411</v>
      </c>
      <c r="Z39" s="262">
        <f t="shared" si="0"/>
        <v>1110.8478035538551</v>
      </c>
      <c r="AA39" s="270">
        <f t="shared" si="0"/>
        <v>0</v>
      </c>
      <c r="AB39" s="273">
        <f t="shared" si="0"/>
        <v>1699.3402791817989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8721.2023916721355</v>
      </c>
      <c r="AK39" s="273">
        <f t="shared" si="1"/>
        <v>31123.315164438885</v>
      </c>
      <c r="AL39" s="273">
        <f t="shared" si="1"/>
        <v>76907.94993909201</v>
      </c>
      <c r="AM39" s="273">
        <f t="shared" si="1"/>
        <v>14813.711036872864</v>
      </c>
      <c r="AN39" s="273">
        <f t="shared" si="1"/>
        <v>36203.201087697351</v>
      </c>
      <c r="AO39" s="273">
        <f t="shared" si="1"/>
        <v>71330.457808748877</v>
      </c>
      <c r="AP39" s="273">
        <f t="shared" si="1"/>
        <v>16322.750449577965</v>
      </c>
      <c r="AQ39" s="273">
        <f t="shared" si="1"/>
        <v>55215.382139205933</v>
      </c>
      <c r="AR39" s="273">
        <f t="shared" si="1"/>
        <v>11843.032485532762</v>
      </c>
      <c r="AS39" s="273">
        <f t="shared" si="1"/>
        <v>16575.613070964813</v>
      </c>
    </row>
    <row r="40" spans="1:45" ht="15.75" thickBot="1" x14ac:dyDescent="0.3">
      <c r="A40" s="47" t="s">
        <v>172</v>
      </c>
      <c r="B40" s="32">
        <f>Projection!$AD$30</f>
        <v>0.82128400199999985</v>
      </c>
      <c r="C40" s="33">
        <f>Projection!$AD$28</f>
        <v>1.2667292399999999</v>
      </c>
      <c r="D40" s="33">
        <f>Projection!$AD$31</f>
        <v>3.0824639999999999</v>
      </c>
      <c r="E40" s="33">
        <f>Projection!$AD$26</f>
        <v>3.9898560000000005</v>
      </c>
      <c r="F40" s="33">
        <f>Projection!$AD$23</f>
        <v>0</v>
      </c>
      <c r="G40" s="33">
        <f>Projection!$AD$24</f>
        <v>5.5265000000000002E-2</v>
      </c>
      <c r="H40" s="34">
        <f>Projection!$AD$29</f>
        <v>3.5497125</v>
      </c>
      <c r="I40" s="32">
        <f>Projection!$AD$30</f>
        <v>0.82128400199999985</v>
      </c>
      <c r="J40" s="33">
        <f>Projection!$AD$28</f>
        <v>1.2667292399999999</v>
      </c>
      <c r="K40" s="33">
        <f>Projection!$AD$26</f>
        <v>3.9898560000000005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1.2667292399999999</v>
      </c>
      <c r="T40" s="266">
        <f>Projection!$AD$28</f>
        <v>1.2667292399999999</v>
      </c>
      <c r="U40" s="264">
        <f>Projection!$AD$27</f>
        <v>0.29460000000000003</v>
      </c>
      <c r="V40" s="265">
        <f>Projection!$AD$27</f>
        <v>0.29460000000000003</v>
      </c>
      <c r="W40" s="265">
        <f>Projection!$AD$22</f>
        <v>0.74349432000000004</v>
      </c>
      <c r="X40" s="265">
        <f>Projection!$AD$22</f>
        <v>0.74349432000000004</v>
      </c>
      <c r="Y40" s="265">
        <f>Projection!$AD$31</f>
        <v>3.0824639999999999</v>
      </c>
      <c r="Z40" s="265">
        <f>Projection!$AD$31</f>
        <v>3.0824639999999999</v>
      </c>
      <c r="AA40" s="271">
        <v>0</v>
      </c>
      <c r="AB40" s="274">
        <f>Projection!$AD$27</f>
        <v>0.29460000000000003</v>
      </c>
      <c r="AC40" s="274">
        <f>Projection!$AD$30</f>
        <v>0.82128400199999985</v>
      </c>
      <c r="AD40" s="404">
        <f>SUM(AD8:AD38)</f>
        <v>267.1830338905383</v>
      </c>
      <c r="AE40" s="404">
        <f>SUM(AE8:AE38)</f>
        <v>149.94880635695807</v>
      </c>
      <c r="AF40" s="277">
        <f>SUM(AF8:AF38)</f>
        <v>388.72363622056122</v>
      </c>
      <c r="AG40" s="277">
        <f>SUM(AG8:AG38)</f>
        <v>251.92216589523588</v>
      </c>
      <c r="AH40" s="277">
        <f>SUM(AH8:AH38)</f>
        <v>131.91672970797572</v>
      </c>
      <c r="AI40" s="277">
        <f>IF(SUM(AG40:AH40)&gt;0, AG40/(AG40+AH40),0)</f>
        <v>0.65632266240067838</v>
      </c>
      <c r="AJ40" s="313">
        <v>7.0000000000000007E-2</v>
      </c>
      <c r="AK40" s="313">
        <f t="shared" ref="AK40:AS40" si="2">$AJ$40</f>
        <v>7.0000000000000007E-2</v>
      </c>
      <c r="AL40" s="313">
        <f t="shared" si="2"/>
        <v>7.0000000000000007E-2</v>
      </c>
      <c r="AM40" s="313">
        <f t="shared" si="2"/>
        <v>7.0000000000000007E-2</v>
      </c>
      <c r="AN40" s="313">
        <f t="shared" si="2"/>
        <v>7.0000000000000007E-2</v>
      </c>
      <c r="AO40" s="313">
        <f t="shared" si="2"/>
        <v>7.0000000000000007E-2</v>
      </c>
      <c r="AP40" s="313">
        <f t="shared" si="2"/>
        <v>7.0000000000000007E-2</v>
      </c>
      <c r="AQ40" s="313">
        <f t="shared" si="2"/>
        <v>7.0000000000000007E-2</v>
      </c>
      <c r="AR40" s="313">
        <f t="shared" si="2"/>
        <v>7.0000000000000007E-2</v>
      </c>
      <c r="AS40" s="313">
        <f t="shared" si="2"/>
        <v>7.0000000000000007E-2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2296.4078202855944</v>
      </c>
      <c r="D41" s="36">
        <f t="shared" si="3"/>
        <v>66309.83996362178</v>
      </c>
      <c r="E41" s="36">
        <f t="shared" si="3"/>
        <v>2055.8133744872002</v>
      </c>
      <c r="F41" s="36">
        <f t="shared" si="3"/>
        <v>0</v>
      </c>
      <c r="G41" s="36">
        <f t="shared" si="3"/>
        <v>2446.6367096641661</v>
      </c>
      <c r="H41" s="37">
        <f t="shared" si="3"/>
        <v>2209.1073473383608</v>
      </c>
      <c r="I41" s="35">
        <f t="shared" si="3"/>
        <v>3054.5343040078687</v>
      </c>
      <c r="J41" s="36">
        <f t="shared" si="3"/>
        <v>13347.139635665901</v>
      </c>
      <c r="K41" s="36">
        <f t="shared" si="3"/>
        <v>2292.7464576099237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2031.19302102448</v>
      </c>
      <c r="V41" s="268">
        <f t="shared" si="3"/>
        <v>1061.4040533493865</v>
      </c>
      <c r="W41" s="268">
        <f t="shared" si="3"/>
        <v>764.1872564357908</v>
      </c>
      <c r="X41" s="268">
        <f t="shared" si="3"/>
        <v>395.0712715588881</v>
      </c>
      <c r="Y41" s="268">
        <f t="shared" si="3"/>
        <v>8188.923783719918</v>
      </c>
      <c r="Z41" s="268">
        <f t="shared" si="3"/>
        <v>3424.1483639338303</v>
      </c>
      <c r="AA41" s="272">
        <f t="shared" si="3"/>
        <v>0</v>
      </c>
      <c r="AB41" s="275">
        <f t="shared" si="3"/>
        <v>500.62564624695801</v>
      </c>
      <c r="AC41" s="275">
        <f t="shared" si="3"/>
        <v>0</v>
      </c>
      <c r="AJ41" s="278">
        <f t="shared" ref="AJ41:AS41" si="4">AJ40*AJ39</f>
        <v>610.48416741704955</v>
      </c>
      <c r="AK41" s="278">
        <f t="shared" si="4"/>
        <v>2178.632061510722</v>
      </c>
      <c r="AL41" s="278">
        <f t="shared" si="4"/>
        <v>5383.5564957364413</v>
      </c>
      <c r="AM41" s="278">
        <f t="shared" si="4"/>
        <v>1036.9597725811007</v>
      </c>
      <c r="AN41" s="278">
        <f t="shared" si="4"/>
        <v>2534.2240761388148</v>
      </c>
      <c r="AO41" s="278">
        <f t="shared" si="4"/>
        <v>4993.1320466124216</v>
      </c>
      <c r="AP41" s="278">
        <f t="shared" si="4"/>
        <v>1142.5925314704577</v>
      </c>
      <c r="AQ41" s="278">
        <f t="shared" si="4"/>
        <v>3865.0767497444158</v>
      </c>
      <c r="AR41" s="278">
        <f t="shared" si="4"/>
        <v>829.01227398729338</v>
      </c>
      <c r="AS41" s="278">
        <f t="shared" si="4"/>
        <v>1160.2929149675369</v>
      </c>
    </row>
    <row r="42" spans="1:45" ht="49.5" customHeight="1" thickTop="1" thickBot="1" x14ac:dyDescent="0.3">
      <c r="A42" s="637">
        <f>OCTOBER!$A$42+31</f>
        <v>43406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762.41</v>
      </c>
      <c r="AK42" s="278" t="s">
        <v>197</v>
      </c>
      <c r="AL42" s="278">
        <v>1876.62</v>
      </c>
      <c r="AM42" s="278">
        <v>857.48</v>
      </c>
      <c r="AN42" s="278">
        <v>1081.3900000000001</v>
      </c>
      <c r="AO42" s="278">
        <v>5010.93</v>
      </c>
      <c r="AP42" s="278">
        <v>987.77</v>
      </c>
      <c r="AQ42" s="278" t="s">
        <v>197</v>
      </c>
      <c r="AR42" s="278">
        <v>82.49</v>
      </c>
      <c r="AS42" s="278">
        <v>316.06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110377.77900895003</v>
      </c>
      <c r="C44" s="12"/>
      <c r="D44" s="282" t="s">
        <v>135</v>
      </c>
      <c r="E44" s="283">
        <f>SUM(B41:H41)+P41+R41+T41+V41+X41+Z41</f>
        <v>80198.42890423919</v>
      </c>
      <c r="F44" s="12"/>
      <c r="G44" s="282" t="s">
        <v>135</v>
      </c>
      <c r="H44" s="283">
        <f>SUM(I41:N41)+O41+Q41+S41+U41+W41+Y41</f>
        <v>29678.724458463879</v>
      </c>
      <c r="I44" s="12"/>
      <c r="J44" s="282" t="s">
        <v>198</v>
      </c>
      <c r="K44" s="283">
        <v>146575.26999999999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23733.963090166253</v>
      </c>
      <c r="C45" s="12"/>
      <c r="D45" s="284" t="s">
        <v>183</v>
      </c>
      <c r="E45" s="285">
        <f>AJ41*(1-$AI$40)+AK41+AL41*0.5+AN41+AO41*(1-$AI$40)+AP41*(1-$AI$40)+AQ41*(1-$AI$40)+AR41*0.5+AS41*0.5</f>
        <v>12046.145327507047</v>
      </c>
      <c r="F45" s="24"/>
      <c r="G45" s="284" t="s">
        <v>183</v>
      </c>
      <c r="H45" s="285">
        <f>AJ41*AI40+AL41*0.5+AM41+AO41*AI40+AP41*AI40+AQ41*AI40+AR41*0.5+AS41*0.5</f>
        <v>11687.817762659206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1559.2029378175732</v>
      </c>
      <c r="U45" s="256">
        <f>(T45*8.34*0.895)/27000</f>
        <v>0.43105031439821156</v>
      </c>
    </row>
    <row r="46" spans="1:45" ht="32.25" thickBot="1" x14ac:dyDescent="0.3">
      <c r="A46" s="286" t="s">
        <v>184</v>
      </c>
      <c r="B46" s="287">
        <f>SUM(AJ42:AS42)</f>
        <v>10975.15</v>
      </c>
      <c r="C46" s="12"/>
      <c r="D46" s="286" t="s">
        <v>184</v>
      </c>
      <c r="E46" s="287">
        <f>AJ42*(1-$AI$40)+AL42*0.5+AN42+AO42*(1-$AI$40)+AP42*(1-$AI$40)+AR42*0.5+AS42*0.5</f>
        <v>4542.6152840161494</v>
      </c>
      <c r="F46" s="23"/>
      <c r="G46" s="286" t="s">
        <v>184</v>
      </c>
      <c r="H46" s="287">
        <f>AJ42*AI40+AL42*0.5+AM42+AO42*AI40+AP42*AI40+AR42*0.5+AS42*0.5</f>
        <v>6432.5347159838511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146575.26999999999</v>
      </c>
      <c r="C47" s="12"/>
      <c r="D47" s="286" t="s">
        <v>187</v>
      </c>
      <c r="E47" s="287">
        <f>K44*0.5</f>
        <v>73287.634999999995</v>
      </c>
      <c r="F47" s="24"/>
      <c r="G47" s="286" t="s">
        <v>185</v>
      </c>
      <c r="H47" s="287">
        <f>K44*0.5</f>
        <v>73287.634999999995</v>
      </c>
      <c r="I47" s="12"/>
      <c r="J47" s="282" t="s">
        <v>198</v>
      </c>
      <c r="K47" s="283">
        <v>32085.62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44270.998093986535</v>
      </c>
      <c r="U47" s="256">
        <f>T47/40000</f>
        <v>1.1067749523496633</v>
      </c>
    </row>
    <row r="48" spans="1:45" ht="24" thickBot="1" x14ac:dyDescent="0.3">
      <c r="A48" s="286" t="s">
        <v>186</v>
      </c>
      <c r="B48" s="287">
        <f>K47</f>
        <v>32085.62</v>
      </c>
      <c r="C48" s="12"/>
      <c r="D48" s="286" t="s">
        <v>186</v>
      </c>
      <c r="E48" s="287">
        <f>K47*0.5</f>
        <v>16042.81</v>
      </c>
      <c r="F48" s="23"/>
      <c r="G48" s="286" t="s">
        <v>186</v>
      </c>
      <c r="H48" s="287">
        <f>K47*0.5</f>
        <v>16042.81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8.110259771347185E-2</v>
      </c>
      <c r="U48" s="256">
        <f>T48*9.34*0.107</f>
        <v>8.1052314102889489E-2</v>
      </c>
    </row>
    <row r="49" spans="1:25" ht="48" thickTop="1" thickBot="1" x14ac:dyDescent="0.3">
      <c r="A49" s="291" t="s">
        <v>194</v>
      </c>
      <c r="B49" s="292">
        <f>AF40</f>
        <v>388.72363622056122</v>
      </c>
      <c r="C49" s="12"/>
      <c r="D49" s="291" t="s">
        <v>195</v>
      </c>
      <c r="E49" s="292">
        <f>AH40</f>
        <v>131.91672970797572</v>
      </c>
      <c r="F49" s="23"/>
      <c r="G49" s="291" t="s">
        <v>196</v>
      </c>
      <c r="H49" s="292">
        <f>AG40</f>
        <v>251.92216589523588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1089.9039544527732</v>
      </c>
      <c r="U49" s="256">
        <f>(T49*8.34*1.04)/45000</f>
        <v>0.21007535420759049</v>
      </c>
    </row>
    <row r="50" spans="1:25" ht="48" customHeight="1" thickTop="1" thickBot="1" x14ac:dyDescent="0.3">
      <c r="A50" s="291" t="s">
        <v>223</v>
      </c>
      <c r="B50" s="292">
        <f>SUM(E50+H50)</f>
        <v>417.13184024749637</v>
      </c>
      <c r="C50" s="12"/>
      <c r="D50" s="291" t="s">
        <v>224</v>
      </c>
      <c r="E50" s="292">
        <f>AE40</f>
        <v>149.94880635695807</v>
      </c>
      <c r="F50" s="23"/>
      <c r="G50" s="291" t="s">
        <v>225</v>
      </c>
      <c r="H50" s="292">
        <f>AD40</f>
        <v>267.1830338905383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776.12819464231575</v>
      </c>
      <c r="C51" s="12"/>
      <c r="D51" s="291" t="s">
        <v>188</v>
      </c>
      <c r="E51" s="403">
        <f>SUM(E44:E48)/E50</f>
        <v>1241.2078431134905</v>
      </c>
      <c r="F51" s="375">
        <f>E44/E50</f>
        <v>534.83872831454346</v>
      </c>
      <c r="G51" s="291" t="s">
        <v>189</v>
      </c>
      <c r="H51" s="403">
        <f>SUM(H44:H48)/H50</f>
        <v>513.2418774512729</v>
      </c>
      <c r="I51" s="374">
        <f>H44/H50</f>
        <v>111.08012371258161</v>
      </c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12196.954245148758</v>
      </c>
      <c r="U51" s="256">
        <f>T51/2000/8</f>
        <v>0.76230964032179738</v>
      </c>
    </row>
    <row r="52" spans="1:25" ht="48" thickTop="1" thickBot="1" x14ac:dyDescent="0.3">
      <c r="A52" s="281" t="s">
        <v>191</v>
      </c>
      <c r="B52" s="294">
        <f>B51/1000</f>
        <v>0.77612819464231575</v>
      </c>
      <c r="C52" s="12"/>
      <c r="D52" s="281" t="s">
        <v>192</v>
      </c>
      <c r="E52" s="294">
        <f>E51/1000</f>
        <v>1.2412078431134905</v>
      </c>
      <c r="F52" s="12"/>
      <c r="G52" s="281" t="s">
        <v>193</v>
      </c>
      <c r="H52" s="294">
        <f>H51/1000</f>
        <v>0.51324187745127292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12349.558975958822</v>
      </c>
      <c r="U52" s="256">
        <f>(T52*8.34*1.4)/45000</f>
        <v>3.2042989022954491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622.33416011532222</v>
      </c>
      <c r="U53" s="256">
        <f>(T53*8.34*1.135)/45000</f>
        <v>0.13091006502745842</v>
      </c>
    </row>
    <row r="54" spans="1:25" ht="33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3719.2180738568304</v>
      </c>
      <c r="U54" s="256">
        <f>(T54*8.34*1.029*0.03)/3300</f>
        <v>0.29016189835735434</v>
      </c>
    </row>
    <row r="55" spans="1:25" ht="66.75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25279.423250774551</v>
      </c>
      <c r="U55" s="259">
        <f>(T55*1.54*8.34)/45000</f>
        <v>7.2150844547477346</v>
      </c>
      <c r="V55" s="326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3"/>
      <c r="T56" s="648"/>
      <c r="U56" s="648"/>
      <c r="V56" s="324"/>
      <c r="W56" s="325"/>
      <c r="X56" s="323"/>
      <c r="Y56" s="323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3"/>
      <c r="T57" s="648"/>
      <c r="U57" s="648"/>
      <c r="V57" s="324"/>
      <c r="W57" s="325"/>
      <c r="X57" s="323"/>
      <c r="Y57" s="323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3"/>
      <c r="T58" s="648"/>
      <c r="U58" s="648"/>
      <c r="V58" s="324"/>
      <c r="W58" s="325"/>
      <c r="X58" s="323"/>
      <c r="Y58" s="323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3"/>
      <c r="T59" s="648"/>
      <c r="U59" s="648"/>
      <c r="V59" s="324"/>
      <c r="W59" s="325"/>
      <c r="X59" s="323"/>
      <c r="Y59" s="323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3"/>
      <c r="T60" s="648"/>
      <c r="U60" s="648"/>
      <c r="V60" s="324"/>
      <c r="W60" s="325"/>
      <c r="X60" s="323"/>
      <c r="Y60" s="323"/>
    </row>
    <row r="61" spans="1:25" x14ac:dyDescent="0.25">
      <c r="S61" s="323"/>
      <c r="T61" s="648"/>
      <c r="U61" s="648"/>
      <c r="V61" s="324"/>
      <c r="W61" s="325"/>
      <c r="X61" s="323"/>
      <c r="Y61" s="329"/>
    </row>
    <row r="62" spans="1:25" x14ac:dyDescent="0.25">
      <c r="S62" s="323"/>
      <c r="T62" s="648"/>
      <c r="U62" s="648"/>
      <c r="V62" s="324"/>
      <c r="W62" s="325"/>
      <c r="X62" s="323"/>
      <c r="Y62" s="329"/>
    </row>
    <row r="63" spans="1:25" x14ac:dyDescent="0.25">
      <c r="S63" s="323"/>
      <c r="T63" s="648"/>
      <c r="U63" s="648"/>
      <c r="V63" s="324"/>
      <c r="W63" s="325"/>
      <c r="X63" s="323"/>
      <c r="Y63" s="329"/>
    </row>
    <row r="64" spans="1:25" x14ac:dyDescent="0.25">
      <c r="S64" s="323"/>
      <c r="T64" s="323"/>
      <c r="U64" s="323"/>
      <c r="V64" s="323"/>
      <c r="W64" s="323"/>
      <c r="X64" s="323"/>
      <c r="Y64" s="329"/>
    </row>
    <row r="65" spans="19:25" x14ac:dyDescent="0.25">
      <c r="S65" s="323"/>
      <c r="T65" s="323"/>
      <c r="U65" s="323"/>
      <c r="V65" s="323"/>
      <c r="W65" s="323"/>
      <c r="X65" s="323"/>
      <c r="Y65" s="329"/>
    </row>
    <row r="66" spans="19:25" x14ac:dyDescent="0.25">
      <c r="S66" s="12"/>
      <c r="T66" s="12"/>
      <c r="U66" s="12"/>
      <c r="V66" s="12"/>
      <c r="W66" s="12"/>
      <c r="X66" s="12"/>
    </row>
    <row r="67" spans="19:25" x14ac:dyDescent="0.25">
      <c r="S67" s="12"/>
      <c r="T67" s="12"/>
      <c r="U67" s="12"/>
      <c r="V67" s="12"/>
      <c r="W67" s="12"/>
      <c r="X67" s="12"/>
    </row>
    <row r="68" spans="19:25" x14ac:dyDescent="0.25">
      <c r="S68" s="12"/>
      <c r="T68" s="12"/>
      <c r="U68" s="12"/>
      <c r="V68" s="12"/>
      <c r="W68" s="12"/>
      <c r="X68" s="12"/>
    </row>
    <row r="69" spans="19:25" x14ac:dyDescent="0.25">
      <c r="S69" s="12"/>
      <c r="T69" s="12"/>
      <c r="U69" s="12"/>
      <c r="V69" s="12"/>
      <c r="W69" s="12"/>
      <c r="X69" s="12"/>
    </row>
    <row r="70" spans="19:25" x14ac:dyDescent="0.25">
      <c r="S70" s="12"/>
      <c r="T70" s="12"/>
      <c r="U70" s="12"/>
      <c r="V70" s="12"/>
      <c r="W70" s="12"/>
      <c r="X70" s="12"/>
    </row>
  </sheetData>
  <sheetProtection algorithmName="SHA-512" hashValue="TB+0ofcM4Ef91xlGGrk3SFg8gJ7Q2PannD0YXAU+eEQuiQBN1TfEV0WOR7hYS/vZ/C3S0grliRRzPmyoai90dw==" saltValue="ANbWCs1d9tWa3PhmE2Tzbw==" spinCount="100000" sheet="1" objects="1" scenarios="1" selectLockedCells="1" selectUnlockedCells="1"/>
  <mergeCells count="40">
    <mergeCell ref="B4:H5"/>
    <mergeCell ref="I4:N5"/>
    <mergeCell ref="A42:K42"/>
    <mergeCell ref="J43:K43"/>
    <mergeCell ref="R43:U43"/>
    <mergeCell ref="J46:K46"/>
    <mergeCell ref="A54:E54"/>
    <mergeCell ref="A55:E55"/>
    <mergeCell ref="R55:S55"/>
    <mergeCell ref="A43:B43"/>
    <mergeCell ref="D43:E43"/>
    <mergeCell ref="G43:H43"/>
    <mergeCell ref="T56:U56"/>
    <mergeCell ref="AF4:AF5"/>
    <mergeCell ref="AG4:AG5"/>
    <mergeCell ref="AH4:AH5"/>
    <mergeCell ref="O4:T5"/>
    <mergeCell ref="T62:U62"/>
    <mergeCell ref="T63:U63"/>
    <mergeCell ref="T57:U57"/>
    <mergeCell ref="T58:U58"/>
    <mergeCell ref="T59:U59"/>
    <mergeCell ref="T60:U60"/>
    <mergeCell ref="T61:U61"/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C66"/>
  <sheetViews>
    <sheetView tabSelected="1" topLeftCell="D43" zoomScale="80" zoomScaleNormal="80" workbookViewId="0">
      <selection activeCell="F52" sqref="F52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60" t="s">
        <v>206</v>
      </c>
    </row>
    <row r="4" spans="1:55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</row>
    <row r="5" spans="1:55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s="372" customFormat="1" ht="15" customHeight="1" x14ac:dyDescent="0.25">
      <c r="A8" s="384">
        <v>43435</v>
      </c>
      <c r="B8" s="366"/>
      <c r="C8" s="367">
        <v>75.771220592657642</v>
      </c>
      <c r="D8" s="367">
        <v>912.83478660583637</v>
      </c>
      <c r="E8" s="367">
        <v>21.291328280170781</v>
      </c>
      <c r="F8" s="367">
        <v>0</v>
      </c>
      <c r="G8" s="367">
        <v>1753.0802595774342</v>
      </c>
      <c r="H8" s="368">
        <v>26.903342203299285</v>
      </c>
      <c r="I8" s="366">
        <v>154.14943339029924</v>
      </c>
      <c r="J8" s="367">
        <v>451.53553155263302</v>
      </c>
      <c r="K8" s="367">
        <v>24.735088521242183</v>
      </c>
      <c r="L8" s="369">
        <v>2.9623889923096752E-2</v>
      </c>
      <c r="M8" s="367">
        <v>0</v>
      </c>
      <c r="N8" s="368">
        <v>0</v>
      </c>
      <c r="O8" s="366">
        <v>0</v>
      </c>
      <c r="P8" s="367">
        <v>0</v>
      </c>
      <c r="Q8" s="367">
        <v>0</v>
      </c>
      <c r="R8" s="367">
        <v>0</v>
      </c>
      <c r="S8" s="367">
        <v>0</v>
      </c>
      <c r="T8" s="368">
        <v>0</v>
      </c>
      <c r="U8" s="366">
        <v>267.87399303742092</v>
      </c>
      <c r="V8" s="367">
        <v>149.28480030601733</v>
      </c>
      <c r="W8" s="367">
        <v>42.935142607564359</v>
      </c>
      <c r="X8" s="367">
        <v>23.927534426177875</v>
      </c>
      <c r="Y8" s="367">
        <v>98.492239327242459</v>
      </c>
      <c r="Z8" s="367">
        <v>54.889219042648357</v>
      </c>
      <c r="AA8" s="368">
        <v>0</v>
      </c>
      <c r="AB8" s="370">
        <v>70.581359664599034</v>
      </c>
      <c r="AC8" s="371">
        <v>0</v>
      </c>
      <c r="AD8" s="411">
        <v>11.107922227148848</v>
      </c>
      <c r="AE8" s="411">
        <v>6.1196809983945988</v>
      </c>
      <c r="AF8" s="371">
        <v>16.730451760689437</v>
      </c>
      <c r="AG8" s="371">
        <v>10.596771468547376</v>
      </c>
      <c r="AH8" s="371">
        <v>5.9055263059807643</v>
      </c>
      <c r="AI8" s="371">
        <v>0.64213915015543199</v>
      </c>
      <c r="AJ8" s="371">
        <v>361.48762388229363</v>
      </c>
      <c r="AK8" s="371">
        <v>1368.0565662384035</v>
      </c>
      <c r="AL8" s="371">
        <v>3006.720407231649</v>
      </c>
      <c r="AM8" s="371">
        <v>493.87472534179688</v>
      </c>
      <c r="AN8" s="371">
        <v>3906.6800537109375</v>
      </c>
      <c r="AO8" s="371">
        <v>2670.3988487243655</v>
      </c>
      <c r="AP8" s="371">
        <v>654.70662024815886</v>
      </c>
      <c r="AQ8" s="371">
        <v>2295.8181767781575</v>
      </c>
      <c r="AR8" s="371">
        <v>420.76495157877594</v>
      </c>
      <c r="AS8" s="371">
        <v>584.65132509867351</v>
      </c>
    </row>
    <row r="9" spans="1:55" s="372" customFormat="1" ht="15" customHeight="1" x14ac:dyDescent="0.25">
      <c r="A9" s="383">
        <v>43436</v>
      </c>
      <c r="B9" s="366"/>
      <c r="C9" s="367">
        <v>75.851269042492177</v>
      </c>
      <c r="D9" s="367">
        <v>904.60076497395744</v>
      </c>
      <c r="E9" s="367">
        <v>21.031917463739735</v>
      </c>
      <c r="F9" s="367">
        <v>0</v>
      </c>
      <c r="G9" s="367">
        <v>1743.4612824757887</v>
      </c>
      <c r="H9" s="368">
        <v>26.794242088000026</v>
      </c>
      <c r="I9" s="366">
        <v>110.65797487099987</v>
      </c>
      <c r="J9" s="367">
        <v>339.01883494059308</v>
      </c>
      <c r="K9" s="367">
        <v>18.560855577389404</v>
      </c>
      <c r="L9" s="369">
        <v>7.8352403640746748E-2</v>
      </c>
      <c r="M9" s="367">
        <v>0</v>
      </c>
      <c r="N9" s="368">
        <v>0</v>
      </c>
      <c r="O9" s="366">
        <v>0</v>
      </c>
      <c r="P9" s="367">
        <v>0</v>
      </c>
      <c r="Q9" s="367">
        <v>0</v>
      </c>
      <c r="R9" s="367">
        <v>0</v>
      </c>
      <c r="S9" s="367">
        <v>0</v>
      </c>
      <c r="T9" s="368">
        <v>0</v>
      </c>
      <c r="U9" s="366">
        <v>212.37967567484606</v>
      </c>
      <c r="V9" s="367">
        <v>159.29015316392304</v>
      </c>
      <c r="W9" s="367">
        <v>32.9620982888177</v>
      </c>
      <c r="X9" s="367">
        <v>24.722411258733846</v>
      </c>
      <c r="Y9" s="367">
        <v>65.249560549536298</v>
      </c>
      <c r="Z9" s="367">
        <v>48.938828354399412</v>
      </c>
      <c r="AA9" s="368">
        <v>0</v>
      </c>
      <c r="AB9" s="370">
        <v>59.060437803797427</v>
      </c>
      <c r="AC9" s="371">
        <v>0</v>
      </c>
      <c r="AD9" s="412">
        <v>8.3429013039571949</v>
      </c>
      <c r="AE9" s="412">
        <v>6.1143099459734183</v>
      </c>
      <c r="AF9" s="371">
        <v>14.221730989880035</v>
      </c>
      <c r="AG9" s="371">
        <v>7.999662163594472</v>
      </c>
      <c r="AH9" s="371">
        <v>5.9999498880933917</v>
      </c>
      <c r="AI9" s="371">
        <v>0.57142027465182454</v>
      </c>
      <c r="AJ9" s="371">
        <v>365.23428500493367</v>
      </c>
      <c r="AK9" s="371">
        <v>1375.5348929723102</v>
      </c>
      <c r="AL9" s="371">
        <v>3316.9616579691565</v>
      </c>
      <c r="AM9" s="371">
        <v>493.87472534179688</v>
      </c>
      <c r="AN9" s="371">
        <v>3906.6800537109375</v>
      </c>
      <c r="AO9" s="371">
        <v>2656.0265179951984</v>
      </c>
      <c r="AP9" s="371">
        <v>631.49218641916923</v>
      </c>
      <c r="AQ9" s="371">
        <v>2094.1272225697835</v>
      </c>
      <c r="AR9" s="371">
        <v>434.18249098459881</v>
      </c>
      <c r="AS9" s="371">
        <v>501.72513615290319</v>
      </c>
    </row>
    <row r="10" spans="1:55" x14ac:dyDescent="0.25">
      <c r="A10" s="426">
        <v>43437</v>
      </c>
      <c r="B10" s="59"/>
      <c r="C10" s="60">
        <v>75.451187002658799</v>
      </c>
      <c r="D10" s="60">
        <v>891.85389302571753</v>
      </c>
      <c r="E10" s="60">
        <v>21.145891955494911</v>
      </c>
      <c r="F10" s="60">
        <v>0</v>
      </c>
      <c r="G10" s="60">
        <v>1705.007171058656</v>
      </c>
      <c r="H10" s="61">
        <v>26.792334127426212</v>
      </c>
      <c r="I10" s="59">
        <v>110.89392136732727</v>
      </c>
      <c r="J10" s="60">
        <v>339.72323767344216</v>
      </c>
      <c r="K10" s="60">
        <v>18.675809246798387</v>
      </c>
      <c r="L10" s="369">
        <v>0.11728653907775689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207.36350825685665</v>
      </c>
      <c r="V10" s="62">
        <v>155.49993958945007</v>
      </c>
      <c r="W10" s="62">
        <v>33.984878530047823</v>
      </c>
      <c r="X10" s="62">
        <v>25.484939962682628</v>
      </c>
      <c r="Y10" s="66">
        <v>57.930150102691535</v>
      </c>
      <c r="Z10" s="66">
        <v>43.441273332519664</v>
      </c>
      <c r="AA10" s="67">
        <v>0</v>
      </c>
      <c r="AB10" s="68">
        <v>59.061797332762893</v>
      </c>
      <c r="AC10" s="69">
        <v>0</v>
      </c>
      <c r="AD10" s="412">
        <v>8.3599522584739567</v>
      </c>
      <c r="AE10" s="412">
        <v>6.1149839781359443</v>
      </c>
      <c r="AF10" s="69">
        <v>13.845436884297273</v>
      </c>
      <c r="AG10" s="68">
        <v>7.7904009120274544</v>
      </c>
      <c r="AH10" s="68">
        <v>5.8419481874184083</v>
      </c>
      <c r="AI10" s="68">
        <v>0.57146430561583283</v>
      </c>
      <c r="AJ10" s="69">
        <v>368.23668484687806</v>
      </c>
      <c r="AK10" s="69">
        <v>1382.5819115956624</v>
      </c>
      <c r="AL10" s="69">
        <v>3027.6692099253337</v>
      </c>
      <c r="AM10" s="69">
        <v>493.87472534179688</v>
      </c>
      <c r="AN10" s="69">
        <v>3906.6800537109375</v>
      </c>
      <c r="AO10" s="69">
        <v>2773.3339225769046</v>
      </c>
      <c r="AP10" s="69">
        <v>642.91397406260171</v>
      </c>
      <c r="AQ10" s="69">
        <v>2162.3886391957603</v>
      </c>
      <c r="AR10" s="69">
        <v>432.72136521339417</v>
      </c>
      <c r="AS10" s="69">
        <v>576.77994515101113</v>
      </c>
    </row>
    <row r="11" spans="1:55" x14ac:dyDescent="0.25">
      <c r="A11" s="426">
        <v>43438</v>
      </c>
      <c r="B11" s="59"/>
      <c r="C11" s="60">
        <v>74.586869386832021</v>
      </c>
      <c r="D11" s="60">
        <v>880.95264816284237</v>
      </c>
      <c r="E11" s="60">
        <v>21.135247650742539</v>
      </c>
      <c r="F11" s="60">
        <v>0</v>
      </c>
      <c r="G11" s="60">
        <v>1690.6637456893939</v>
      </c>
      <c r="H11" s="61">
        <v>26.769540070494028</v>
      </c>
      <c r="I11" s="59">
        <v>110.75326260725653</v>
      </c>
      <c r="J11" s="60">
        <v>339.95503018697156</v>
      </c>
      <c r="K11" s="60">
        <v>18.539508211116036</v>
      </c>
      <c r="L11" s="369">
        <v>0.11609941720962336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202.20335993138428</v>
      </c>
      <c r="V11" s="62">
        <v>148.07171345915168</v>
      </c>
      <c r="W11" s="62">
        <v>34.05542544214078</v>
      </c>
      <c r="X11" s="62">
        <v>24.938483710208104</v>
      </c>
      <c r="Y11" s="66">
        <v>57.520609942668941</v>
      </c>
      <c r="Z11" s="66">
        <v>42.121828620042351</v>
      </c>
      <c r="AA11" s="67">
        <v>0</v>
      </c>
      <c r="AB11" s="68">
        <v>58.958302219708585</v>
      </c>
      <c r="AC11" s="69">
        <v>0</v>
      </c>
      <c r="AD11" s="412">
        <v>8.3626139515887274</v>
      </c>
      <c r="AE11" s="412">
        <v>6.0656463597755765</v>
      </c>
      <c r="AF11" s="69">
        <v>13.550822657677873</v>
      </c>
      <c r="AG11" s="68">
        <v>7.658240224806546</v>
      </c>
      <c r="AH11" s="68">
        <v>5.6080608776911776</v>
      </c>
      <c r="AI11" s="68">
        <v>0.57727019503308907</v>
      </c>
      <c r="AJ11" s="69">
        <v>379.03397587140398</v>
      </c>
      <c r="AK11" s="69">
        <v>1396.6121830622355</v>
      </c>
      <c r="AL11" s="69">
        <v>3043.6994004567464</v>
      </c>
      <c r="AM11" s="69">
        <v>493.87472534179688</v>
      </c>
      <c r="AN11" s="69">
        <v>3906.6800537109375</v>
      </c>
      <c r="AO11" s="69">
        <v>2789.6668763478592</v>
      </c>
      <c r="AP11" s="69">
        <v>667.25201927820854</v>
      </c>
      <c r="AQ11" s="69">
        <v>2197.4189770380658</v>
      </c>
      <c r="AR11" s="69">
        <v>439.0286072095235</v>
      </c>
      <c r="AS11" s="69">
        <v>643.45056139628105</v>
      </c>
    </row>
    <row r="12" spans="1:55" x14ac:dyDescent="0.25">
      <c r="A12" s="426">
        <v>43439</v>
      </c>
      <c r="B12" s="59"/>
      <c r="C12" s="60">
        <v>74.957672222455329</v>
      </c>
      <c r="D12" s="60">
        <v>882.90642668406224</v>
      </c>
      <c r="E12" s="60">
        <v>21.129403043786688</v>
      </c>
      <c r="F12" s="60">
        <v>0</v>
      </c>
      <c r="G12" s="60">
        <v>1746.9991465250682</v>
      </c>
      <c r="H12" s="61">
        <v>26.622004661957472</v>
      </c>
      <c r="I12" s="59">
        <v>109.4884951591491</v>
      </c>
      <c r="J12" s="60">
        <v>335.2304821491249</v>
      </c>
      <c r="K12" s="60">
        <v>18.459976059695073</v>
      </c>
      <c r="L12" s="369">
        <v>0.1128237843513467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204.05987375708739</v>
      </c>
      <c r="V12" s="62">
        <v>153.06591560973519</v>
      </c>
      <c r="W12" s="62">
        <v>32.975287100192737</v>
      </c>
      <c r="X12" s="62">
        <v>24.73486050713381</v>
      </c>
      <c r="Y12" s="66">
        <v>58.915645403186254</v>
      </c>
      <c r="Z12" s="66">
        <v>44.192800090194019</v>
      </c>
      <c r="AA12" s="67">
        <v>0</v>
      </c>
      <c r="AB12" s="68">
        <v>58.344785793621661</v>
      </c>
      <c r="AC12" s="69">
        <v>0</v>
      </c>
      <c r="AD12" s="412">
        <v>8.2498919604244492</v>
      </c>
      <c r="AE12" s="412">
        <v>6.0795234336301727</v>
      </c>
      <c r="AF12" s="69">
        <v>14.014416885375978</v>
      </c>
      <c r="AG12" s="68">
        <v>8.0002070508685446</v>
      </c>
      <c r="AH12" s="68">
        <v>6.0009790007337083</v>
      </c>
      <c r="AI12" s="68">
        <v>0.57139495335489987</v>
      </c>
      <c r="AJ12" s="69">
        <v>367.71345909436548</v>
      </c>
      <c r="AK12" s="69">
        <v>1375.1016076405847</v>
      </c>
      <c r="AL12" s="69">
        <v>2980.093525822957</v>
      </c>
      <c r="AM12" s="69">
        <v>493.87472534179688</v>
      </c>
      <c r="AN12" s="69">
        <v>3906.6800537109375</v>
      </c>
      <c r="AO12" s="69">
        <v>2775.0991961161294</v>
      </c>
      <c r="AP12" s="69">
        <v>660.75483134587603</v>
      </c>
      <c r="AQ12" s="69">
        <v>2087.2907906850178</v>
      </c>
      <c r="AR12" s="69">
        <v>434.23513760566709</v>
      </c>
      <c r="AS12" s="69">
        <v>662.37400019963593</v>
      </c>
    </row>
    <row r="13" spans="1:55" x14ac:dyDescent="0.25">
      <c r="A13" s="426">
        <v>43440</v>
      </c>
      <c r="B13" s="59"/>
      <c r="C13" s="60">
        <v>74.623967897891987</v>
      </c>
      <c r="D13" s="60">
        <v>877.53977826436676</v>
      </c>
      <c r="E13" s="60">
        <v>21.120970319211448</v>
      </c>
      <c r="F13" s="60">
        <v>0</v>
      </c>
      <c r="G13" s="60">
        <v>1745.521068827316</v>
      </c>
      <c r="H13" s="61">
        <v>26.742608294884402</v>
      </c>
      <c r="I13" s="59">
        <v>111.21581424872068</v>
      </c>
      <c r="J13" s="60">
        <v>337.79301948547425</v>
      </c>
      <c r="K13" s="60">
        <v>18.249484504759263</v>
      </c>
      <c r="L13" s="369">
        <v>0.13136402368545522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203.77999683446515</v>
      </c>
      <c r="V13" s="62">
        <v>152.6768734777003</v>
      </c>
      <c r="W13" s="62">
        <v>32.381176699035429</v>
      </c>
      <c r="X13" s="62">
        <v>24.260756181842961</v>
      </c>
      <c r="Y13" s="66">
        <v>58.68431527313556</v>
      </c>
      <c r="Z13" s="66">
        <v>43.967700055271756</v>
      </c>
      <c r="AA13" s="67">
        <v>0</v>
      </c>
      <c r="AB13" s="68">
        <v>58.538637754651802</v>
      </c>
      <c r="AC13" s="69">
        <v>0</v>
      </c>
      <c r="AD13" s="412">
        <v>8.309954539288654</v>
      </c>
      <c r="AE13" s="412">
        <v>6.090427550145133</v>
      </c>
      <c r="AF13" s="69">
        <v>13.963011608852263</v>
      </c>
      <c r="AG13" s="68">
        <v>7.9132503672610923</v>
      </c>
      <c r="AH13" s="68">
        <v>5.928797447676426</v>
      </c>
      <c r="AI13" s="68">
        <v>0.57168205695125407</v>
      </c>
      <c r="AJ13" s="69">
        <v>381.33747528394065</v>
      </c>
      <c r="AK13" s="69">
        <v>1392.1229192097983</v>
      </c>
      <c r="AL13" s="69">
        <v>3048.2890574137373</v>
      </c>
      <c r="AM13" s="69">
        <v>493.87472534179688</v>
      </c>
      <c r="AN13" s="69">
        <v>3906.6800537109375</v>
      </c>
      <c r="AO13" s="69">
        <v>2804.5867266337073</v>
      </c>
      <c r="AP13" s="69">
        <v>685.73325637181597</v>
      </c>
      <c r="AQ13" s="69">
        <v>1948.501238250733</v>
      </c>
      <c r="AR13" s="69">
        <v>447.90665917396547</v>
      </c>
      <c r="AS13" s="69">
        <v>612.65008440017687</v>
      </c>
    </row>
    <row r="14" spans="1:55" x14ac:dyDescent="0.25">
      <c r="A14" s="426">
        <v>43441</v>
      </c>
      <c r="B14" s="59"/>
      <c r="C14" s="60">
        <v>75.162208477656336</v>
      </c>
      <c r="D14" s="60">
        <v>868.0474334081033</v>
      </c>
      <c r="E14" s="60">
        <v>21.09645716547967</v>
      </c>
      <c r="F14" s="60">
        <v>0</v>
      </c>
      <c r="G14" s="60">
        <v>1696.8726697285963</v>
      </c>
      <c r="H14" s="61">
        <v>26.654234019915279</v>
      </c>
      <c r="I14" s="59">
        <v>112.91291634241736</v>
      </c>
      <c r="J14" s="60">
        <v>337.44629836082504</v>
      </c>
      <c r="K14" s="60">
        <v>18.285660418371361</v>
      </c>
      <c r="L14" s="369">
        <v>2.6116287708283469E-2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203.13129748263754</v>
      </c>
      <c r="V14" s="62">
        <v>152.40455963321256</v>
      </c>
      <c r="W14" s="62">
        <v>30.981987437535931</v>
      </c>
      <c r="X14" s="62">
        <v>23.245045005351667</v>
      </c>
      <c r="Y14" s="66">
        <v>58.245006632499731</v>
      </c>
      <c r="Z14" s="66">
        <v>43.699836985575324</v>
      </c>
      <c r="AA14" s="67">
        <v>0</v>
      </c>
      <c r="AB14" s="68">
        <v>58.970810265010442</v>
      </c>
      <c r="AC14" s="69">
        <v>0</v>
      </c>
      <c r="AD14" s="412">
        <v>8.3032214059376646</v>
      </c>
      <c r="AE14" s="412">
        <v>6.0880907428162212</v>
      </c>
      <c r="AF14" s="69">
        <v>13.616764855715969</v>
      </c>
      <c r="AG14" s="68">
        <v>7.703441458738002</v>
      </c>
      <c r="AH14" s="68">
        <v>5.7797080889494525</v>
      </c>
      <c r="AI14" s="68">
        <v>0.57133842738243956</v>
      </c>
      <c r="AJ14" s="69">
        <v>376.18288391431173</v>
      </c>
      <c r="AK14" s="69">
        <v>1384.4970856348668</v>
      </c>
      <c r="AL14" s="69">
        <v>2755.2358913421631</v>
      </c>
      <c r="AM14" s="69">
        <v>493.87472534179688</v>
      </c>
      <c r="AN14" s="69">
        <v>3906.6800537109375</v>
      </c>
      <c r="AO14" s="69">
        <v>2807.0093259175619</v>
      </c>
      <c r="AP14" s="69">
        <v>675.04095128377276</v>
      </c>
      <c r="AQ14" s="69">
        <v>1966.8339301427202</v>
      </c>
      <c r="AR14" s="69">
        <v>440.58873329162611</v>
      </c>
      <c r="AS14" s="69">
        <v>635.17966340382895</v>
      </c>
    </row>
    <row r="15" spans="1:55" x14ac:dyDescent="0.25">
      <c r="A15" s="426">
        <v>43442</v>
      </c>
      <c r="B15" s="59"/>
      <c r="C15" s="60">
        <v>75.921896223227264</v>
      </c>
      <c r="D15" s="60">
        <v>872.8972047170007</v>
      </c>
      <c r="E15" s="60">
        <v>21.138135281205169</v>
      </c>
      <c r="F15" s="60">
        <v>0</v>
      </c>
      <c r="G15" s="60">
        <v>1707.8541402181006</v>
      </c>
      <c r="H15" s="61">
        <v>26.772143940130899</v>
      </c>
      <c r="I15" s="59">
        <v>112.30550758838669</v>
      </c>
      <c r="J15" s="60">
        <v>335.89319222768205</v>
      </c>
      <c r="K15" s="60">
        <v>18.396121166646488</v>
      </c>
      <c r="L15" s="369">
        <v>4.0409088134765823E-3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207.68808068886383</v>
      </c>
      <c r="V15" s="62">
        <v>155.7638897506188</v>
      </c>
      <c r="W15" s="62">
        <v>31.495854852181722</v>
      </c>
      <c r="X15" s="62">
        <v>23.621561942913075</v>
      </c>
      <c r="Y15" s="66">
        <v>59.516572496043942</v>
      </c>
      <c r="Z15" s="66">
        <v>44.636807301891459</v>
      </c>
      <c r="AA15" s="67">
        <v>0</v>
      </c>
      <c r="AB15" s="68">
        <v>59.057592497930692</v>
      </c>
      <c r="AC15" s="69">
        <v>0</v>
      </c>
      <c r="AD15" s="412">
        <v>8.2647646377336557</v>
      </c>
      <c r="AE15" s="412">
        <v>6.121251268737776</v>
      </c>
      <c r="AF15" s="69">
        <v>14.012073265181662</v>
      </c>
      <c r="AG15" s="68">
        <v>7.9303640280393646</v>
      </c>
      <c r="AH15" s="68">
        <v>5.9476901324748539</v>
      </c>
      <c r="AI15" s="68">
        <v>0.57143198436296661</v>
      </c>
      <c r="AJ15" s="69">
        <v>368.15103473663333</v>
      </c>
      <c r="AK15" s="69">
        <v>1374.2588165918985</v>
      </c>
      <c r="AL15" s="69">
        <v>2702.6174779256185</v>
      </c>
      <c r="AM15" s="69">
        <v>493.87472534179688</v>
      </c>
      <c r="AN15" s="69">
        <v>3906.6800537109375</v>
      </c>
      <c r="AO15" s="69">
        <v>2721.9091241200763</v>
      </c>
      <c r="AP15" s="69">
        <v>627.5205361048379</v>
      </c>
      <c r="AQ15" s="69">
        <v>1964.2814673741664</v>
      </c>
      <c r="AR15" s="69">
        <v>426.104272810618</v>
      </c>
      <c r="AS15" s="69">
        <v>610.3939677874248</v>
      </c>
    </row>
    <row r="16" spans="1:55" x14ac:dyDescent="0.25">
      <c r="A16" s="426">
        <v>43443</v>
      </c>
      <c r="B16" s="59"/>
      <c r="C16" s="60">
        <v>75.272252611319075</v>
      </c>
      <c r="D16" s="60">
        <v>875.14642817179424</v>
      </c>
      <c r="E16" s="60">
        <v>21.386573547124879</v>
      </c>
      <c r="F16" s="60">
        <v>0</v>
      </c>
      <c r="G16" s="60">
        <v>1689.8881259282448</v>
      </c>
      <c r="H16" s="61">
        <v>26.868652248382581</v>
      </c>
      <c r="I16" s="59">
        <v>112.26578979492172</v>
      </c>
      <c r="J16" s="60">
        <v>335.67428593635634</v>
      </c>
      <c r="K16" s="60">
        <v>18.168447020153199</v>
      </c>
      <c r="L16" s="369">
        <v>1.4067649841308617E-3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207.27051004183508</v>
      </c>
      <c r="V16" s="62">
        <v>155.42622184343625</v>
      </c>
      <c r="W16" s="62">
        <v>31.674696614261521</v>
      </c>
      <c r="X16" s="62">
        <v>23.751948223594788</v>
      </c>
      <c r="Y16" s="66">
        <v>59.20597173013028</v>
      </c>
      <c r="Z16" s="66">
        <v>44.396863281351976</v>
      </c>
      <c r="AA16" s="67">
        <v>0</v>
      </c>
      <c r="AB16" s="68">
        <v>59.062458735041723</v>
      </c>
      <c r="AC16" s="69">
        <v>0</v>
      </c>
      <c r="AD16" s="412">
        <v>8.2586414485511774</v>
      </c>
      <c r="AE16" s="412">
        <v>6.1364990853461725</v>
      </c>
      <c r="AF16" s="69">
        <v>13.995414963695724</v>
      </c>
      <c r="AG16" s="68">
        <v>7.9234759674686508</v>
      </c>
      <c r="AH16" s="68">
        <v>5.9415877986808212</v>
      </c>
      <c r="AI16" s="68">
        <v>0.57147057533289036</v>
      </c>
      <c r="AJ16" s="69">
        <v>363.86739013989768</v>
      </c>
      <c r="AK16" s="69">
        <v>1366.9162380218511</v>
      </c>
      <c r="AL16" s="69">
        <v>2736.3056172688803</v>
      </c>
      <c r="AM16" s="69">
        <v>493.87472534179688</v>
      </c>
      <c r="AN16" s="69">
        <v>3906.6800537109375</v>
      </c>
      <c r="AO16" s="69">
        <v>2747.4228621164962</v>
      </c>
      <c r="AP16" s="69">
        <v>611.37942384084067</v>
      </c>
      <c r="AQ16" s="69">
        <v>1964.6083122889202</v>
      </c>
      <c r="AR16" s="69">
        <v>427.90253731409706</v>
      </c>
      <c r="AS16" s="69">
        <v>609.34396921793609</v>
      </c>
    </row>
    <row r="17" spans="1:45" x14ac:dyDescent="0.25">
      <c r="A17" s="426">
        <v>43444</v>
      </c>
      <c r="B17" s="49"/>
      <c r="C17" s="50">
        <v>75.701804506778828</v>
      </c>
      <c r="D17" s="50">
        <v>876.32819614410391</v>
      </c>
      <c r="E17" s="50">
        <v>21.333212858438507</v>
      </c>
      <c r="F17" s="50">
        <v>0</v>
      </c>
      <c r="G17" s="50">
        <v>1724.9212348937981</v>
      </c>
      <c r="H17" s="51">
        <v>26.922640001773932</v>
      </c>
      <c r="I17" s="49">
        <v>114.50488657156606</v>
      </c>
      <c r="J17" s="50">
        <v>342.35520776112941</v>
      </c>
      <c r="K17" s="50">
        <v>18.75201685130595</v>
      </c>
      <c r="L17" s="369">
        <v>1.4162063598632815E-4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206.42057934182941</v>
      </c>
      <c r="V17" s="66">
        <v>154.73677821313447</v>
      </c>
      <c r="W17" s="62">
        <v>30.92574901391691</v>
      </c>
      <c r="X17" s="62">
        <v>23.182527544005449</v>
      </c>
      <c r="Y17" s="66">
        <v>58.093775379338759</v>
      </c>
      <c r="Z17" s="66">
        <v>43.548194976966606</v>
      </c>
      <c r="AA17" s="67">
        <v>0</v>
      </c>
      <c r="AB17" s="68">
        <v>59.709873233901</v>
      </c>
      <c r="AC17" s="69">
        <v>0</v>
      </c>
      <c r="AD17" s="412">
        <v>8.4236949174716216</v>
      </c>
      <c r="AE17" s="412">
        <v>6.1454327610772728</v>
      </c>
      <c r="AF17" s="69">
        <v>13.944461748335099</v>
      </c>
      <c r="AG17" s="68">
        <v>7.890428540526389</v>
      </c>
      <c r="AH17" s="68">
        <v>5.9148147678636258</v>
      </c>
      <c r="AI17" s="68">
        <v>0.57155302259186191</v>
      </c>
      <c r="AJ17" s="69">
        <v>368.7598667303721</v>
      </c>
      <c r="AK17" s="69">
        <v>1368.8513734817504</v>
      </c>
      <c r="AL17" s="69">
        <v>2752.4236643473305</v>
      </c>
      <c r="AM17" s="69">
        <v>493.87472534179688</v>
      </c>
      <c r="AN17" s="69">
        <v>3906.6800537109375</v>
      </c>
      <c r="AO17" s="69">
        <v>2770.5081396738688</v>
      </c>
      <c r="AP17" s="69">
        <v>603.11030635833743</v>
      </c>
      <c r="AQ17" s="69">
        <v>1959.9631907780963</v>
      </c>
      <c r="AR17" s="69">
        <v>417.59549827575682</v>
      </c>
      <c r="AS17" s="69">
        <v>661.14754079182944</v>
      </c>
    </row>
    <row r="18" spans="1:45" x14ac:dyDescent="0.25">
      <c r="A18" s="426">
        <v>43445</v>
      </c>
      <c r="B18" s="59"/>
      <c r="C18" s="60">
        <v>75.414582343896285</v>
      </c>
      <c r="D18" s="60">
        <v>875.57235781351733</v>
      </c>
      <c r="E18" s="60">
        <v>21.315345553060393</v>
      </c>
      <c r="F18" s="60">
        <v>0</v>
      </c>
      <c r="G18" s="60">
        <v>1743.1517885843937</v>
      </c>
      <c r="H18" s="61">
        <v>26.893568704525688</v>
      </c>
      <c r="I18" s="59">
        <v>112.36175573666867</v>
      </c>
      <c r="J18" s="60">
        <v>336.05315580368102</v>
      </c>
      <c r="K18" s="60">
        <v>18.215564998487615</v>
      </c>
      <c r="L18" s="369">
        <v>1.6994476318359379E-4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205.40986061945509</v>
      </c>
      <c r="V18" s="62">
        <v>150.50560970516855</v>
      </c>
      <c r="W18" s="62">
        <v>30.581710122236256</v>
      </c>
      <c r="X18" s="62">
        <v>22.407487712096493</v>
      </c>
      <c r="Y18" s="66">
        <v>58.140202813474225</v>
      </c>
      <c r="Z18" s="66">
        <v>42.599837449066023</v>
      </c>
      <c r="AA18" s="67">
        <v>0</v>
      </c>
      <c r="AB18" s="68">
        <v>58.406719485918799</v>
      </c>
      <c r="AC18" s="69">
        <v>0</v>
      </c>
      <c r="AD18" s="412">
        <v>8.2687909792318646</v>
      </c>
      <c r="AE18" s="412">
        <v>6.1391699196025549</v>
      </c>
      <c r="AF18" s="69">
        <v>13.756648205386242</v>
      </c>
      <c r="AG18" s="68">
        <v>7.857355872020551</v>
      </c>
      <c r="AH18" s="68">
        <v>5.75715368591674</v>
      </c>
      <c r="AI18" s="68">
        <v>0.57713102617344703</v>
      </c>
      <c r="AJ18" s="69">
        <v>346.42168504397063</v>
      </c>
      <c r="AK18" s="69">
        <v>1345.730315335592</v>
      </c>
      <c r="AL18" s="69">
        <v>2743.1237894694009</v>
      </c>
      <c r="AM18" s="69">
        <v>493.87472534179688</v>
      </c>
      <c r="AN18" s="69">
        <v>3906.6800537109375</v>
      </c>
      <c r="AO18" s="69">
        <v>2619.6871033986408</v>
      </c>
      <c r="AP18" s="69">
        <v>597.00070692698159</v>
      </c>
      <c r="AQ18" s="69">
        <v>1934.8810354232787</v>
      </c>
      <c r="AR18" s="69">
        <v>398.27296271324155</v>
      </c>
      <c r="AS18" s="69">
        <v>609.26237014134733</v>
      </c>
    </row>
    <row r="19" spans="1:45" x14ac:dyDescent="0.25">
      <c r="A19" s="426">
        <v>43446</v>
      </c>
      <c r="B19" s="59"/>
      <c r="C19" s="60">
        <v>76.036256651083733</v>
      </c>
      <c r="D19" s="60">
        <v>876.88492291768353</v>
      </c>
      <c r="E19" s="60">
        <v>21.272330275674651</v>
      </c>
      <c r="F19" s="60">
        <v>0</v>
      </c>
      <c r="G19" s="60">
        <v>1796.8437361399369</v>
      </c>
      <c r="H19" s="61">
        <v>26.962377585967431</v>
      </c>
      <c r="I19" s="59">
        <v>112.36137029329917</v>
      </c>
      <c r="J19" s="60">
        <v>336.23002643585301</v>
      </c>
      <c r="K19" s="60">
        <v>18.209918280442572</v>
      </c>
      <c r="L19" s="369">
        <v>5.4759979248046814E-4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197.07061321288455</v>
      </c>
      <c r="V19" s="62">
        <v>147.81253237376683</v>
      </c>
      <c r="W19" s="62">
        <v>29.111742392751541</v>
      </c>
      <c r="X19" s="62">
        <v>21.835220861859131</v>
      </c>
      <c r="Y19" s="66">
        <v>54.915004302122746</v>
      </c>
      <c r="Z19" s="66">
        <v>41.188920655788387</v>
      </c>
      <c r="AA19" s="67">
        <v>0</v>
      </c>
      <c r="AB19" s="68">
        <v>58.678961714108247</v>
      </c>
      <c r="AC19" s="69">
        <v>0</v>
      </c>
      <c r="AD19" s="412">
        <v>8.2740155763620002</v>
      </c>
      <c r="AE19" s="412">
        <v>6.1495720526544417</v>
      </c>
      <c r="AF19" s="69">
        <v>13.267558104130938</v>
      </c>
      <c r="AG19" s="68">
        <v>7.5016568442340299</v>
      </c>
      <c r="AH19" s="68">
        <v>5.6266070169854014</v>
      </c>
      <c r="AI19" s="68">
        <v>0.57141271104351732</v>
      </c>
      <c r="AJ19" s="69">
        <v>336.15848396619168</v>
      </c>
      <c r="AK19" s="69">
        <v>1339.3620586395264</v>
      </c>
      <c r="AL19" s="69">
        <v>2724.4683223724364</v>
      </c>
      <c r="AM19" s="69">
        <v>493.87472534179688</v>
      </c>
      <c r="AN19" s="69">
        <v>3906.6800537109375</v>
      </c>
      <c r="AO19" s="69">
        <v>2606.0145551045734</v>
      </c>
      <c r="AP19" s="69">
        <v>604.08824141820276</v>
      </c>
      <c r="AQ19" s="69">
        <v>1952.5165273666382</v>
      </c>
      <c r="AR19" s="69">
        <v>406.10919488271082</v>
      </c>
      <c r="AS19" s="69">
        <v>624.50141690572093</v>
      </c>
    </row>
    <row r="20" spans="1:45" x14ac:dyDescent="0.25">
      <c r="A20" s="426">
        <v>43447</v>
      </c>
      <c r="B20" s="59"/>
      <c r="C20" s="60">
        <v>76.053523409366747</v>
      </c>
      <c r="D20" s="60">
        <v>876.52430839538681</v>
      </c>
      <c r="E20" s="60">
        <v>21.378834652900697</v>
      </c>
      <c r="F20" s="60">
        <v>0</v>
      </c>
      <c r="G20" s="60">
        <v>1830.89323590596</v>
      </c>
      <c r="H20" s="61">
        <v>26.967015433311527</v>
      </c>
      <c r="I20" s="59">
        <v>112.96937878926579</v>
      </c>
      <c r="J20" s="60">
        <v>338.65100944836968</v>
      </c>
      <c r="K20" s="60">
        <v>18.611330124239121</v>
      </c>
      <c r="L20" s="369">
        <v>1.8882751464843751E-5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210.12834132396938</v>
      </c>
      <c r="V20" s="62">
        <v>157.30760475909875</v>
      </c>
      <c r="W20" s="62">
        <v>32.369992207960472</v>
      </c>
      <c r="X20" s="62">
        <v>24.233027816339124</v>
      </c>
      <c r="Y20" s="66">
        <v>57.632541014312061</v>
      </c>
      <c r="Z20" s="66">
        <v>43.145236506503487</v>
      </c>
      <c r="AA20" s="67">
        <v>0</v>
      </c>
      <c r="AB20" s="68">
        <v>59.213434518707587</v>
      </c>
      <c r="AC20" s="69">
        <v>0</v>
      </c>
      <c r="AD20" s="412">
        <v>8.3304073468670516</v>
      </c>
      <c r="AE20" s="412">
        <v>6.1462665684279942</v>
      </c>
      <c r="AF20" s="69">
        <v>13.996126141150793</v>
      </c>
      <c r="AG20" s="68">
        <v>7.9271859893214351</v>
      </c>
      <c r="AH20" s="68">
        <v>5.9344999946363481</v>
      </c>
      <c r="AI20" s="68">
        <v>0.57187747569059177</v>
      </c>
      <c r="AJ20" s="69">
        <v>354.05113940238948</v>
      </c>
      <c r="AK20" s="69">
        <v>1365.82928797404</v>
      </c>
      <c r="AL20" s="69">
        <v>2697.5510742187503</v>
      </c>
      <c r="AM20" s="69">
        <v>493.87472534179688</v>
      </c>
      <c r="AN20" s="69">
        <v>3906.6800537109375</v>
      </c>
      <c r="AO20" s="69">
        <v>2705.4274817148848</v>
      </c>
      <c r="AP20" s="69">
        <v>620.10184755325304</v>
      </c>
      <c r="AQ20" s="69">
        <v>1963.507979075114</v>
      </c>
      <c r="AR20" s="69">
        <v>429.41050769488015</v>
      </c>
      <c r="AS20" s="69">
        <v>643.38378744125362</v>
      </c>
    </row>
    <row r="21" spans="1:45" ht="15.75" customHeight="1" x14ac:dyDescent="0.25">
      <c r="A21" s="426">
        <v>43448</v>
      </c>
      <c r="B21" s="59"/>
      <c r="C21" s="60">
        <v>75.665742027759521</v>
      </c>
      <c r="D21" s="60">
        <v>876.26692212422779</v>
      </c>
      <c r="E21" s="60">
        <v>21.450346177319666</v>
      </c>
      <c r="F21" s="60">
        <v>0</v>
      </c>
      <c r="G21" s="60">
        <v>1810.378792317704</v>
      </c>
      <c r="H21" s="61">
        <v>26.942170025904989</v>
      </c>
      <c r="I21" s="59">
        <v>112.62509497006705</v>
      </c>
      <c r="J21" s="60">
        <v>336.85802518526742</v>
      </c>
      <c r="K21" s="60">
        <v>18.451848335564137</v>
      </c>
      <c r="L21" s="369">
        <v>6.6089630126953122E-5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211.24155238409165</v>
      </c>
      <c r="V21" s="62">
        <v>158.42554636061638</v>
      </c>
      <c r="W21" s="62">
        <v>32.511585370882607</v>
      </c>
      <c r="X21" s="62">
        <v>24.382824388956681</v>
      </c>
      <c r="Y21" s="66">
        <v>52.92014068418684</v>
      </c>
      <c r="Z21" s="66">
        <v>39.68869811242859</v>
      </c>
      <c r="AA21" s="67">
        <v>0</v>
      </c>
      <c r="AB21" s="68">
        <v>58.405694301923369</v>
      </c>
      <c r="AC21" s="69">
        <v>0</v>
      </c>
      <c r="AD21" s="412">
        <v>8.2879738825491245</v>
      </c>
      <c r="AE21" s="412">
        <v>6.1449950455799636</v>
      </c>
      <c r="AF21" s="69">
        <v>14.135139705075151</v>
      </c>
      <c r="AG21" s="68">
        <v>7.9999341800676103</v>
      </c>
      <c r="AH21" s="68">
        <v>5.9997378783778839</v>
      </c>
      <c r="AI21" s="68">
        <v>0.57143725557782188</v>
      </c>
      <c r="AJ21" s="69">
        <v>344.66588552792871</v>
      </c>
      <c r="AK21" s="69">
        <v>1355.652605565389</v>
      </c>
      <c r="AL21" s="69">
        <v>2728.408234914144</v>
      </c>
      <c r="AM21" s="69">
        <v>493.87472534179688</v>
      </c>
      <c r="AN21" s="69">
        <v>3906.6800537109375</v>
      </c>
      <c r="AO21" s="69">
        <v>2619.8962781270338</v>
      </c>
      <c r="AP21" s="69">
        <v>607.8820414543153</v>
      </c>
      <c r="AQ21" s="69">
        <v>1953.4264418919881</v>
      </c>
      <c r="AR21" s="69">
        <v>420.80747400919591</v>
      </c>
      <c r="AS21" s="69">
        <v>637.7505486806233</v>
      </c>
    </row>
    <row r="22" spans="1:45" x14ac:dyDescent="0.25">
      <c r="A22" s="426">
        <v>43449</v>
      </c>
      <c r="B22" s="59"/>
      <c r="C22" s="60">
        <v>75.751531255245155</v>
      </c>
      <c r="D22" s="60">
        <v>875.76008567810061</v>
      </c>
      <c r="E22" s="60">
        <v>21.542331138253221</v>
      </c>
      <c r="F22" s="60">
        <v>0</v>
      </c>
      <c r="G22" s="60">
        <v>1799.9366566975937</v>
      </c>
      <c r="H22" s="61">
        <v>26.970368699232779</v>
      </c>
      <c r="I22" s="59">
        <v>112.44634382724701</v>
      </c>
      <c r="J22" s="60">
        <v>336.23276557922452</v>
      </c>
      <c r="K22" s="60">
        <v>18.328342648843943</v>
      </c>
      <c r="L22" s="369">
        <v>2.8324127197265628E-5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209.50529405098271</v>
      </c>
      <c r="V22" s="62">
        <v>157.1564085713251</v>
      </c>
      <c r="W22" s="62">
        <v>31.969847930419732</v>
      </c>
      <c r="X22" s="62">
        <v>23.981572905234223</v>
      </c>
      <c r="Y22" s="66">
        <v>52.406052830976449</v>
      </c>
      <c r="Z22" s="66">
        <v>39.311403025028966</v>
      </c>
      <c r="AA22" s="67">
        <v>0</v>
      </c>
      <c r="AB22" s="68">
        <v>58.409059643746041</v>
      </c>
      <c r="AC22" s="69">
        <v>0</v>
      </c>
      <c r="AD22" s="412">
        <v>8.2735622332891374</v>
      </c>
      <c r="AE22" s="412">
        <v>6.1410772129808171</v>
      </c>
      <c r="AF22" s="69">
        <v>14.087595674064456</v>
      </c>
      <c r="AG22" s="68">
        <v>7.922893011518239</v>
      </c>
      <c r="AH22" s="68">
        <v>5.9432073868360371</v>
      </c>
      <c r="AI22" s="68">
        <v>0.57138581027861168</v>
      </c>
      <c r="AJ22" s="69">
        <v>336.37854444185888</v>
      </c>
      <c r="AK22" s="69">
        <v>1339.2373216629028</v>
      </c>
      <c r="AL22" s="69">
        <v>2722.1524640401203</v>
      </c>
      <c r="AM22" s="69">
        <v>493.87472534179688</v>
      </c>
      <c r="AN22" s="69">
        <v>3906.6800537109375</v>
      </c>
      <c r="AO22" s="69">
        <v>2507.1744893391929</v>
      </c>
      <c r="AP22" s="69">
        <v>588.00778242746992</v>
      </c>
      <c r="AQ22" s="69">
        <v>2510.7754064718883</v>
      </c>
      <c r="AR22" s="69">
        <v>410.02986276944489</v>
      </c>
      <c r="AS22" s="69">
        <v>595.90135339101153</v>
      </c>
    </row>
    <row r="23" spans="1:45" x14ac:dyDescent="0.25">
      <c r="A23" s="426">
        <v>43450</v>
      </c>
      <c r="B23" s="59"/>
      <c r="C23" s="60">
        <v>75.844882623354493</v>
      </c>
      <c r="D23" s="60">
        <v>876.39292284647581</v>
      </c>
      <c r="E23" s="60">
        <v>21.590663688381557</v>
      </c>
      <c r="F23" s="60">
        <v>0</v>
      </c>
      <c r="G23" s="60">
        <v>1788.7291465759258</v>
      </c>
      <c r="H23" s="61">
        <v>27.003881200154673</v>
      </c>
      <c r="I23" s="59">
        <v>113.38921059767412</v>
      </c>
      <c r="J23" s="60">
        <v>339.07259691556351</v>
      </c>
      <c r="K23" s="60">
        <v>18.637737504144496</v>
      </c>
      <c r="L23" s="369">
        <v>2.4547576904296884E-4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205.71384034395231</v>
      </c>
      <c r="V23" s="62">
        <v>154.21263195964951</v>
      </c>
      <c r="W23" s="62">
        <v>29.18009328058935</v>
      </c>
      <c r="X23" s="62">
        <v>21.874750761076147</v>
      </c>
      <c r="Y23" s="66">
        <v>50.631747402323114</v>
      </c>
      <c r="Z23" s="66">
        <v>37.955905225304107</v>
      </c>
      <c r="AA23" s="67">
        <v>0</v>
      </c>
      <c r="AB23" s="68">
        <v>59.108857761489055</v>
      </c>
      <c r="AC23" s="69">
        <v>0</v>
      </c>
      <c r="AD23" s="412">
        <v>8.3436697322193432</v>
      </c>
      <c r="AE23" s="412">
        <v>6.1465303841823502</v>
      </c>
      <c r="AF23" s="69">
        <v>13.479217819703946</v>
      </c>
      <c r="AG23" s="68">
        <v>7.6053771232652547</v>
      </c>
      <c r="AH23" s="68">
        <v>5.7013432896077987</v>
      </c>
      <c r="AI23" s="68">
        <v>0.57154406850749917</v>
      </c>
      <c r="AJ23" s="69">
        <v>327.2749121348063</v>
      </c>
      <c r="AK23" s="69">
        <v>1335.2882582982381</v>
      </c>
      <c r="AL23" s="69">
        <v>2721.1751827239991</v>
      </c>
      <c r="AM23" s="69">
        <v>493.87472534179688</v>
      </c>
      <c r="AN23" s="69">
        <v>3906.6800537109375</v>
      </c>
      <c r="AO23" s="69">
        <v>2551.9093472798668</v>
      </c>
      <c r="AP23" s="69">
        <v>574.41875934600841</v>
      </c>
      <c r="AQ23" s="69">
        <v>1922.9651663462316</v>
      </c>
      <c r="AR23" s="69">
        <v>406.42394401232389</v>
      </c>
      <c r="AS23" s="69">
        <v>541.95029999415055</v>
      </c>
    </row>
    <row r="24" spans="1:45" x14ac:dyDescent="0.25">
      <c r="A24" s="426">
        <v>43451</v>
      </c>
      <c r="B24" s="59"/>
      <c r="C24" s="60">
        <v>75.891184357802302</v>
      </c>
      <c r="D24" s="60">
        <v>875.43722648620758</v>
      </c>
      <c r="E24" s="60">
        <v>21.606692467133211</v>
      </c>
      <c r="F24" s="60">
        <v>0</v>
      </c>
      <c r="G24" s="60">
        <v>1839.5529921213804</v>
      </c>
      <c r="H24" s="61">
        <v>26.942474303642953</v>
      </c>
      <c r="I24" s="59">
        <v>113.66483334700268</v>
      </c>
      <c r="J24" s="60">
        <v>340.02707109451376</v>
      </c>
      <c r="K24" s="60">
        <v>18.370857134461417</v>
      </c>
      <c r="L24" s="369">
        <v>4.0597915649414034E-4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211.29417761414487</v>
      </c>
      <c r="V24" s="62">
        <v>154.61999395440563</v>
      </c>
      <c r="W24" s="62">
        <v>31.217363654623149</v>
      </c>
      <c r="X24" s="62">
        <v>22.844115413179217</v>
      </c>
      <c r="Y24" s="66">
        <v>53.720418125431536</v>
      </c>
      <c r="Z24" s="66">
        <v>39.3113090931963</v>
      </c>
      <c r="AA24" s="67">
        <v>0</v>
      </c>
      <c r="AB24" s="68">
        <v>59.073182834519564</v>
      </c>
      <c r="AC24" s="69">
        <v>0</v>
      </c>
      <c r="AD24" s="412">
        <v>8.3665056139426532</v>
      </c>
      <c r="AE24" s="412">
        <v>6.138980060486988</v>
      </c>
      <c r="AF24" s="69">
        <v>13.961404479543374</v>
      </c>
      <c r="AG24" s="68">
        <v>7.9287919706270467</v>
      </c>
      <c r="AH24" s="68">
        <v>5.8020991416188661</v>
      </c>
      <c r="AI24" s="68">
        <v>0.57744190859948952</v>
      </c>
      <c r="AJ24" s="69">
        <v>315.63819354375192</v>
      </c>
      <c r="AK24" s="69">
        <v>1317.1133100509642</v>
      </c>
      <c r="AL24" s="69">
        <v>2720.0209149678549</v>
      </c>
      <c r="AM24" s="69">
        <v>493.87472534179688</v>
      </c>
      <c r="AN24" s="69">
        <v>3906.6800537109375</v>
      </c>
      <c r="AO24" s="69">
        <v>2541.6272398630781</v>
      </c>
      <c r="AP24" s="69">
        <v>582.67267866134637</v>
      </c>
      <c r="AQ24" s="69">
        <v>1912.7694781621299</v>
      </c>
      <c r="AR24" s="69">
        <v>395.95130297342939</v>
      </c>
      <c r="AS24" s="69">
        <v>629.16562465031939</v>
      </c>
    </row>
    <row r="25" spans="1:45" x14ac:dyDescent="0.25">
      <c r="A25" s="426">
        <v>43452</v>
      </c>
      <c r="B25" s="59"/>
      <c r="C25" s="60">
        <v>75.660454738139791</v>
      </c>
      <c r="D25" s="60">
        <v>875.74195562998523</v>
      </c>
      <c r="E25" s="60">
        <v>21.638776881992868</v>
      </c>
      <c r="F25" s="60">
        <v>0</v>
      </c>
      <c r="G25" s="60">
        <v>1909.5203612009693</v>
      </c>
      <c r="H25" s="61">
        <v>26.882296403249189</v>
      </c>
      <c r="I25" s="59">
        <v>113.62501982847863</v>
      </c>
      <c r="J25" s="60">
        <v>339.61194531122942</v>
      </c>
      <c r="K25" s="60">
        <v>18.486984315017843</v>
      </c>
      <c r="L25" s="369">
        <v>8.9693069458007672E-4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208.10232151444836</v>
      </c>
      <c r="V25" s="62">
        <v>156.10597485870687</v>
      </c>
      <c r="W25" s="62">
        <v>30.634207606549179</v>
      </c>
      <c r="X25" s="62">
        <v>22.979959126079951</v>
      </c>
      <c r="Y25" s="66">
        <v>53.661954124818678</v>
      </c>
      <c r="Z25" s="66">
        <v>40.25400389825262</v>
      </c>
      <c r="AA25" s="67">
        <v>0</v>
      </c>
      <c r="AB25" s="68">
        <v>59.074640692605008</v>
      </c>
      <c r="AC25" s="69">
        <v>0</v>
      </c>
      <c r="AD25" s="412">
        <v>8.3557484575337106</v>
      </c>
      <c r="AE25" s="412">
        <v>6.1405603542804243</v>
      </c>
      <c r="AF25" s="69">
        <v>14.022198339965632</v>
      </c>
      <c r="AG25" s="68">
        <v>7.8854111508842184</v>
      </c>
      <c r="AH25" s="68">
        <v>5.9151660871069813</v>
      </c>
      <c r="AI25" s="68">
        <v>0.57138270486083031</v>
      </c>
      <c r="AJ25" s="69">
        <v>303.09808648427327</v>
      </c>
      <c r="AK25" s="69">
        <v>1301.8278724670408</v>
      </c>
      <c r="AL25" s="69">
        <v>2733.5545989990228</v>
      </c>
      <c r="AM25" s="69">
        <v>493.87472534179688</v>
      </c>
      <c r="AN25" s="69">
        <v>3906.6800537109375</v>
      </c>
      <c r="AO25" s="69">
        <v>2491.5207454681395</v>
      </c>
      <c r="AP25" s="69">
        <v>577.6060964902241</v>
      </c>
      <c r="AQ25" s="69">
        <v>1908.0132889429728</v>
      </c>
      <c r="AR25" s="69">
        <v>390.24142168362926</v>
      </c>
      <c r="AS25" s="69">
        <v>644.40213206609076</v>
      </c>
    </row>
    <row r="26" spans="1:45" x14ac:dyDescent="0.25">
      <c r="A26" s="426">
        <v>43453</v>
      </c>
      <c r="B26" s="59"/>
      <c r="C26" s="60">
        <v>75.040532449881084</v>
      </c>
      <c r="D26" s="60">
        <v>818.24357064564913</v>
      </c>
      <c r="E26" s="60">
        <v>21.555802356700138</v>
      </c>
      <c r="F26" s="60">
        <v>0</v>
      </c>
      <c r="G26" s="60">
        <v>1733.2843388239573</v>
      </c>
      <c r="H26" s="61">
        <v>26.738185322284735</v>
      </c>
      <c r="I26" s="59">
        <v>114.31063493092849</v>
      </c>
      <c r="J26" s="60">
        <v>341.87287809054129</v>
      </c>
      <c r="K26" s="60">
        <v>18.695114294687905</v>
      </c>
      <c r="L26" s="369">
        <v>1.085758209228515E-3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205.65517192316793</v>
      </c>
      <c r="V26" s="62">
        <v>154.19621137083305</v>
      </c>
      <c r="W26" s="62">
        <v>30.665527977393634</v>
      </c>
      <c r="X26" s="62">
        <v>22.992410983794453</v>
      </c>
      <c r="Y26" s="66">
        <v>54.591227077822822</v>
      </c>
      <c r="Z26" s="66">
        <v>40.931430562952045</v>
      </c>
      <c r="AA26" s="67">
        <v>0</v>
      </c>
      <c r="AB26" s="68">
        <v>59.404723548889251</v>
      </c>
      <c r="AC26" s="69">
        <v>0</v>
      </c>
      <c r="AD26" s="412">
        <v>8.4144939199309512</v>
      </c>
      <c r="AE26" s="412">
        <v>6.1037030481042409</v>
      </c>
      <c r="AF26" s="69">
        <v>13.824629929330596</v>
      </c>
      <c r="AG26" s="68">
        <v>7.7693366757166249</v>
      </c>
      <c r="AH26" s="68">
        <v>5.8252961452753338</v>
      </c>
      <c r="AI26" s="68">
        <v>0.57150029559604687</v>
      </c>
      <c r="AJ26" s="69">
        <v>331.06726568539938</v>
      </c>
      <c r="AK26" s="69">
        <v>1330.7488707860307</v>
      </c>
      <c r="AL26" s="69">
        <v>2782.1019451141356</v>
      </c>
      <c r="AM26" s="69">
        <v>493.87472534179688</v>
      </c>
      <c r="AN26" s="69">
        <v>3906.6800537109375</v>
      </c>
      <c r="AO26" s="69">
        <v>2499.215971120198</v>
      </c>
      <c r="AP26" s="69">
        <v>611.46148309707633</v>
      </c>
      <c r="AQ26" s="69">
        <v>1924.6906977335609</v>
      </c>
      <c r="AR26" s="69">
        <v>406.77690210342411</v>
      </c>
      <c r="AS26" s="69">
        <v>628.8423050880433</v>
      </c>
    </row>
    <row r="27" spans="1:45" x14ac:dyDescent="0.25">
      <c r="A27" s="426">
        <v>43454</v>
      </c>
      <c r="B27" s="59"/>
      <c r="C27" s="60">
        <v>75.298549962043907</v>
      </c>
      <c r="D27" s="60">
        <v>797.743312772114</v>
      </c>
      <c r="E27" s="60">
        <v>21.495174043377283</v>
      </c>
      <c r="F27" s="60">
        <v>0</v>
      </c>
      <c r="G27" s="60">
        <v>1583.6362102508574</v>
      </c>
      <c r="H27" s="61">
        <v>26.728732552131095</v>
      </c>
      <c r="I27" s="59">
        <v>113.55923347473106</v>
      </c>
      <c r="J27" s="60">
        <v>339.17871340115937</v>
      </c>
      <c r="K27" s="60">
        <v>18.603400493661546</v>
      </c>
      <c r="L27" s="369">
        <v>1.2273788452148439E-4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209.85535809606242</v>
      </c>
      <c r="V27" s="62">
        <v>157.37746642023311</v>
      </c>
      <c r="W27" s="62">
        <v>31.625012134823528</v>
      </c>
      <c r="X27" s="62">
        <v>23.71664145458405</v>
      </c>
      <c r="Y27" s="62">
        <v>58.644864348855975</v>
      </c>
      <c r="Z27" s="62">
        <v>43.979721335284708</v>
      </c>
      <c r="AA27" s="72">
        <v>0</v>
      </c>
      <c r="AB27" s="69">
        <v>59.07165888415463</v>
      </c>
      <c r="AC27" s="69">
        <v>0</v>
      </c>
      <c r="AD27" s="412">
        <v>8.3554824410575108</v>
      </c>
      <c r="AE27" s="412">
        <v>6.0972414479351773</v>
      </c>
      <c r="AF27" s="69">
        <v>14.083178531461298</v>
      </c>
      <c r="AG27" s="69">
        <v>7.928741840191412</v>
      </c>
      <c r="AH27" s="69">
        <v>5.9460254626342772</v>
      </c>
      <c r="AI27" s="69">
        <v>0.57145043712384791</v>
      </c>
      <c r="AJ27" s="69">
        <v>337.42508695920316</v>
      </c>
      <c r="AK27" s="69">
        <v>1347.823510424296</v>
      </c>
      <c r="AL27" s="69">
        <v>2698.2521054585773</v>
      </c>
      <c r="AM27" s="69">
        <v>493.87472534179688</v>
      </c>
      <c r="AN27" s="69">
        <v>3906.6800537109375</v>
      </c>
      <c r="AO27" s="69">
        <v>2567.6754096984864</v>
      </c>
      <c r="AP27" s="69">
        <v>643.86971155802416</v>
      </c>
      <c r="AQ27" s="69">
        <v>1951.5916563669846</v>
      </c>
      <c r="AR27" s="69">
        <v>423.0811845143636</v>
      </c>
      <c r="AS27" s="69">
        <v>600.14118223190303</v>
      </c>
    </row>
    <row r="28" spans="1:45" x14ac:dyDescent="0.25">
      <c r="A28" s="426">
        <v>43455</v>
      </c>
      <c r="B28" s="59"/>
      <c r="C28" s="60">
        <v>75.339302380879531</v>
      </c>
      <c r="D28" s="60">
        <v>797.80248673756978</v>
      </c>
      <c r="E28" s="60">
        <v>21.513211161394928</v>
      </c>
      <c r="F28" s="60">
        <v>0</v>
      </c>
      <c r="G28" s="60">
        <v>1545.6655764897632</v>
      </c>
      <c r="H28" s="61">
        <v>26.808368468284662</v>
      </c>
      <c r="I28" s="59">
        <v>113.46116545995068</v>
      </c>
      <c r="J28" s="60">
        <v>339.42822440465386</v>
      </c>
      <c r="K28" s="60">
        <v>18.376084710160882</v>
      </c>
      <c r="L28" s="369">
        <v>4.7206878662109375E-5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209.40863405546153</v>
      </c>
      <c r="V28" s="62">
        <v>157.06909735255007</v>
      </c>
      <c r="W28" s="62">
        <v>31.182890351869769</v>
      </c>
      <c r="X28" s="62">
        <v>23.389047268769897</v>
      </c>
      <c r="Y28" s="66">
        <v>58.874167783420823</v>
      </c>
      <c r="Z28" s="66">
        <v>44.159174395241784</v>
      </c>
      <c r="AA28" s="67">
        <v>0</v>
      </c>
      <c r="AB28" s="68">
        <v>59.075629626380177</v>
      </c>
      <c r="AC28" s="69">
        <v>0</v>
      </c>
      <c r="AD28" s="412">
        <v>8.3518074335779886</v>
      </c>
      <c r="AE28" s="412">
        <v>6.0975379466939073</v>
      </c>
      <c r="AF28" s="69">
        <v>14.093687779042448</v>
      </c>
      <c r="AG28" s="68">
        <v>7.931349549808477</v>
      </c>
      <c r="AH28" s="68">
        <v>5.9489902132976615</v>
      </c>
      <c r="AI28" s="68">
        <v>0.57140889093291203</v>
      </c>
      <c r="AJ28" s="69">
        <v>318.5663945039114</v>
      </c>
      <c r="AK28" s="69">
        <v>1323.6073123296105</v>
      </c>
      <c r="AL28" s="69">
        <v>2903.3428900400795</v>
      </c>
      <c r="AM28" s="69">
        <v>487.79116544723513</v>
      </c>
      <c r="AN28" s="69">
        <v>3906.6800537109375</v>
      </c>
      <c r="AO28" s="69">
        <v>2506.669442367554</v>
      </c>
      <c r="AP28" s="69">
        <v>618.16537901560446</v>
      </c>
      <c r="AQ28" s="69">
        <v>1930.6877281188961</v>
      </c>
      <c r="AR28" s="69">
        <v>402.16845572789509</v>
      </c>
      <c r="AS28" s="69">
        <v>653.40211575826004</v>
      </c>
    </row>
    <row r="29" spans="1:45" x14ac:dyDescent="0.25">
      <c r="A29" s="426">
        <v>43456</v>
      </c>
      <c r="B29" s="59"/>
      <c r="C29" s="60">
        <v>75.276358143488622</v>
      </c>
      <c r="D29" s="60">
        <v>805.14494132995696</v>
      </c>
      <c r="E29" s="60">
        <v>21.48900474607948</v>
      </c>
      <c r="F29" s="60">
        <v>0</v>
      </c>
      <c r="G29" s="60">
        <v>1584.8413890838651</v>
      </c>
      <c r="H29" s="61">
        <v>26.777745072046951</v>
      </c>
      <c r="I29" s="59">
        <v>113.51736684640235</v>
      </c>
      <c r="J29" s="60">
        <v>339.57770055135188</v>
      </c>
      <c r="K29" s="60">
        <v>18.598806001245972</v>
      </c>
      <c r="L29" s="369">
        <v>1.8882751464843751E-5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205.67980801592546</v>
      </c>
      <c r="V29" s="62">
        <v>154.23722556104349</v>
      </c>
      <c r="W29" s="62">
        <v>31.037698563134899</v>
      </c>
      <c r="X29" s="62">
        <v>23.274858919584613</v>
      </c>
      <c r="Y29" s="66">
        <v>57.996780847260652</v>
      </c>
      <c r="Z29" s="66">
        <v>43.491204390178794</v>
      </c>
      <c r="AA29" s="67">
        <v>0</v>
      </c>
      <c r="AB29" s="68">
        <v>59.071302024523654</v>
      </c>
      <c r="AC29" s="69">
        <v>0</v>
      </c>
      <c r="AD29" s="412">
        <v>8.3568486168002085</v>
      </c>
      <c r="AE29" s="412">
        <v>6.1091276364124383</v>
      </c>
      <c r="AF29" s="69">
        <v>13.845414748125618</v>
      </c>
      <c r="AG29" s="68">
        <v>7.7909401513008838</v>
      </c>
      <c r="AH29" s="68">
        <v>5.8423478952087633</v>
      </c>
      <c r="AI29" s="68">
        <v>0.5714645010596322</v>
      </c>
      <c r="AJ29" s="69">
        <v>347.06688083012898</v>
      </c>
      <c r="AK29" s="69">
        <v>1359.7788602193195</v>
      </c>
      <c r="AL29" s="69">
        <v>2711.9705632527671</v>
      </c>
      <c r="AM29" s="69">
        <v>478.25917053222656</v>
      </c>
      <c r="AN29" s="69">
        <v>3906.6800537109375</v>
      </c>
      <c r="AO29" s="69">
        <v>2580.972878392537</v>
      </c>
      <c r="AP29" s="69">
        <v>654.8087343215941</v>
      </c>
      <c r="AQ29" s="69">
        <v>1956.2670848210655</v>
      </c>
      <c r="AR29" s="69">
        <v>424.47980701128631</v>
      </c>
      <c r="AS29" s="69">
        <v>587.11730051040661</v>
      </c>
    </row>
    <row r="30" spans="1:45" x14ac:dyDescent="0.25">
      <c r="A30" s="426">
        <v>43457</v>
      </c>
      <c r="B30" s="59"/>
      <c r="C30" s="60">
        <v>75.025459035237745</v>
      </c>
      <c r="D30" s="60">
        <v>829.5947132746378</v>
      </c>
      <c r="E30" s="60">
        <v>21.428490214546535</v>
      </c>
      <c r="F30" s="60">
        <v>0</v>
      </c>
      <c r="G30" s="60">
        <v>1744.634349950157</v>
      </c>
      <c r="H30" s="61">
        <v>26.85702369610469</v>
      </c>
      <c r="I30" s="59">
        <v>113.34302175839726</v>
      </c>
      <c r="J30" s="60">
        <v>338.95608355204337</v>
      </c>
      <c r="K30" s="60">
        <v>18.42408374150595</v>
      </c>
      <c r="L30" s="369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204.84672396292513</v>
      </c>
      <c r="V30" s="62">
        <v>149.89664520312789</v>
      </c>
      <c r="W30" s="62">
        <v>31.03409768305815</v>
      </c>
      <c r="X30" s="62">
        <v>22.70920930343275</v>
      </c>
      <c r="Y30" s="66">
        <v>57.92959699758174</v>
      </c>
      <c r="Z30" s="66">
        <v>42.389998140650249</v>
      </c>
      <c r="AA30" s="67">
        <v>0</v>
      </c>
      <c r="AB30" s="68">
        <v>58.218820320235984</v>
      </c>
      <c r="AC30" s="69">
        <v>0</v>
      </c>
      <c r="AD30" s="412">
        <v>8.339703746163714</v>
      </c>
      <c r="AE30" s="412">
        <v>6.0977627385436755</v>
      </c>
      <c r="AF30" s="69">
        <v>13.656351245774175</v>
      </c>
      <c r="AG30" s="68">
        <v>7.8063567966939678</v>
      </c>
      <c r="AH30" s="68">
        <v>5.7123036797739779</v>
      </c>
      <c r="AI30" s="68">
        <v>0.57745046635963404</v>
      </c>
      <c r="AJ30" s="69">
        <v>349.07122297286986</v>
      </c>
      <c r="AK30" s="69">
        <v>1365.5233425140379</v>
      </c>
      <c r="AL30" s="69">
        <v>2934.4797492980952</v>
      </c>
      <c r="AM30" s="69">
        <v>478.25917053222656</v>
      </c>
      <c r="AN30" s="69">
        <v>3906.6800537109375</v>
      </c>
      <c r="AO30" s="69">
        <v>2603.8935770670578</v>
      </c>
      <c r="AP30" s="69">
        <v>665.43543675740557</v>
      </c>
      <c r="AQ30" s="69">
        <v>1957.7708652496344</v>
      </c>
      <c r="AR30" s="69">
        <v>435.49485637346896</v>
      </c>
      <c r="AS30" s="69">
        <v>628.47529134750346</v>
      </c>
    </row>
    <row r="31" spans="1:45" x14ac:dyDescent="0.25">
      <c r="A31" s="426">
        <v>43458</v>
      </c>
      <c r="B31" s="59"/>
      <c r="C31" s="60">
        <v>75.201061181227544</v>
      </c>
      <c r="D31" s="60">
        <v>829.66587524414138</v>
      </c>
      <c r="E31" s="60">
        <v>21.464230735600029</v>
      </c>
      <c r="F31" s="60">
        <v>0</v>
      </c>
      <c r="G31" s="60">
        <v>1707.8791678110783</v>
      </c>
      <c r="H31" s="61">
        <v>26.819069711367309</v>
      </c>
      <c r="I31" s="59">
        <v>112.45087773799894</v>
      </c>
      <c r="J31" s="60">
        <v>336.28627335230595</v>
      </c>
      <c r="K31" s="60">
        <v>18.22475384672483</v>
      </c>
      <c r="L31" s="369">
        <v>4.7206878662109375E-5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204.95195780955581</v>
      </c>
      <c r="V31" s="62">
        <v>153.71975601948478</v>
      </c>
      <c r="W31" s="62">
        <v>29.976878656931646</v>
      </c>
      <c r="X31" s="62">
        <v>22.483505513282708</v>
      </c>
      <c r="Y31" s="66">
        <v>58.38720756960371</v>
      </c>
      <c r="Z31" s="66">
        <v>43.792054480389204</v>
      </c>
      <c r="AA31" s="67">
        <v>0</v>
      </c>
      <c r="AB31" s="68">
        <v>57.752005783717188</v>
      </c>
      <c r="AC31" s="69">
        <v>0</v>
      </c>
      <c r="AD31" s="412">
        <v>8.2747292880759993</v>
      </c>
      <c r="AE31" s="412">
        <v>6.0966543598492802</v>
      </c>
      <c r="AF31" s="69">
        <v>13.939019109143155</v>
      </c>
      <c r="AG31" s="68">
        <v>7.889378290470491</v>
      </c>
      <c r="AH31" s="68">
        <v>5.9172565069295473</v>
      </c>
      <c r="AI31" s="68">
        <v>0.57141935064119753</v>
      </c>
      <c r="AJ31" s="69">
        <v>334.07483299573261</v>
      </c>
      <c r="AK31" s="69">
        <v>1348.5511705398558</v>
      </c>
      <c r="AL31" s="69">
        <v>2958.9040382385251</v>
      </c>
      <c r="AM31" s="69">
        <v>478.25917053222656</v>
      </c>
      <c r="AN31" s="69">
        <v>3906.6800537109375</v>
      </c>
      <c r="AO31" s="69">
        <v>2612.9502824147539</v>
      </c>
      <c r="AP31" s="69">
        <v>644.11967569986973</v>
      </c>
      <c r="AQ31" s="69">
        <v>1958.6452681223557</v>
      </c>
      <c r="AR31" s="69">
        <v>420.96783898671464</v>
      </c>
      <c r="AS31" s="69">
        <v>633.61409546534219</v>
      </c>
    </row>
    <row r="32" spans="1:45" x14ac:dyDescent="0.25">
      <c r="A32" s="426">
        <v>43459</v>
      </c>
      <c r="B32" s="59"/>
      <c r="C32" s="60">
        <v>74.905840762455796</v>
      </c>
      <c r="D32" s="60">
        <v>829.56983954111831</v>
      </c>
      <c r="E32" s="60">
        <v>21.486800196270138</v>
      </c>
      <c r="F32" s="60">
        <v>0</v>
      </c>
      <c r="G32" s="60">
        <v>1679.4704078038537</v>
      </c>
      <c r="H32" s="61">
        <v>26.736776987711686</v>
      </c>
      <c r="I32" s="59">
        <v>114.48909166653947</v>
      </c>
      <c r="J32" s="60">
        <v>337.80723025004136</v>
      </c>
      <c r="K32" s="60">
        <v>18.355233207344995</v>
      </c>
      <c r="L32" s="369">
        <v>2.8324127197265625E-4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208.58296251717798</v>
      </c>
      <c r="V32" s="62">
        <v>156.38920850333113</v>
      </c>
      <c r="W32" s="62">
        <v>29.622258484550606</v>
      </c>
      <c r="X32" s="62">
        <v>22.209875162255564</v>
      </c>
      <c r="Y32" s="66">
        <v>58.586893116392879</v>
      </c>
      <c r="Z32" s="66">
        <v>43.926683812381704</v>
      </c>
      <c r="AA32" s="67">
        <v>0</v>
      </c>
      <c r="AB32" s="68">
        <v>58.142895134290463</v>
      </c>
      <c r="AC32" s="69">
        <v>0</v>
      </c>
      <c r="AD32" s="412">
        <v>8.3119220887690481</v>
      </c>
      <c r="AE32" s="412">
        <v>6.098569062699732</v>
      </c>
      <c r="AF32" s="69">
        <v>14.008241750796637</v>
      </c>
      <c r="AG32" s="68">
        <v>7.9348887503981773</v>
      </c>
      <c r="AH32" s="68">
        <v>5.9493400432192987</v>
      </c>
      <c r="AI32" s="68">
        <v>0.57150374488540645</v>
      </c>
      <c r="AJ32" s="69">
        <v>333.35282793045053</v>
      </c>
      <c r="AK32" s="69">
        <v>1346.1975186665852</v>
      </c>
      <c r="AL32" s="69">
        <v>2729.3896822611487</v>
      </c>
      <c r="AM32" s="69">
        <v>478.25917053222656</v>
      </c>
      <c r="AN32" s="69">
        <v>3906.6800537109375</v>
      </c>
      <c r="AO32" s="69">
        <v>2590.9966107686359</v>
      </c>
      <c r="AP32" s="69">
        <v>642.10446875890091</v>
      </c>
      <c r="AQ32" s="69">
        <v>1947.1919480641684</v>
      </c>
      <c r="AR32" s="69">
        <v>420.11115887959801</v>
      </c>
      <c r="AS32" s="69">
        <v>568.10664234161379</v>
      </c>
    </row>
    <row r="33" spans="1:45" x14ac:dyDescent="0.25">
      <c r="A33" s="426">
        <v>43460</v>
      </c>
      <c r="B33" s="59"/>
      <c r="C33" s="60">
        <v>74.82265177567858</v>
      </c>
      <c r="D33" s="60">
        <v>829.88236223856677</v>
      </c>
      <c r="E33" s="60">
        <v>21.416859955589018</v>
      </c>
      <c r="F33" s="60">
        <v>0</v>
      </c>
      <c r="G33" s="60">
        <v>1634.4760611852016</v>
      </c>
      <c r="H33" s="61">
        <v>26.702300337950401</v>
      </c>
      <c r="I33" s="59">
        <v>114.89685282707205</v>
      </c>
      <c r="J33" s="60">
        <v>335.79041746457483</v>
      </c>
      <c r="K33" s="60">
        <v>18.21465176840622</v>
      </c>
      <c r="L33" s="369">
        <v>5.0039291381835888E-4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207.74439080088169</v>
      </c>
      <c r="V33" s="62">
        <v>155.8151334809402</v>
      </c>
      <c r="W33" s="62">
        <v>30.340625017356952</v>
      </c>
      <c r="X33" s="62">
        <v>22.756467785962297</v>
      </c>
      <c r="Y33" s="66">
        <v>60.54792271587268</v>
      </c>
      <c r="Z33" s="66">
        <v>45.412935692737427</v>
      </c>
      <c r="AA33" s="67">
        <v>0</v>
      </c>
      <c r="AB33" s="68">
        <v>58.81297793123462</v>
      </c>
      <c r="AC33" s="69">
        <v>0</v>
      </c>
      <c r="AD33" s="412">
        <v>8.261639266497891</v>
      </c>
      <c r="AE33" s="412">
        <v>6.1009240870783428</v>
      </c>
      <c r="AF33" s="69">
        <v>13.979860264725163</v>
      </c>
      <c r="AG33" s="68">
        <v>7.9207770132439776</v>
      </c>
      <c r="AH33" s="68">
        <v>5.940843566622716</v>
      </c>
      <c r="AI33" s="68">
        <v>0.57141781998769381</v>
      </c>
      <c r="AJ33" s="69">
        <v>346.17579692204794</v>
      </c>
      <c r="AK33" s="69">
        <v>1359.8799560546877</v>
      </c>
      <c r="AL33" s="69">
        <v>2768.57520421346</v>
      </c>
      <c r="AM33" s="69">
        <v>423.34602928161621</v>
      </c>
      <c r="AN33" s="69">
        <v>3906.6800537109375</v>
      </c>
      <c r="AO33" s="69">
        <v>2640.1425732930502</v>
      </c>
      <c r="AP33" s="69">
        <v>662.55736627578733</v>
      </c>
      <c r="AQ33" s="69">
        <v>1948.6464215596518</v>
      </c>
      <c r="AR33" s="69">
        <v>440.38290373484296</v>
      </c>
      <c r="AS33" s="69">
        <v>602.26526689529419</v>
      </c>
    </row>
    <row r="34" spans="1:45" x14ac:dyDescent="0.25">
      <c r="A34" s="426">
        <v>43461</v>
      </c>
      <c r="B34" s="59"/>
      <c r="C34" s="60">
        <v>75.424752620856196</v>
      </c>
      <c r="D34" s="60">
        <v>830.35953572591302</v>
      </c>
      <c r="E34" s="60">
        <v>21.265625455975496</v>
      </c>
      <c r="F34" s="60">
        <v>0</v>
      </c>
      <c r="G34" s="60">
        <v>1681.6143217722586</v>
      </c>
      <c r="H34" s="61">
        <v>26.753702251116426</v>
      </c>
      <c r="I34" s="59">
        <v>114.95395525296541</v>
      </c>
      <c r="J34" s="60">
        <v>335.70459098815985</v>
      </c>
      <c r="K34" s="60">
        <v>18.444295076032482</v>
      </c>
      <c r="L34" s="369">
        <v>1.8882751464843751E-5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208.15131687332794</v>
      </c>
      <c r="V34" s="62">
        <v>156.09036346267212</v>
      </c>
      <c r="W34" s="62">
        <v>30.33199851467548</v>
      </c>
      <c r="X34" s="62">
        <v>22.745629207746791</v>
      </c>
      <c r="Y34" s="66">
        <v>61.768536097135787</v>
      </c>
      <c r="Z34" s="66">
        <v>46.31954000957149</v>
      </c>
      <c r="AA34" s="67">
        <v>0</v>
      </c>
      <c r="AB34" s="68">
        <v>59.412575803862715</v>
      </c>
      <c r="AC34" s="69">
        <v>0</v>
      </c>
      <c r="AD34" s="412">
        <v>8.2614178073542774</v>
      </c>
      <c r="AE34" s="412">
        <v>6.1033846239172469</v>
      </c>
      <c r="AF34" s="69">
        <v>14.115961991416103</v>
      </c>
      <c r="AG34" s="68">
        <v>8.0011543275175931</v>
      </c>
      <c r="AH34" s="68">
        <v>5.9999768719367861</v>
      </c>
      <c r="AI34" s="68">
        <v>0.57146484905658168</v>
      </c>
      <c r="AJ34" s="69">
        <v>372.75624299049372</v>
      </c>
      <c r="AK34" s="69">
        <v>1390.0159313201902</v>
      </c>
      <c r="AL34" s="69">
        <v>2827.5782761891678</v>
      </c>
      <c r="AM34" s="69">
        <v>387.36845397949219</v>
      </c>
      <c r="AN34" s="69">
        <v>3906.6800537109375</v>
      </c>
      <c r="AO34" s="69">
        <v>2654.5072673797604</v>
      </c>
      <c r="AP34" s="69">
        <v>701.72639767328883</v>
      </c>
      <c r="AQ34" s="69">
        <v>1924.8476941426595</v>
      </c>
      <c r="AR34" s="69">
        <v>478.67747413317358</v>
      </c>
      <c r="AS34" s="69">
        <v>631.9076655387878</v>
      </c>
    </row>
    <row r="35" spans="1:45" x14ac:dyDescent="0.25">
      <c r="A35" s="426">
        <v>43462</v>
      </c>
      <c r="B35" s="59"/>
      <c r="C35" s="60">
        <v>75.427030626933558</v>
      </c>
      <c r="D35" s="60">
        <v>831.14144293467371</v>
      </c>
      <c r="E35" s="60">
        <v>21.293752071261412</v>
      </c>
      <c r="F35" s="60">
        <v>0</v>
      </c>
      <c r="G35" s="60">
        <v>1702.6757637023954</v>
      </c>
      <c r="H35" s="61">
        <v>26.765741459528684</v>
      </c>
      <c r="I35" s="59">
        <v>114.91907021999371</v>
      </c>
      <c r="J35" s="60">
        <v>335.76263602574738</v>
      </c>
      <c r="K35" s="60">
        <v>18.2755458454291</v>
      </c>
      <c r="L35" s="369">
        <v>6.6089630126953122E-5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200.89748393786505</v>
      </c>
      <c r="V35" s="62">
        <v>150.70040481793694</v>
      </c>
      <c r="W35" s="62">
        <v>29.545667434038119</v>
      </c>
      <c r="X35" s="62">
        <v>22.163264345823233</v>
      </c>
      <c r="Y35" s="66">
        <v>59.492535820748948</v>
      </c>
      <c r="Z35" s="66">
        <v>44.62748390918329</v>
      </c>
      <c r="AA35" s="67">
        <v>0</v>
      </c>
      <c r="AB35" s="68">
        <v>59.035326817300067</v>
      </c>
      <c r="AC35" s="69">
        <v>0</v>
      </c>
      <c r="AD35" s="412">
        <v>8.2629005339357136</v>
      </c>
      <c r="AE35" s="412">
        <v>6.1086286142878583</v>
      </c>
      <c r="AF35" s="69">
        <v>13.616690506537735</v>
      </c>
      <c r="AG35" s="68">
        <v>7.7263384235190671</v>
      </c>
      <c r="AH35" s="68">
        <v>5.7958034384583224</v>
      </c>
      <c r="AI35" s="68">
        <v>0.57138421578349108</v>
      </c>
      <c r="AJ35" s="69">
        <v>380.02342036565148</v>
      </c>
      <c r="AK35" s="69">
        <v>1400.2901255289712</v>
      </c>
      <c r="AL35" s="69">
        <v>2757.6090646107987</v>
      </c>
      <c r="AM35" s="69">
        <v>387.36845397949219</v>
      </c>
      <c r="AN35" s="69">
        <v>3906.6800537109375</v>
      </c>
      <c r="AO35" s="69">
        <v>2698.9331723531086</v>
      </c>
      <c r="AP35" s="69">
        <v>732.36788921356208</v>
      </c>
      <c r="AQ35" s="69">
        <v>1947.6131444295245</v>
      </c>
      <c r="AR35" s="69">
        <v>473.75090123812362</v>
      </c>
      <c r="AS35" s="69">
        <v>597.33871323267601</v>
      </c>
    </row>
    <row r="36" spans="1:45" x14ac:dyDescent="0.25">
      <c r="A36" s="426">
        <v>43463</v>
      </c>
      <c r="B36" s="59"/>
      <c r="C36" s="60">
        <v>75.624651110171996</v>
      </c>
      <c r="D36" s="60">
        <v>830.17211405436228</v>
      </c>
      <c r="E36" s="60">
        <v>21.295389377077395</v>
      </c>
      <c r="F36" s="60">
        <v>0</v>
      </c>
      <c r="G36" s="60">
        <v>1663.7214635213281</v>
      </c>
      <c r="H36" s="61">
        <v>26.841738293568334</v>
      </c>
      <c r="I36" s="59">
        <v>115.72239630222337</v>
      </c>
      <c r="J36" s="60">
        <v>338.28600904146879</v>
      </c>
      <c r="K36" s="60">
        <v>18.390929292142378</v>
      </c>
      <c r="L36" s="369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202.89872662760982</v>
      </c>
      <c r="V36" s="62">
        <v>148.3130966980772</v>
      </c>
      <c r="W36" s="62">
        <v>29.891878968262088</v>
      </c>
      <c r="X36" s="62">
        <v>21.850098369734166</v>
      </c>
      <c r="Y36" s="66">
        <v>60.362642944315013</v>
      </c>
      <c r="Z36" s="66">
        <v>44.123344925583496</v>
      </c>
      <c r="AA36" s="67">
        <v>0</v>
      </c>
      <c r="AB36" s="68">
        <v>58.64527782599076</v>
      </c>
      <c r="AC36" s="69">
        <v>0</v>
      </c>
      <c r="AD36" s="412">
        <v>8.3247422048583353</v>
      </c>
      <c r="AE36" s="412">
        <v>6.1006506167578722</v>
      </c>
      <c r="AF36" s="69">
        <v>13.644509558545248</v>
      </c>
      <c r="AG36" s="68">
        <v>7.7855164313385545</v>
      </c>
      <c r="AH36" s="68">
        <v>5.6909871763012694</v>
      </c>
      <c r="AI36" s="68">
        <v>0.57771041050476546</v>
      </c>
      <c r="AJ36" s="69">
        <v>371.79349330266319</v>
      </c>
      <c r="AK36" s="69">
        <v>1386.758321126302</v>
      </c>
      <c r="AL36" s="69">
        <v>2811.7994155883789</v>
      </c>
      <c r="AM36" s="69">
        <v>387.36845397949219</v>
      </c>
      <c r="AN36" s="69">
        <v>3906.6800537109375</v>
      </c>
      <c r="AO36" s="69">
        <v>2616.0816200256349</v>
      </c>
      <c r="AP36" s="69">
        <v>721.68035723368314</v>
      </c>
      <c r="AQ36" s="69">
        <v>1948.9400438308719</v>
      </c>
      <c r="AR36" s="69">
        <v>459.23378044764206</v>
      </c>
      <c r="AS36" s="69">
        <v>490.72912820180261</v>
      </c>
    </row>
    <row r="37" spans="1:45" x14ac:dyDescent="0.25">
      <c r="A37" s="426">
        <v>43464</v>
      </c>
      <c r="B37" s="59"/>
      <c r="C37" s="60">
        <v>75.143191909789252</v>
      </c>
      <c r="D37" s="60">
        <v>829.56759389241586</v>
      </c>
      <c r="E37" s="60">
        <v>21.377504167954186</v>
      </c>
      <c r="F37" s="60">
        <v>0</v>
      </c>
      <c r="G37" s="60">
        <v>1654.9262711842823</v>
      </c>
      <c r="H37" s="61">
        <v>26.728019567330676</v>
      </c>
      <c r="I37" s="59">
        <v>114.91268997192375</v>
      </c>
      <c r="J37" s="60">
        <v>335.74298845927001</v>
      </c>
      <c r="K37" s="60">
        <v>18.350974167386685</v>
      </c>
      <c r="L37" s="369">
        <v>2.171516418457032E-4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207.89611836351344</v>
      </c>
      <c r="V37" s="62">
        <v>155.88340957617294</v>
      </c>
      <c r="W37" s="62">
        <v>30.036153683694554</v>
      </c>
      <c r="X37" s="62">
        <v>22.521527018514877</v>
      </c>
      <c r="Y37" s="66">
        <v>62.833648551396237</v>
      </c>
      <c r="Z37" s="66">
        <v>47.113546175865579</v>
      </c>
      <c r="AA37" s="67">
        <v>0</v>
      </c>
      <c r="AB37" s="68">
        <v>59.201183899244057</v>
      </c>
      <c r="AC37" s="69">
        <v>0</v>
      </c>
      <c r="AD37" s="412">
        <v>8.2613128800091538</v>
      </c>
      <c r="AE37" s="412">
        <v>6.0972039118192258</v>
      </c>
      <c r="AF37" s="69">
        <v>13.963628715938999</v>
      </c>
      <c r="AG37" s="68">
        <v>7.93285522543139</v>
      </c>
      <c r="AH37" s="68">
        <v>5.9481655066409997</v>
      </c>
      <c r="AI37" s="68">
        <v>0.57148932910260419</v>
      </c>
      <c r="AJ37" s="69">
        <v>337.70786074002581</v>
      </c>
      <c r="AK37" s="69">
        <v>1350.02253780365</v>
      </c>
      <c r="AL37" s="69">
        <v>2810.7263383229574</v>
      </c>
      <c r="AM37" s="69">
        <v>387.36845397949219</v>
      </c>
      <c r="AN37" s="69">
        <v>3906.6800537109375</v>
      </c>
      <c r="AO37" s="69">
        <v>2578.4930599212648</v>
      </c>
      <c r="AP37" s="69">
        <v>659.31568924585974</v>
      </c>
      <c r="AQ37" s="69">
        <v>1940.2428255716961</v>
      </c>
      <c r="AR37" s="69">
        <v>421.03294739723208</v>
      </c>
      <c r="AS37" s="69">
        <v>478.24306357701613</v>
      </c>
    </row>
    <row r="38" spans="1:45" ht="15.75" thickBot="1" x14ac:dyDescent="0.3">
      <c r="A38" s="426">
        <v>43465</v>
      </c>
      <c r="B38" s="73"/>
      <c r="C38" s="74">
        <v>75.248711919785165</v>
      </c>
      <c r="D38" s="74">
        <v>830.2735476493848</v>
      </c>
      <c r="E38" s="74">
        <v>21.209691084921356</v>
      </c>
      <c r="F38" s="74">
        <v>0</v>
      </c>
      <c r="G38" s="74">
        <v>1617.7787788391104</v>
      </c>
      <c r="H38" s="75">
        <v>26.757465457916311</v>
      </c>
      <c r="I38" s="76">
        <v>116.01128878593451</v>
      </c>
      <c r="J38" s="74">
        <v>335.8276135444649</v>
      </c>
      <c r="K38" s="74">
        <v>18.32492531090972</v>
      </c>
      <c r="L38" s="369">
        <v>9.4413757324218764E-5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206.65503499575087</v>
      </c>
      <c r="V38" s="80">
        <v>155.02044196856454</v>
      </c>
      <c r="W38" s="81">
        <v>30.506582967800842</v>
      </c>
      <c r="X38" s="81">
        <v>22.884242693222593</v>
      </c>
      <c r="Y38" s="80">
        <v>62.037671547427173</v>
      </c>
      <c r="Z38" s="80">
        <v>46.537009186253535</v>
      </c>
      <c r="AA38" s="82">
        <v>0</v>
      </c>
      <c r="AB38" s="83">
        <v>59.063632869719619</v>
      </c>
      <c r="AC38" s="84">
        <v>0</v>
      </c>
      <c r="AD38" s="412">
        <v>8.2666959102381803</v>
      </c>
      <c r="AE38" s="412">
        <v>6.10430463194698</v>
      </c>
      <c r="AF38" s="85">
        <v>13.805977928969588</v>
      </c>
      <c r="AG38" s="83">
        <v>7.8248463006080566</v>
      </c>
      <c r="AH38" s="83">
        <v>5.8697390648202177</v>
      </c>
      <c r="AI38" s="83">
        <v>0.5713824910947457</v>
      </c>
      <c r="AJ38" s="84">
        <v>379.85756370226534</v>
      </c>
      <c r="AK38" s="84">
        <v>1408.862819226583</v>
      </c>
      <c r="AL38" s="84">
        <v>2837.6653996785481</v>
      </c>
      <c r="AM38" s="84">
        <v>387.36845397949219</v>
      </c>
      <c r="AN38" s="84">
        <v>3906.6800537109375</v>
      </c>
      <c r="AO38" s="84">
        <v>2698.9734999338784</v>
      </c>
      <c r="AP38" s="84">
        <v>719.16285346349071</v>
      </c>
      <c r="AQ38" s="84">
        <v>1932.0120382944745</v>
      </c>
      <c r="AR38" s="84">
        <v>481.55658218065901</v>
      </c>
      <c r="AS38" s="84">
        <v>546.25039914449053</v>
      </c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2337.3965992490466</v>
      </c>
      <c r="D39" s="30">
        <f t="shared" si="0"/>
        <v>26540.849598089873</v>
      </c>
      <c r="E39" s="30">
        <f t="shared" si="0"/>
        <v>661.89599396685799</v>
      </c>
      <c r="F39" s="30">
        <f t="shared" si="0"/>
        <v>0</v>
      </c>
      <c r="G39" s="30">
        <f t="shared" si="0"/>
        <v>53257.879654884382</v>
      </c>
      <c r="H39" s="31">
        <f t="shared" si="0"/>
        <v>831.42076318959539</v>
      </c>
      <c r="I39" s="29">
        <f t="shared" si="0"/>
        <v>3549.1386545658083</v>
      </c>
      <c r="J39" s="30">
        <f t="shared" si="0"/>
        <v>10587.583075173714</v>
      </c>
      <c r="K39" s="30">
        <f t="shared" si="0"/>
        <v>577.41434867431701</v>
      </c>
      <c r="L39" s="30">
        <f t="shared" si="0"/>
        <v>0.62213683128356501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6463.8605640903806</v>
      </c>
      <c r="V39" s="262">
        <f t="shared" si="0"/>
        <v>4777.0756080240853</v>
      </c>
      <c r="W39" s="262">
        <f t="shared" si="0"/>
        <v>977.74610958929713</v>
      </c>
      <c r="X39" s="262">
        <f t="shared" si="0"/>
        <v>722.10580577417318</v>
      </c>
      <c r="Y39" s="262">
        <f t="shared" si="0"/>
        <v>1837.935603551954</v>
      </c>
      <c r="Z39" s="262">
        <f t="shared" si="0"/>
        <v>1354.0927930227026</v>
      </c>
      <c r="AA39" s="270">
        <f t="shared" si="0"/>
        <v>0</v>
      </c>
      <c r="AB39" s="273">
        <f t="shared" si="0"/>
        <v>1836.6246167235861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10902.630499951043</v>
      </c>
      <c r="AK39" s="273">
        <f t="shared" si="1"/>
        <v>42202.634900983176</v>
      </c>
      <c r="AL39" s="273">
        <f t="shared" si="1"/>
        <v>87692.865163675931</v>
      </c>
      <c r="AM39" s="273">
        <f t="shared" si="1"/>
        <v>14638.510653591156</v>
      </c>
      <c r="AN39" s="273">
        <f t="shared" si="1"/>
        <v>121107.08166503906</v>
      </c>
      <c r="AO39" s="273">
        <f t="shared" si="1"/>
        <v>82008.724145253494</v>
      </c>
      <c r="AP39" s="273">
        <f t="shared" si="1"/>
        <v>19888.457701905569</v>
      </c>
      <c r="AQ39" s="273">
        <f t="shared" si="1"/>
        <v>61969.234685087198</v>
      </c>
      <c r="AR39" s="273">
        <f t="shared" si="1"/>
        <v>13265.991716925302</v>
      </c>
      <c r="AS39" s="273">
        <f t="shared" si="1"/>
        <v>18670.446896203357</v>
      </c>
    </row>
    <row r="40" spans="1:45" ht="15.75" thickBot="1" x14ac:dyDescent="0.3">
      <c r="A40" s="47" t="s">
        <v>172</v>
      </c>
      <c r="B40" s="32">
        <f>Projection!$AD$30</f>
        <v>0.82128400199999985</v>
      </c>
      <c r="C40" s="33">
        <f>Projection!$AD$28</f>
        <v>1.2667292399999999</v>
      </c>
      <c r="D40" s="33">
        <f>Projection!$AD$31</f>
        <v>3.0824639999999999</v>
      </c>
      <c r="E40" s="33">
        <f>Projection!$AD$26</f>
        <v>3.9898560000000005</v>
      </c>
      <c r="F40" s="33">
        <f>Projection!$AC$23</f>
        <v>0</v>
      </c>
      <c r="G40" s="33">
        <f>Projection!$AD$24</f>
        <v>5.5265000000000002E-2</v>
      </c>
      <c r="H40" s="34">
        <f>Projection!$AD$29</f>
        <v>3.5497125</v>
      </c>
      <c r="I40" s="32">
        <f>Projection!$AD$30</f>
        <v>0.82128400199999985</v>
      </c>
      <c r="J40" s="33">
        <f>Projection!$AD$28</f>
        <v>1.2667292399999999</v>
      </c>
      <c r="K40" s="33">
        <f>Projection!$AD$26</f>
        <v>3.9898560000000005</v>
      </c>
      <c r="L40" s="33">
        <f>Projection!$AD$25</f>
        <v>0</v>
      </c>
      <c r="M40" s="33">
        <f>Projection!$AC$23</f>
        <v>0</v>
      </c>
      <c r="N40" s="34">
        <f>Projection!$AC$23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1.2667292399999999</v>
      </c>
      <c r="T40" s="266">
        <f>Projection!$AD$28</f>
        <v>1.2667292399999999</v>
      </c>
      <c r="U40" s="264">
        <f>Projection!$AD$27</f>
        <v>0.29460000000000003</v>
      </c>
      <c r="V40" s="265">
        <f>Projection!$AD$27</f>
        <v>0.29460000000000003</v>
      </c>
      <c r="W40" s="265">
        <f>Projection!$AD$22</f>
        <v>0.74349432000000004</v>
      </c>
      <c r="X40" s="265">
        <f>Projection!$AD$22</f>
        <v>0.74349432000000004</v>
      </c>
      <c r="Y40" s="265">
        <f>Projection!$AD$31</f>
        <v>3.0824639999999999</v>
      </c>
      <c r="Z40" s="265">
        <f>Projection!$AD$31</f>
        <v>3.0824639999999999</v>
      </c>
      <c r="AA40" s="271">
        <v>0</v>
      </c>
      <c r="AB40" s="274">
        <f>Projection!$AD$27</f>
        <v>0.29460000000000003</v>
      </c>
      <c r="AC40" s="274">
        <f>Projection!$AD$30</f>
        <v>0.82128400199999985</v>
      </c>
      <c r="AD40" s="404">
        <f>SUM(AD8:AD38)</f>
        <v>260.52792860983982</v>
      </c>
      <c r="AE40" s="404">
        <f>SUM(AE8:AE38)</f>
        <v>189.53869044827377</v>
      </c>
      <c r="AF40" s="277">
        <f>SUM(AF8:AF38)</f>
        <v>433.17762614852853</v>
      </c>
      <c r="AG40" s="277">
        <f>SUM(AG8:AG38)</f>
        <v>246.27732810005494</v>
      </c>
      <c r="AH40" s="277">
        <f>SUM(AH8:AH38)</f>
        <v>181.93595254776784</v>
      </c>
      <c r="AI40" s="277">
        <f>IF(SUM(AG40:AH40)&gt;0, AG40/(AG40+AH40),0)</f>
        <v>0.57512772076446139</v>
      </c>
      <c r="AJ40" s="313">
        <v>6.9000000000000006E-2</v>
      </c>
      <c r="AK40" s="313">
        <f t="shared" ref="AK40:AS40" si="2">$AJ$40</f>
        <v>6.9000000000000006E-2</v>
      </c>
      <c r="AL40" s="313">
        <f t="shared" si="2"/>
        <v>6.9000000000000006E-2</v>
      </c>
      <c r="AM40" s="313">
        <f t="shared" si="2"/>
        <v>6.9000000000000006E-2</v>
      </c>
      <c r="AN40" s="313">
        <f t="shared" si="2"/>
        <v>6.9000000000000006E-2</v>
      </c>
      <c r="AO40" s="313">
        <f t="shared" si="2"/>
        <v>6.9000000000000006E-2</v>
      </c>
      <c r="AP40" s="313">
        <f t="shared" si="2"/>
        <v>6.9000000000000006E-2</v>
      </c>
      <c r="AQ40" s="313">
        <f t="shared" si="2"/>
        <v>6.9000000000000006E-2</v>
      </c>
      <c r="AR40" s="313">
        <f t="shared" si="2"/>
        <v>6.9000000000000006E-2</v>
      </c>
      <c r="AS40" s="313">
        <f t="shared" si="2"/>
        <v>6.9000000000000006E-2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2960.8486177453292</v>
      </c>
      <c r="D41" s="36">
        <f t="shared" si="3"/>
        <v>81811.213415526494</v>
      </c>
      <c r="E41" s="36">
        <f t="shared" si="3"/>
        <v>2640.8697029046325</v>
      </c>
      <c r="F41" s="36">
        <f t="shared" si="3"/>
        <v>0</v>
      </c>
      <c r="G41" s="36">
        <f t="shared" si="3"/>
        <v>2943.2967191271855</v>
      </c>
      <c r="H41" s="37">
        <f t="shared" si="3"/>
        <v>2951.3046758536466</v>
      </c>
      <c r="I41" s="35">
        <f t="shared" si="3"/>
        <v>2914.850797874702</v>
      </c>
      <c r="J41" s="36">
        <f t="shared" si="3"/>
        <v>13411.601062251661</v>
      </c>
      <c r="K41" s="36">
        <f t="shared" si="3"/>
        <v>2303.8001035443162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1904.2533221810263</v>
      </c>
      <c r="V41" s="268">
        <f t="shared" si="3"/>
        <v>1407.3264741238957</v>
      </c>
      <c r="W41" s="268">
        <f t="shared" si="3"/>
        <v>726.94867888173997</v>
      </c>
      <c r="X41" s="268">
        <f t="shared" si="3"/>
        <v>536.88156503212099</v>
      </c>
      <c r="Y41" s="268">
        <f t="shared" si="3"/>
        <v>5665.3703322671699</v>
      </c>
      <c r="Z41" s="268">
        <f t="shared" si="3"/>
        <v>4173.9422871519319</v>
      </c>
      <c r="AA41" s="272">
        <f t="shared" si="3"/>
        <v>0</v>
      </c>
      <c r="AB41" s="275">
        <f t="shared" si="3"/>
        <v>541.06961208676853</v>
      </c>
      <c r="AC41" s="275">
        <f t="shared" si="3"/>
        <v>0</v>
      </c>
      <c r="AJ41" s="278">
        <f t="shared" ref="AJ41:AS41" si="4">AJ40*AJ39</f>
        <v>752.28150449662201</v>
      </c>
      <c r="AK41" s="278">
        <f t="shared" si="4"/>
        <v>2911.9818081678395</v>
      </c>
      <c r="AL41" s="278">
        <f t="shared" si="4"/>
        <v>6050.8076962936402</v>
      </c>
      <c r="AM41" s="278">
        <f t="shared" si="4"/>
        <v>1010.0572350977899</v>
      </c>
      <c r="AN41" s="278">
        <f t="shared" si="4"/>
        <v>8356.3886348876968</v>
      </c>
      <c r="AO41" s="278">
        <f t="shared" si="4"/>
        <v>5658.601966022492</v>
      </c>
      <c r="AP41" s="278">
        <f t="shared" si="4"/>
        <v>1372.3035814314844</v>
      </c>
      <c r="AQ41" s="278">
        <f t="shared" si="4"/>
        <v>4275.8771932710169</v>
      </c>
      <c r="AR41" s="278">
        <f t="shared" si="4"/>
        <v>915.3534284678459</v>
      </c>
      <c r="AS41" s="278">
        <f t="shared" si="4"/>
        <v>1288.2608358380317</v>
      </c>
    </row>
    <row r="42" spans="1:45" ht="49.5" customHeight="1" thickTop="1" thickBot="1" x14ac:dyDescent="0.3">
      <c r="A42" s="637">
        <f>NOVEMBER!$A$42+30</f>
        <v>43436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1052.8800000000001</v>
      </c>
      <c r="AK42" s="278" t="s">
        <v>197</v>
      </c>
      <c r="AL42" s="278">
        <v>1974.09</v>
      </c>
      <c r="AM42" s="278">
        <v>812.12</v>
      </c>
      <c r="AN42" s="278">
        <v>1367.53</v>
      </c>
      <c r="AO42" s="278">
        <v>4885.42</v>
      </c>
      <c r="AP42" s="278">
        <v>1382.5</v>
      </c>
      <c r="AQ42" s="278" t="s">
        <v>197</v>
      </c>
      <c r="AR42" s="278">
        <v>201.68</v>
      </c>
      <c r="AS42" s="278">
        <v>497.96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126893.57736655264</v>
      </c>
      <c r="C44" s="12"/>
      <c r="D44" s="282" t="s">
        <v>135</v>
      </c>
      <c r="E44" s="283">
        <f>SUM(B41:H41)+P41+R41+T41+V41+X41+Z41</f>
        <v>99425.683457465246</v>
      </c>
      <c r="F44" s="12"/>
      <c r="G44" s="282" t="s">
        <v>135</v>
      </c>
      <c r="H44" s="283">
        <f>SUM(I41:N41)+O41+Q41+S41+U41+W41+Y41</f>
        <v>26926.824297000618</v>
      </c>
      <c r="I44" s="12"/>
      <c r="J44" s="282" t="s">
        <v>198</v>
      </c>
      <c r="K44" s="283">
        <v>208852.57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32591.913883974456</v>
      </c>
      <c r="C45" s="12"/>
      <c r="D45" s="284" t="s">
        <v>183</v>
      </c>
      <c r="E45" s="285">
        <f>AJ41*(1-$AI$40)+AK41+AL41*0.5+AN41+AO41*(1-$AI$40)+AP41*(1-$AI$40)+AQ41*(1-$AI$40)+AR41*0.5+AS41*0.5</f>
        <v>20519.143534670391</v>
      </c>
      <c r="F45" s="24"/>
      <c r="G45" s="284" t="s">
        <v>183</v>
      </c>
      <c r="H45" s="285">
        <f>AJ41*AI40+AL41*0.5+AM41+AO41*AI40+AP41*AI40+AQ41*AI40+AR41*0.5+AS41*0.5</f>
        <v>12072.770349304066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1699.8519153634702</v>
      </c>
      <c r="U45" s="256">
        <f>(T45*8.34*0.895)/27000</f>
        <v>0.46993350562398334</v>
      </c>
    </row>
    <row r="46" spans="1:45" ht="32.25" thickBot="1" x14ac:dyDescent="0.3">
      <c r="A46" s="286" t="s">
        <v>184</v>
      </c>
      <c r="B46" s="287">
        <f>SUM(AJ42:AS42)</f>
        <v>12174.18</v>
      </c>
      <c r="C46" s="12"/>
      <c r="D46" s="286" t="s">
        <v>184</v>
      </c>
      <c r="E46" s="287">
        <f>AJ42*(1-$AI$40)+AL42*0.5+AN42+AO42*(1-$AI$40)+AP42*(1-$AI$40)+AR42*0.5+AS42*0.5</f>
        <v>5814.7999818275302</v>
      </c>
      <c r="F46" s="23"/>
      <c r="G46" s="286" t="s">
        <v>184</v>
      </c>
      <c r="H46" s="287">
        <f>AJ42*AI40+AL42*0.5+AM42+AO42*AI40+AP42*AI40+AR42*0.5+AS42*0.5</f>
        <v>6359.3800181724691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208852.57</v>
      </c>
      <c r="C47" s="12"/>
      <c r="D47" s="286" t="s">
        <v>187</v>
      </c>
      <c r="E47" s="287">
        <f>K44*0.5</f>
        <v>104426.285</v>
      </c>
      <c r="F47" s="24"/>
      <c r="G47" s="286" t="s">
        <v>185</v>
      </c>
      <c r="H47" s="287">
        <f>K44*0.5</f>
        <v>104426.285</v>
      </c>
      <c r="I47" s="12"/>
      <c r="J47" s="282" t="s">
        <v>198</v>
      </c>
      <c r="K47" s="283">
        <v>116543.72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53257.879654884382</v>
      </c>
      <c r="U47" s="256">
        <f>T47/40000</f>
        <v>1.3314469913721096</v>
      </c>
    </row>
    <row r="48" spans="1:45" ht="24" thickBot="1" x14ac:dyDescent="0.3">
      <c r="A48" s="286" t="s">
        <v>186</v>
      </c>
      <c r="B48" s="287">
        <f>K47</f>
        <v>116543.72</v>
      </c>
      <c r="C48" s="12"/>
      <c r="D48" s="286" t="s">
        <v>186</v>
      </c>
      <c r="E48" s="287">
        <f>K47*0.5</f>
        <v>58271.86</v>
      </c>
      <c r="F48" s="23"/>
      <c r="G48" s="286" t="s">
        <v>186</v>
      </c>
      <c r="H48" s="287">
        <f>K47*0.5</f>
        <v>58271.86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0.62213683128356501</v>
      </c>
      <c r="U48" s="256">
        <f>T48*9.34*0.107</f>
        <v>0.62175110644816922</v>
      </c>
    </row>
    <row r="49" spans="1:25" ht="48" thickTop="1" thickBot="1" x14ac:dyDescent="0.3">
      <c r="A49" s="291" t="s">
        <v>194</v>
      </c>
      <c r="B49" s="292">
        <f>AF40</f>
        <v>433.17762614852853</v>
      </c>
      <c r="C49" s="12"/>
      <c r="D49" s="291" t="s">
        <v>195</v>
      </c>
      <c r="E49" s="292">
        <f>AH40</f>
        <v>181.93595254776784</v>
      </c>
      <c r="F49" s="23"/>
      <c r="G49" s="291" t="s">
        <v>196</v>
      </c>
      <c r="H49" s="292">
        <f>AG40</f>
        <v>246.27732810005494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1239.3103426411749</v>
      </c>
      <c r="U49" s="256">
        <f>(T49*8.34*1.04)/45000</f>
        <v>0.238872937509611</v>
      </c>
    </row>
    <row r="50" spans="1:25" ht="48" customHeight="1" thickTop="1" thickBot="1" x14ac:dyDescent="0.3">
      <c r="A50" s="291" t="s">
        <v>223</v>
      </c>
      <c r="B50" s="292">
        <f>SUM(E50+H50)</f>
        <v>450.06661905811359</v>
      </c>
      <c r="C50" s="12"/>
      <c r="D50" s="291" t="s">
        <v>224</v>
      </c>
      <c r="E50" s="292">
        <f>AE40</f>
        <v>189.53869044827377</v>
      </c>
      <c r="F50" s="23"/>
      <c r="G50" s="291" t="s">
        <v>228</v>
      </c>
      <c r="H50" s="292">
        <f>AD40</f>
        <v>260.52792860983982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1104.4053040208835</v>
      </c>
      <c r="C51" s="12"/>
      <c r="D51" s="291" t="s">
        <v>188</v>
      </c>
      <c r="E51" s="403">
        <f>SUM(E44:E48)/E50</f>
        <v>1521.8938744999139</v>
      </c>
      <c r="F51" s="375">
        <f>E44/E49</f>
        <v>546.48727788621511</v>
      </c>
      <c r="G51" s="291" t="s">
        <v>189</v>
      </c>
      <c r="H51" s="403">
        <f>SUM(H44:H48)/H50</f>
        <v>798.59814176029602</v>
      </c>
      <c r="I51" s="374">
        <f>H44/H49</f>
        <v>109.33537611737071</v>
      </c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13077.560788838053</v>
      </c>
      <c r="U51" s="256">
        <f>T51/2000/8</f>
        <v>0.8173475493023783</v>
      </c>
    </row>
    <row r="52" spans="1:25" ht="48" thickTop="1" thickBot="1" x14ac:dyDescent="0.3">
      <c r="A52" s="281" t="s">
        <v>191</v>
      </c>
      <c r="B52" s="294">
        <f>B51/1000</f>
        <v>1.1044053040208834</v>
      </c>
      <c r="C52" s="12"/>
      <c r="D52" s="281" t="s">
        <v>192</v>
      </c>
      <c r="E52" s="294">
        <f>E51/1000</f>
        <v>1.5218938744999138</v>
      </c>
      <c r="F52" s="12"/>
      <c r="G52" s="281" t="s">
        <v>193</v>
      </c>
      <c r="H52" s="294">
        <f>H51/1000</f>
        <v>0.79859814176029598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12924.979674422761</v>
      </c>
      <c r="U52" s="256">
        <f>(T52*8.34*1.4)/45000</f>
        <v>3.3536013928568922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831.42076318959539</v>
      </c>
      <c r="U53" s="256">
        <f>(T53*8.34*1.135)/45000</f>
        <v>0.17489212893947537</v>
      </c>
    </row>
    <row r="54" spans="1:25" ht="33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3549.1386545658083</v>
      </c>
      <c r="U54" s="256">
        <f>(T54*8.34*1.029*0.03)/3300</f>
        <v>0.27689282776429208</v>
      </c>
    </row>
    <row r="55" spans="1:25" ht="54.75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50"/>
      <c r="T55" s="327">
        <f>$D$39+$Y$39+$Z$39</f>
        <v>29732.87799466453</v>
      </c>
      <c r="U55" s="328">
        <f>(T55*1.54*8.34)/45000</f>
        <v>8.4861598180505204</v>
      </c>
      <c r="V55" s="326"/>
      <c r="W55" s="12"/>
      <c r="X55" s="12"/>
      <c r="Y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30"/>
      <c r="T56" s="620"/>
      <c r="U56" s="620"/>
      <c r="V56" s="324"/>
      <c r="W56" s="325"/>
      <c r="X56" s="323"/>
      <c r="Y56" s="323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3"/>
      <c r="T57" s="648"/>
      <c r="U57" s="648"/>
      <c r="V57" s="324"/>
      <c r="W57" s="325"/>
      <c r="X57" s="323"/>
      <c r="Y57" s="323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3"/>
      <c r="T58" s="648"/>
      <c r="U58" s="648"/>
      <c r="V58" s="324"/>
      <c r="W58" s="325"/>
      <c r="X58" s="323"/>
      <c r="Y58" s="323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3"/>
      <c r="T59" s="648"/>
      <c r="U59" s="648"/>
      <c r="V59" s="324"/>
      <c r="W59" s="325"/>
      <c r="X59" s="323"/>
      <c r="Y59" s="323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3"/>
      <c r="T60" s="648"/>
      <c r="U60" s="648"/>
      <c r="V60" s="324"/>
      <c r="W60" s="325"/>
      <c r="X60" s="323"/>
      <c r="Y60" s="323"/>
    </row>
    <row r="61" spans="1:25" x14ac:dyDescent="0.25">
      <c r="S61" s="323"/>
      <c r="T61" s="648"/>
      <c r="U61" s="648"/>
      <c r="V61" s="324"/>
      <c r="W61" s="325"/>
      <c r="X61" s="323"/>
      <c r="Y61" s="323"/>
    </row>
    <row r="62" spans="1:25" x14ac:dyDescent="0.25">
      <c r="S62" s="323"/>
      <c r="T62" s="648"/>
      <c r="U62" s="648"/>
      <c r="V62" s="324"/>
      <c r="W62" s="325"/>
      <c r="X62" s="323"/>
      <c r="Y62" s="323"/>
    </row>
    <row r="63" spans="1:25" x14ac:dyDescent="0.25">
      <c r="S63" s="323"/>
      <c r="T63" s="648"/>
      <c r="U63" s="648"/>
      <c r="V63" s="324"/>
      <c r="W63" s="325"/>
      <c r="X63" s="323"/>
      <c r="Y63" s="323"/>
    </row>
    <row r="64" spans="1:25" x14ac:dyDescent="0.25">
      <c r="S64" s="323"/>
      <c r="T64" s="323"/>
      <c r="U64" s="323"/>
      <c r="V64" s="323"/>
      <c r="W64" s="323"/>
      <c r="X64" s="323"/>
      <c r="Y64" s="323"/>
    </row>
    <row r="65" spans="19:25" x14ac:dyDescent="0.25">
      <c r="S65" s="323"/>
      <c r="T65" s="323"/>
      <c r="U65" s="323"/>
      <c r="V65" s="323"/>
      <c r="W65" s="323"/>
      <c r="X65" s="323"/>
      <c r="Y65" s="323"/>
    </row>
    <row r="66" spans="19:25" x14ac:dyDescent="0.25">
      <c r="S66" s="323"/>
      <c r="T66" s="323"/>
      <c r="U66" s="323"/>
      <c r="V66" s="323"/>
      <c r="W66" s="323"/>
      <c r="X66" s="323"/>
      <c r="Y66" s="323"/>
    </row>
  </sheetData>
  <sheetProtection algorithmName="SHA-512" hashValue="fC2ohelu/kKbOCfXOlBjxNqccAIMznT+FGfxfHW2Q+L11ltXoPmw4+LEuescANxmSlrp+/tBcPfTG2xNxf3RYg==" saltValue="5TQhj2kObeCbQ/+sr+UO3A==" spinCount="100000" sheet="1" objects="1" scenarios="1" selectLockedCells="1" selectUnlockedCells="1"/>
  <mergeCells count="40">
    <mergeCell ref="B4:H5"/>
    <mergeCell ref="I4:N5"/>
    <mergeCell ref="A42:K42"/>
    <mergeCell ref="J43:K43"/>
    <mergeCell ref="R43:U43"/>
    <mergeCell ref="J46:K46"/>
    <mergeCell ref="A54:E54"/>
    <mergeCell ref="A55:E55"/>
    <mergeCell ref="R55:S55"/>
    <mergeCell ref="A43:B43"/>
    <mergeCell ref="D43:E43"/>
    <mergeCell ref="G43:H43"/>
    <mergeCell ref="T56:U56"/>
    <mergeCell ref="AF4:AF5"/>
    <mergeCell ref="AG4:AG5"/>
    <mergeCell ref="AH4:AH5"/>
    <mergeCell ref="O4:T5"/>
    <mergeCell ref="T62:U62"/>
    <mergeCell ref="T63:U63"/>
    <mergeCell ref="T57:U57"/>
    <mergeCell ref="T58:U58"/>
    <mergeCell ref="T59:U59"/>
    <mergeCell ref="T60:U60"/>
    <mergeCell ref="T61:U61"/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</mergeCells>
  <pageMargins left="0.33" right="0.19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9"/>
  <sheetViews>
    <sheetView zoomScale="80" zoomScaleNormal="80" workbookViewId="0">
      <selection activeCell="M46" sqref="M46"/>
    </sheetView>
  </sheetViews>
  <sheetFormatPr defaultRowHeight="15" x14ac:dyDescent="0.25"/>
  <cols>
    <col min="1" max="1" width="10.140625" customWidth="1"/>
    <col min="2" max="2" width="25.5703125" bestFit="1" customWidth="1"/>
    <col min="3" max="5" width="9.85546875" bestFit="1" customWidth="1"/>
    <col min="6" max="10" width="8.7109375" customWidth="1"/>
    <col min="11" max="11" width="9.28515625" bestFit="1" customWidth="1"/>
    <col min="12" max="25" width="8.7109375" customWidth="1"/>
    <col min="26" max="26" width="9.28515625" bestFit="1" customWidth="1"/>
    <col min="27" max="37" width="8.7109375" customWidth="1"/>
  </cols>
  <sheetData>
    <row r="1" spans="1:37" ht="28.5" customHeight="1" thickTop="1" thickBot="1" x14ac:dyDescent="0.3">
      <c r="A1" s="466">
        <v>2016</v>
      </c>
      <c r="B1" s="467"/>
      <c r="C1" s="428" t="s">
        <v>89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429"/>
      <c r="V1" s="430"/>
      <c r="W1" s="430"/>
      <c r="X1" s="430"/>
      <c r="Y1" s="430"/>
      <c r="Z1" s="430"/>
      <c r="AA1" s="430"/>
      <c r="AB1" s="430"/>
      <c r="AC1" s="429"/>
      <c r="AD1" s="429"/>
      <c r="AE1" s="429"/>
      <c r="AF1" s="429"/>
      <c r="AG1" s="429"/>
      <c r="AH1" s="429"/>
      <c r="AI1" s="429"/>
      <c r="AJ1" s="429"/>
      <c r="AK1" s="431"/>
    </row>
    <row r="2" spans="1:37" ht="28.5" customHeight="1" thickTop="1" thickBot="1" x14ac:dyDescent="0.3">
      <c r="A2" s="432"/>
      <c r="B2" s="433"/>
      <c r="C2" s="439" t="s">
        <v>66</v>
      </c>
      <c r="D2" s="440"/>
      <c r="E2" s="440"/>
      <c r="F2" s="440"/>
      <c r="G2" s="440"/>
      <c r="H2" s="440"/>
      <c r="I2" s="441"/>
      <c r="J2" s="442" t="s">
        <v>71</v>
      </c>
      <c r="K2" s="443"/>
      <c r="L2" s="443"/>
      <c r="M2" s="443"/>
      <c r="N2" s="443"/>
      <c r="O2" s="444"/>
      <c r="P2" s="445" t="s">
        <v>73</v>
      </c>
      <c r="Q2" s="446"/>
      <c r="R2" s="446"/>
      <c r="S2" s="446"/>
      <c r="T2" s="446"/>
      <c r="U2" s="447"/>
      <c r="V2" s="448" t="s">
        <v>82</v>
      </c>
      <c r="W2" s="449"/>
      <c r="X2" s="449"/>
      <c r="Y2" s="449"/>
      <c r="Z2" s="449"/>
      <c r="AA2" s="449"/>
      <c r="AB2" s="450"/>
      <c r="AC2" s="451" t="s">
        <v>83</v>
      </c>
      <c r="AD2" s="452"/>
      <c r="AE2" s="453" t="s">
        <v>229</v>
      </c>
      <c r="AF2" s="454"/>
      <c r="AG2" s="455"/>
      <c r="AH2" s="436" t="s">
        <v>85</v>
      </c>
      <c r="AI2" s="437"/>
      <c r="AJ2" s="437"/>
      <c r="AK2" s="438"/>
    </row>
    <row r="3" spans="1:37" ht="119.25" customHeight="1" thickBot="1" x14ac:dyDescent="0.3">
      <c r="A3" s="434"/>
      <c r="B3" s="435"/>
      <c r="C3" s="228" t="s">
        <v>67</v>
      </c>
      <c r="D3" s="228" t="s">
        <v>68</v>
      </c>
      <c r="E3" s="228" t="s">
        <v>11</v>
      </c>
      <c r="F3" s="228" t="s">
        <v>12</v>
      </c>
      <c r="G3" s="228" t="s">
        <v>13</v>
      </c>
      <c r="H3" s="228" t="s">
        <v>69</v>
      </c>
      <c r="I3" s="229" t="s">
        <v>70</v>
      </c>
      <c r="J3" s="230" t="s">
        <v>67</v>
      </c>
      <c r="K3" s="230" t="s">
        <v>72</v>
      </c>
      <c r="L3" s="231" t="s">
        <v>17</v>
      </c>
      <c r="M3" s="230" t="s">
        <v>18</v>
      </c>
      <c r="N3" s="230" t="s">
        <v>19</v>
      </c>
      <c r="O3" s="230" t="s">
        <v>13</v>
      </c>
      <c r="P3" s="232" t="s">
        <v>35</v>
      </c>
      <c r="Q3" s="233" t="s">
        <v>36</v>
      </c>
      <c r="R3" s="232" t="s">
        <v>74</v>
      </c>
      <c r="S3" s="232" t="s">
        <v>75</v>
      </c>
      <c r="T3" s="232" t="s">
        <v>76</v>
      </c>
      <c r="U3" s="232" t="s">
        <v>77</v>
      </c>
      <c r="V3" s="234" t="s">
        <v>78</v>
      </c>
      <c r="W3" s="234" t="s">
        <v>79</v>
      </c>
      <c r="X3" s="234" t="s">
        <v>80</v>
      </c>
      <c r="Y3" s="234" t="s">
        <v>81</v>
      </c>
      <c r="Z3" s="234" t="s">
        <v>45</v>
      </c>
      <c r="AA3" s="234" t="s">
        <v>46</v>
      </c>
      <c r="AB3" s="234" t="s">
        <v>20</v>
      </c>
      <c r="AC3" s="235" t="s">
        <v>7</v>
      </c>
      <c r="AD3" s="236" t="s">
        <v>84</v>
      </c>
      <c r="AE3" s="406" t="s">
        <v>230</v>
      </c>
      <c r="AF3" s="406" t="s">
        <v>231</v>
      </c>
      <c r="AG3" s="406"/>
      <c r="AH3" s="237" t="s">
        <v>27</v>
      </c>
      <c r="AI3" s="237" t="s">
        <v>31</v>
      </c>
      <c r="AJ3" s="237" t="s">
        <v>32</v>
      </c>
      <c r="AK3" s="238" t="s">
        <v>33</v>
      </c>
    </row>
    <row r="4" spans="1:37" ht="15.75" customHeight="1" thickTop="1" x14ac:dyDescent="0.25">
      <c r="A4" s="463" t="s">
        <v>86</v>
      </c>
      <c r="B4" s="89" t="s">
        <v>52</v>
      </c>
      <c r="C4" s="101">
        <f>JANUARY!B39</f>
        <v>0</v>
      </c>
      <c r="D4" s="101">
        <f>JANUARY!C39</f>
        <v>1710.8707008461176</v>
      </c>
      <c r="E4" s="101">
        <f>JANUARY!D39</f>
        <v>22981.08673222857</v>
      </c>
      <c r="F4" s="101">
        <f>JANUARY!E39</f>
        <v>485.43119078377856</v>
      </c>
      <c r="G4" s="101">
        <f>JANUARY!F39</f>
        <v>0</v>
      </c>
      <c r="H4" s="101">
        <f>JANUARY!G39</f>
        <v>62116.05822111755</v>
      </c>
      <c r="I4" s="101">
        <f>JANUARY!H39</f>
        <v>807.96194931765478</v>
      </c>
      <c r="J4" s="101">
        <f>JANUARY!I39</f>
        <v>3493.3260452191025</v>
      </c>
      <c r="K4" s="101">
        <f>JANUARY!J39</f>
        <v>10140.432157580066</v>
      </c>
      <c r="L4" s="239">
        <f>JANUARY!K39</f>
        <v>556.9949743116897</v>
      </c>
      <c r="M4" s="101">
        <f>JANUARY!L39</f>
        <v>5.6648254394531249E-5</v>
      </c>
      <c r="N4" s="101">
        <f>JANUARY!M39</f>
        <v>0</v>
      </c>
      <c r="O4" s="101">
        <f>JANUARY!N39</f>
        <v>0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8348.2356673866343</v>
      </c>
      <c r="W4" s="101">
        <f>JANUARY!V39</f>
        <v>4678.5889955000675</v>
      </c>
      <c r="X4" s="101">
        <f>JANUARY!W39</f>
        <v>946.23558184512467</v>
      </c>
      <c r="Y4" s="101">
        <f>JANUARY!X39</f>
        <v>530.33486408185911</v>
      </c>
      <c r="Z4" s="101">
        <f>JANUARY!Y39</f>
        <v>3706.9495013355345</v>
      </c>
      <c r="AA4" s="101">
        <f>JANUARY!Z39</f>
        <v>2077.7336889863877</v>
      </c>
      <c r="AB4" s="101">
        <f>JANUARY!AA39</f>
        <v>0</v>
      </c>
      <c r="AC4" s="102">
        <f>JANUARY!AB39</f>
        <v>1773.933147210545</v>
      </c>
      <c r="AD4" s="102">
        <f>JANUARY!AC39</f>
        <v>0</v>
      </c>
      <c r="AE4" s="240">
        <f>JANUARY!AD40</f>
        <v>261.46293439824461</v>
      </c>
      <c r="AF4" s="240">
        <f>JANUARY!AE40</f>
        <v>138.20513457987204</v>
      </c>
      <c r="AG4" s="240">
        <f>SUM(AE4+AF4)</f>
        <v>399.66806897811665</v>
      </c>
      <c r="AH4" s="240">
        <f>JANUARY!AF40</f>
        <v>386.62300905783974</v>
      </c>
      <c r="AI4" s="240">
        <f>JANUARY!AG40</f>
        <v>244.3727907501584</v>
      </c>
      <c r="AJ4" s="240">
        <f>JANUARY!AH40</f>
        <v>136.966741449517</v>
      </c>
      <c r="AK4" s="241">
        <f>JANUARY!AI40</f>
        <v>0.64082732084068572</v>
      </c>
    </row>
    <row r="5" spans="1:37" ht="15.75" customHeight="1" x14ac:dyDescent="0.25">
      <c r="A5" s="464"/>
      <c r="B5" s="90" t="s">
        <v>53</v>
      </c>
      <c r="C5" s="103">
        <f>FEBRUARY!B39</f>
        <v>0</v>
      </c>
      <c r="D5" s="103">
        <f>FEBRUARY!C39</f>
        <v>1546.9030493001171</v>
      </c>
      <c r="E5" s="103">
        <f>FEBRUARY!D39</f>
        <v>19781.454829565664</v>
      </c>
      <c r="F5" s="103">
        <f>FEBRUARY!E39</f>
        <v>437.39852900703721</v>
      </c>
      <c r="G5" s="103">
        <f>FEBRUARY!F39</f>
        <v>0</v>
      </c>
      <c r="H5" s="103">
        <f>FEBRUARY!G39</f>
        <v>53411.303188578218</v>
      </c>
      <c r="I5" s="103">
        <f>FEBRUARY!H39</f>
        <v>648.78869490722786</v>
      </c>
      <c r="J5" s="103">
        <f>FEBRUARY!I39</f>
        <v>3571.2297101497634</v>
      </c>
      <c r="K5" s="103">
        <f>FEBRUARY!J39</f>
        <v>9741.5529060363897</v>
      </c>
      <c r="L5" s="104">
        <f>FEBRUARY!K39</f>
        <v>534.75994404504695</v>
      </c>
      <c r="M5" s="103">
        <f>FEBRUARY!L39</f>
        <v>2.744197330474853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7465.4167612594847</v>
      </c>
      <c r="W5" s="103">
        <f>FEBRUARY!V39</f>
        <v>4116.9468952295192</v>
      </c>
      <c r="X5" s="103">
        <f>FEBRUARY!W39</f>
        <v>885.84184233446956</v>
      </c>
      <c r="Y5" s="103">
        <f>FEBRUARY!X39</f>
        <v>488.3654617657262</v>
      </c>
      <c r="Z5" s="103">
        <f>FEBRUARY!Y39</f>
        <v>3091.2743437725831</v>
      </c>
      <c r="AA5" s="103">
        <f>FEBRUARY!Z39</f>
        <v>1704.2030334116482</v>
      </c>
      <c r="AB5" s="103">
        <f>FEBRUARY!AA39</f>
        <v>0</v>
      </c>
      <c r="AC5" s="105">
        <f>FEBRUARY!AB39</f>
        <v>1706.0758539332278</v>
      </c>
      <c r="AD5" s="105">
        <f>FEBRUARY!AC39</f>
        <v>0</v>
      </c>
      <c r="AE5" s="99">
        <f>FEBRUARY!AD40</f>
        <v>239.70476123321509</v>
      </c>
      <c r="AF5" s="99">
        <f>FEBRUARY!AE40</f>
        <v>125.17445479421571</v>
      </c>
      <c r="AG5" s="99">
        <f t="shared" ref="AG5:AG15" si="0">SUM(AE5+AF5)</f>
        <v>364.8792160274308</v>
      </c>
      <c r="AH5" s="99">
        <f>FEBRUARY!AF40</f>
        <v>352.56396848592487</v>
      </c>
      <c r="AI5" s="99">
        <f>FEBRUARY!AG40</f>
        <v>224.78877195962778</v>
      </c>
      <c r="AJ5" s="99">
        <f>FEBRUARY!AH40</f>
        <v>123.9436199266369</v>
      </c>
      <c r="AK5" s="91">
        <f>FEBRUARY!AI40</f>
        <v>0.6445881632725996</v>
      </c>
    </row>
    <row r="6" spans="1:37" ht="15.75" customHeight="1" x14ac:dyDescent="0.25">
      <c r="A6" s="464"/>
      <c r="B6" s="90" t="s">
        <v>54</v>
      </c>
      <c r="C6" s="103">
        <f>MARCH!B39</f>
        <v>0</v>
      </c>
      <c r="D6" s="103">
        <f>MARCH!C39</f>
        <v>2375.4989015181923</v>
      </c>
      <c r="E6" s="103">
        <f>MARCH!D39</f>
        <v>28909.648898911488</v>
      </c>
      <c r="F6" s="103">
        <f>MARCH!E39</f>
        <v>667.30844276448113</v>
      </c>
      <c r="G6" s="103">
        <f>MARCH!F39</f>
        <v>0</v>
      </c>
      <c r="H6" s="103">
        <f>MARCH!G39</f>
        <v>80603.68957112635</v>
      </c>
      <c r="I6" s="103">
        <f>MARCH!H39</f>
        <v>967.15511917173967</v>
      </c>
      <c r="J6" s="103">
        <f>MARCH!I39</f>
        <v>3684.4679430564233</v>
      </c>
      <c r="K6" s="103">
        <f>MARCH!J39</f>
        <v>10004.228976996743</v>
      </c>
      <c r="L6" s="104">
        <f>MARCH!K39</f>
        <v>550.54867000132788</v>
      </c>
      <c r="M6" s="103">
        <f>MARCH!L39</f>
        <v>1.2793064117431665E-2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7367.9911112866312</v>
      </c>
      <c r="W6" s="103">
        <f>MARCH!V39</f>
        <v>6057.8099423857302</v>
      </c>
      <c r="X6" s="103">
        <f>MARCH!W39</f>
        <v>954.88207872771534</v>
      </c>
      <c r="Y6" s="103">
        <f>MARCH!X39</f>
        <v>787.28288983043763</v>
      </c>
      <c r="Z6" s="103">
        <f>MARCH!Y39</f>
        <v>2989.105747130704</v>
      </c>
      <c r="AA6" s="103">
        <f>MARCH!Z39</f>
        <v>2458.5754011758263</v>
      </c>
      <c r="AB6" s="103">
        <f>MARCH!AA39</f>
        <v>0</v>
      </c>
      <c r="AC6" s="105">
        <f>MARCH!AB39</f>
        <v>2002.5043390327053</v>
      </c>
      <c r="AD6" s="105">
        <f>MARCH!AC39</f>
        <v>0</v>
      </c>
      <c r="AE6" s="99">
        <f>MARCH!AD40</f>
        <v>242.51825095669992</v>
      </c>
      <c r="AF6" s="99">
        <f>MARCH!AE40</f>
        <v>192.33568948630699</v>
      </c>
      <c r="AG6" s="99">
        <f t="shared" si="0"/>
        <v>434.85394044300688</v>
      </c>
      <c r="AH6" s="99">
        <f>MARCH!AF40</f>
        <v>418.52605272962006</v>
      </c>
      <c r="AI6" s="99">
        <f>MARCH!AG40</f>
        <v>226.75779749616038</v>
      </c>
      <c r="AJ6" s="99">
        <f>MARCH!AH40</f>
        <v>186.53589242870549</v>
      </c>
      <c r="AK6" s="91">
        <f>MARCH!AI40</f>
        <v>0.54866019739469885</v>
      </c>
    </row>
    <row r="7" spans="1:37" ht="15.75" customHeight="1" x14ac:dyDescent="0.25">
      <c r="A7" s="464"/>
      <c r="B7" s="90" t="s">
        <v>55</v>
      </c>
      <c r="C7" s="103">
        <f>APRIL!B39</f>
        <v>0</v>
      </c>
      <c r="D7" s="103">
        <f>APRIL!C39</f>
        <v>2744.1368034561501</v>
      </c>
      <c r="E7" s="103">
        <f>APRIL!D39</f>
        <v>31241.296281862284</v>
      </c>
      <c r="F7" s="103">
        <f>APRIL!E39</f>
        <v>755.17456435312852</v>
      </c>
      <c r="G7" s="103">
        <f>APRIL!F39</f>
        <v>0</v>
      </c>
      <c r="H7" s="103">
        <f>APRIL!G39</f>
        <v>81078.733029937881</v>
      </c>
      <c r="I7" s="103">
        <f>APRIL!H39</f>
        <v>1118.0927413284785</v>
      </c>
      <c r="J7" s="103">
        <f>APRIL!I39</f>
        <v>3774.3562829136858</v>
      </c>
      <c r="K7" s="103">
        <f>APRIL!J39</f>
        <v>10503.627564620983</v>
      </c>
      <c r="L7" s="104">
        <f>APRIL!K39</f>
        <v>574.79294990201799</v>
      </c>
      <c r="M7" s="103">
        <f>APRIL!L39</f>
        <v>8.9409828186035375E-3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6967.09521428277</v>
      </c>
      <c r="W7" s="103">
        <f>APRIL!V39</f>
        <v>6868.0787586311999</v>
      </c>
      <c r="X7" s="103">
        <f>APRIL!W39</f>
        <v>946.79586620178293</v>
      </c>
      <c r="Y7" s="103">
        <f>APRIL!X39</f>
        <v>931.50403134578005</v>
      </c>
      <c r="Z7" s="103">
        <f>APRIL!Y39</f>
        <v>2795.6954178103824</v>
      </c>
      <c r="AA7" s="103">
        <f>APRIL!Z39</f>
        <v>2749.9467921009668</v>
      </c>
      <c r="AB7" s="103">
        <f>APRIL!AA39</f>
        <v>0</v>
      </c>
      <c r="AC7" s="105">
        <f>APRIL!AB39</f>
        <v>2504.3250093380575</v>
      </c>
      <c r="AD7" s="105">
        <f>APRIL!AC39</f>
        <v>0</v>
      </c>
      <c r="AE7" s="99">
        <f>APRIL!AD40</f>
        <v>237.77860516859084</v>
      </c>
      <c r="AF7" s="99">
        <f>APRIL!AE40</f>
        <v>222.48686866239305</v>
      </c>
      <c r="AG7" s="99">
        <f t="shared" si="0"/>
        <v>460.26547383098386</v>
      </c>
      <c r="AH7" s="99">
        <f>APRIL!AF40</f>
        <v>447.93979044920849</v>
      </c>
      <c r="AI7" s="99">
        <f>APRIL!AG40</f>
        <v>222.87519441585161</v>
      </c>
      <c r="AJ7" s="99">
        <f>APRIL!AH40</f>
        <v>219.29475331683349</v>
      </c>
      <c r="AK7" s="91">
        <f>APRIL!AI40</f>
        <v>0.50404871601674595</v>
      </c>
    </row>
    <row r="8" spans="1:37" ht="15.75" customHeight="1" x14ac:dyDescent="0.25">
      <c r="A8" s="464"/>
      <c r="B8" s="90" t="s">
        <v>56</v>
      </c>
      <c r="C8" s="103">
        <f>MAY!B39</f>
        <v>0</v>
      </c>
      <c r="D8" s="103">
        <f>MAY!C39</f>
        <v>2970.0510487675692</v>
      </c>
      <c r="E8" s="103">
        <f>MAY!D39</f>
        <v>36614.180511474588</v>
      </c>
      <c r="F8" s="103">
        <f>MAY!E39</f>
        <v>803.69878212759932</v>
      </c>
      <c r="G8" s="103">
        <f>MAY!F39</f>
        <v>0</v>
      </c>
      <c r="H8" s="103">
        <f>MAY!G39</f>
        <v>109409.89790712997</v>
      </c>
      <c r="I8" s="103">
        <f>MAY!H39</f>
        <v>1329.5769927998385</v>
      </c>
      <c r="J8" s="103">
        <f>MAY!I39</f>
        <v>6963.8859728177422</v>
      </c>
      <c r="K8" s="103">
        <f>MAY!J39</f>
        <v>20333.142223072056</v>
      </c>
      <c r="L8" s="104">
        <f>MAY!K39</f>
        <v>1117.1042353232704</v>
      </c>
      <c r="M8" s="103">
        <f>MAY!L39</f>
        <v>2.5491714477539036E-3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11940.648315737817</v>
      </c>
      <c r="W8" s="103">
        <f>MAY!V39</f>
        <v>7001.5680089836351</v>
      </c>
      <c r="X8" s="103">
        <f>MAY!W39</f>
        <v>1795.9124064022287</v>
      </c>
      <c r="Y8" s="103">
        <f>MAY!X39</f>
        <v>1046.2897711819419</v>
      </c>
      <c r="Z8" s="103">
        <f>MAY!Y39</f>
        <v>7010.4278308796293</v>
      </c>
      <c r="AA8" s="103">
        <f>MAY!Z39</f>
        <v>4039.5877706599849</v>
      </c>
      <c r="AB8" s="103">
        <f>MAY!AA39</f>
        <v>0</v>
      </c>
      <c r="AC8" s="105">
        <f>MAY!AB39</f>
        <v>4126.8729241371111</v>
      </c>
      <c r="AD8" s="105">
        <f>MAY!AC39</f>
        <v>0</v>
      </c>
      <c r="AE8" s="99">
        <f>MAY!AD40</f>
        <v>499.12525058138215</v>
      </c>
      <c r="AF8" s="99">
        <f>MAY!AE40</f>
        <v>281.2032542939661</v>
      </c>
      <c r="AG8" s="99">
        <f t="shared" si="0"/>
        <v>780.32850487534824</v>
      </c>
      <c r="AH8" s="99">
        <f>MAY!AF40</f>
        <v>704.77173679537248</v>
      </c>
      <c r="AI8" s="99">
        <f>MAY!AG40</f>
        <v>441.5402093265667</v>
      </c>
      <c r="AJ8" s="99">
        <f>MAY!AH40</f>
        <v>256.81970982155082</v>
      </c>
      <c r="AK8" s="91">
        <f>MAY!AI40</f>
        <v>0.63225307927919461</v>
      </c>
    </row>
    <row r="9" spans="1:37" ht="15.75" customHeight="1" x14ac:dyDescent="0.25">
      <c r="A9" s="464"/>
      <c r="B9" s="90" t="s">
        <v>57</v>
      </c>
      <c r="C9" s="103">
        <f>JUNE!B39</f>
        <v>0</v>
      </c>
      <c r="D9" s="103">
        <f>JUNE!C39</f>
        <v>2547.8444262067505</v>
      </c>
      <c r="E9" s="103">
        <f>JUNE!D39</f>
        <v>39609.504718208314</v>
      </c>
      <c r="F9" s="103">
        <f>JUNE!E39</f>
        <v>998.28966157386787</v>
      </c>
      <c r="G9" s="103">
        <f>JUNE!F39</f>
        <v>0</v>
      </c>
      <c r="H9" s="103">
        <f>JUNE!G39</f>
        <v>113318.91846160889</v>
      </c>
      <c r="I9" s="103">
        <f>JUNE!H39</f>
        <v>1273.6075598239918</v>
      </c>
      <c r="J9" s="103">
        <f>JUNE!I39</f>
        <v>7773.8947275241226</v>
      </c>
      <c r="K9" s="103">
        <f>JUNE!J39</f>
        <v>19029.571871821096</v>
      </c>
      <c r="L9" s="104">
        <f>JUNE!K39</f>
        <v>1041.1307344049219</v>
      </c>
      <c r="M9" s="103">
        <f>JUNE!L39</f>
        <v>0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16425.979902109422</v>
      </c>
      <c r="W9" s="103">
        <f>JUNE!V39</f>
        <v>8112.307737572045</v>
      </c>
      <c r="X9" s="103">
        <f>JUNE!W39</f>
        <v>2441.9090300823136</v>
      </c>
      <c r="Y9" s="103">
        <f>JUNE!X39</f>
        <v>1211.6196250215301</v>
      </c>
      <c r="Z9" s="103">
        <f>JUNE!Y39</f>
        <v>9123.4917758140346</v>
      </c>
      <c r="AA9" s="103">
        <f>JUNE!Z39</f>
        <v>4463.741960041385</v>
      </c>
      <c r="AB9" s="103">
        <f>JUNE!AA39</f>
        <v>0</v>
      </c>
      <c r="AC9" s="105">
        <f>JUNE!AB39</f>
        <v>5563.0436441103702</v>
      </c>
      <c r="AD9" s="105">
        <f>JUNE!AC39</f>
        <v>0</v>
      </c>
      <c r="AE9" s="99">
        <f>JUNE!AD40</f>
        <v>597.15418109681229</v>
      </c>
      <c r="AF9" s="99">
        <f>JUNE!AE40</f>
        <v>288.8393080913533</v>
      </c>
      <c r="AG9" s="99">
        <f t="shared" si="0"/>
        <v>885.99348918816554</v>
      </c>
      <c r="AH9" s="99">
        <f>JUNE!AF40</f>
        <v>868.86329905291359</v>
      </c>
      <c r="AI9" s="99">
        <f>JUNE!AG40</f>
        <v>575.59449505666305</v>
      </c>
      <c r="AJ9" s="99">
        <f>JUNE!AH40</f>
        <v>284.33459306395184</v>
      </c>
      <c r="AK9" s="91">
        <f>JUNE!AI40</f>
        <v>0.66935111628172916</v>
      </c>
    </row>
    <row r="10" spans="1:37" ht="15.75" customHeight="1" x14ac:dyDescent="0.25">
      <c r="A10" s="464"/>
      <c r="B10" s="90" t="s">
        <v>58</v>
      </c>
      <c r="C10" s="103">
        <f>JULY!B39</f>
        <v>0</v>
      </c>
      <c r="D10" s="103">
        <f>JULY!C39</f>
        <v>2562.465840431053</v>
      </c>
      <c r="E10" s="103">
        <f>JULY!D39</f>
        <v>42324.281123081841</v>
      </c>
      <c r="F10" s="103">
        <f>JULY!E39</f>
        <v>1004.1088619853069</v>
      </c>
      <c r="G10" s="103">
        <f>JULY!F39</f>
        <v>0</v>
      </c>
      <c r="H10" s="103">
        <f>JULY!G39</f>
        <v>85981.781562868782</v>
      </c>
      <c r="I10" s="103">
        <f>JULY!H39</f>
        <v>1271.8244683494183</v>
      </c>
      <c r="J10" s="103">
        <f>JULY!I39</f>
        <v>7024.2028887947363</v>
      </c>
      <c r="K10" s="103">
        <f>JULY!J39</f>
        <v>20238.65464185079</v>
      </c>
      <c r="L10" s="104">
        <f>JULY!K39</f>
        <v>1108.0176326920587</v>
      </c>
      <c r="M10" s="103">
        <f>JULY!L39</f>
        <v>0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17890.819585145473</v>
      </c>
      <c r="W10" s="103">
        <f>JULY!V39</f>
        <v>8341.7759093897985</v>
      </c>
      <c r="X10" s="103">
        <f>JULY!W39</f>
        <v>2723.2275848658478</v>
      </c>
      <c r="Y10" s="103">
        <f>JULY!X39</f>
        <v>1267.3648165154864</v>
      </c>
      <c r="Z10" s="103">
        <f>JULY!Y39</f>
        <v>10145.985235130356</v>
      </c>
      <c r="AA10" s="103">
        <f>JULY!Z39</f>
        <v>4558.0114344879339</v>
      </c>
      <c r="AB10" s="103">
        <f>JULY!AA39</f>
        <v>0</v>
      </c>
      <c r="AC10" s="105">
        <f>JULY!AB39</f>
        <v>5964.0834304385826</v>
      </c>
      <c r="AD10" s="105">
        <f>JULY!AC39</f>
        <v>0</v>
      </c>
      <c r="AE10" s="99">
        <f>JULY!AD40</f>
        <v>651.14430381846159</v>
      </c>
      <c r="AF10" s="99">
        <f>JULY!AE40</f>
        <v>300.59244501576637</v>
      </c>
      <c r="AG10" s="99">
        <f t="shared" si="0"/>
        <v>951.73674883422791</v>
      </c>
      <c r="AH10" s="99">
        <f>JULY!AF40</f>
        <v>910.9631038308147</v>
      </c>
      <c r="AI10" s="99">
        <f>JULY!AG40</f>
        <v>614.95727098077657</v>
      </c>
      <c r="AJ10" s="99">
        <f>JULY!AH40</f>
        <v>285.22459553673548</v>
      </c>
      <c r="AK10" s="91">
        <f>JULY!AI40</f>
        <v>0.68314781029730198</v>
      </c>
    </row>
    <row r="11" spans="1:37" ht="15.75" customHeight="1" x14ac:dyDescent="0.25">
      <c r="A11" s="464"/>
      <c r="B11" s="90" t="s">
        <v>59</v>
      </c>
      <c r="C11" s="103">
        <f>AUGUST!B39</f>
        <v>0</v>
      </c>
      <c r="D11" s="103">
        <f>AUGUST!C39</f>
        <v>2574.8912636558271</v>
      </c>
      <c r="E11" s="103">
        <f>AUGUST!D39</f>
        <v>43527.769908972572</v>
      </c>
      <c r="F11" s="103">
        <f>AUGUST!E39</f>
        <v>1009.8906852642702</v>
      </c>
      <c r="G11" s="103">
        <f>AUGUST!F39</f>
        <v>0</v>
      </c>
      <c r="H11" s="103">
        <f>AUGUST!G39</f>
        <v>78784.415252939856</v>
      </c>
      <c r="I11" s="103">
        <f>AUGUST!H39</f>
        <v>1283.0035324712605</v>
      </c>
      <c r="J11" s="103">
        <f>AUGUST!I39</f>
        <v>6611.8263134916606</v>
      </c>
      <c r="K11" s="103">
        <f>AUGUST!J39</f>
        <v>16076.556594403586</v>
      </c>
      <c r="L11" s="104">
        <f>AUGUST!K39</f>
        <v>878.37374317497029</v>
      </c>
      <c r="M11" s="103">
        <f>AUGUST!L39</f>
        <v>0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14013.800197144965</v>
      </c>
      <c r="W11" s="103">
        <f>AUGUST!V39</f>
        <v>8017.550921133542</v>
      </c>
      <c r="X11" s="103">
        <f>AUGUST!W39</f>
        <v>2247.6645855522029</v>
      </c>
      <c r="Y11" s="103">
        <f>AUGUST!X39</f>
        <v>1284.3405676746495</v>
      </c>
      <c r="Z11" s="103">
        <f>AUGUST!Y39</f>
        <v>8121.2266445370842</v>
      </c>
      <c r="AA11" s="103">
        <f>AUGUST!Z39</f>
        <v>4554.8966002094448</v>
      </c>
      <c r="AB11" s="103">
        <f>AUGUST!AA39</f>
        <v>0</v>
      </c>
      <c r="AC11" s="105">
        <f>AUGUST!AB39</f>
        <v>4344.8617922624062</v>
      </c>
      <c r="AD11" s="105">
        <f>AUGUST!AC39</f>
        <v>0</v>
      </c>
      <c r="AE11" s="99">
        <f>AUGUST!AD40</f>
        <v>519.97621564740052</v>
      </c>
      <c r="AF11" s="99">
        <f>AUGUST!AE40</f>
        <v>292.07387575905261</v>
      </c>
      <c r="AG11" s="99">
        <f t="shared" si="0"/>
        <v>812.05009140645313</v>
      </c>
      <c r="AH11" s="99">
        <f>AUGUST!AF40</f>
        <v>795.9247275249827</v>
      </c>
      <c r="AI11" s="99">
        <f>AUGUST!AG40</f>
        <v>501.11600687156033</v>
      </c>
      <c r="AJ11" s="99">
        <f>AUGUST!AH40</f>
        <v>286.12346507627188</v>
      </c>
      <c r="AK11" s="91">
        <f>AUGUST!AI40</f>
        <v>0.63654837533955311</v>
      </c>
    </row>
    <row r="12" spans="1:37" ht="15.75" customHeight="1" x14ac:dyDescent="0.25">
      <c r="A12" s="464"/>
      <c r="B12" s="90" t="s">
        <v>60</v>
      </c>
      <c r="C12" s="103">
        <f>SEPTEMBER!B39</f>
        <v>0</v>
      </c>
      <c r="D12" s="103">
        <f>SEPTEMBER!C39</f>
        <v>0</v>
      </c>
      <c r="E12" s="103">
        <f>SEPTEMBER!D39</f>
        <v>0</v>
      </c>
      <c r="F12" s="103">
        <f>SEPTEMBER!E39</f>
        <v>0</v>
      </c>
      <c r="G12" s="103">
        <f>SEPTEMBER!F39</f>
        <v>0</v>
      </c>
      <c r="H12" s="103">
        <f>SEPTEMBER!G39</f>
        <v>0</v>
      </c>
      <c r="I12" s="103">
        <f>SEPTEMBER!H39</f>
        <v>0</v>
      </c>
      <c r="J12" s="103">
        <f>SEPTEMBER!I39</f>
        <v>9776.210955679413</v>
      </c>
      <c r="K12" s="103">
        <f>SEPTEMBER!J39</f>
        <v>18135.009067968549</v>
      </c>
      <c r="L12" s="104">
        <f>SEPTEMBER!K39</f>
        <v>983.37924131055627</v>
      </c>
      <c r="M12" s="103">
        <f>SEPTEMBER!L39</f>
        <v>0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17174.28802236445</v>
      </c>
      <c r="W12" s="103">
        <f>SEPTEMBER!V39</f>
        <v>0</v>
      </c>
      <c r="X12" s="103">
        <f>SEPTEMBER!W39</f>
        <v>2656.0691846013069</v>
      </c>
      <c r="Y12" s="103">
        <f>SEPTEMBER!X39</f>
        <v>0</v>
      </c>
      <c r="Z12" s="103">
        <f>SEPTEMBER!Y39</f>
        <v>17895.139132626853</v>
      </c>
      <c r="AA12" s="103">
        <f>SEPTEMBER!Z39</f>
        <v>0</v>
      </c>
      <c r="AB12" s="103">
        <f>SEPTEMBER!AA39</f>
        <v>0</v>
      </c>
      <c r="AC12" s="105">
        <f>SEPTEMBER!AB39</f>
        <v>2864.0134338458315</v>
      </c>
      <c r="AD12" s="105">
        <f>SEPTEMBER!AC39</f>
        <v>0</v>
      </c>
      <c r="AE12" s="99">
        <f>SEPTEMBER!AD40</f>
        <v>627.43833564068973</v>
      </c>
      <c r="AF12" s="99">
        <f>SEPTEMBER!AE40</f>
        <v>43.073389648339017</v>
      </c>
      <c r="AG12" s="99">
        <f t="shared" si="0"/>
        <v>670.51172528902873</v>
      </c>
      <c r="AH12" s="99">
        <f>SEPTEMBER!AF40</f>
        <v>618.00087547467831</v>
      </c>
      <c r="AI12" s="99">
        <f>SEPTEMBER!AG40</f>
        <v>608.88985734522885</v>
      </c>
      <c r="AJ12" s="99">
        <f>SEPTEMBER!AH40</f>
        <v>0</v>
      </c>
      <c r="AK12" s="91">
        <f>SEPTEMBER!AI40</f>
        <v>1</v>
      </c>
    </row>
    <row r="13" spans="1:37" ht="15.75" customHeight="1" x14ac:dyDescent="0.25">
      <c r="A13" s="464"/>
      <c r="B13" s="90" t="s">
        <v>61</v>
      </c>
      <c r="C13" s="103">
        <f>OCTOBER!B39</f>
        <v>0</v>
      </c>
      <c r="D13" s="103">
        <f>OCTOBER!C39</f>
        <v>0</v>
      </c>
      <c r="E13" s="103">
        <f>OCTOBER!D39</f>
        <v>0</v>
      </c>
      <c r="F13" s="103">
        <f>OCTOBER!E39</f>
        <v>0</v>
      </c>
      <c r="G13" s="103">
        <f>OCTOBER!F39</f>
        <v>0</v>
      </c>
      <c r="H13" s="103">
        <f>OCTOBER!G39</f>
        <v>0</v>
      </c>
      <c r="I13" s="103">
        <f>OCTOBER!H39</f>
        <v>0</v>
      </c>
      <c r="J13" s="103">
        <f>OCTOBER!I39</f>
        <v>3053.0188578923535</v>
      </c>
      <c r="K13" s="103">
        <f>OCTOBER!J39</f>
        <v>8552.9472062309505</v>
      </c>
      <c r="L13" s="104">
        <f>OCTOBER!K39</f>
        <v>467.68222348193342</v>
      </c>
      <c r="M13" s="103">
        <f>OCTOBER!L39</f>
        <v>5.8536529541015642E-4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4782.6317803382735</v>
      </c>
      <c r="W13" s="103">
        <f>OCTOBER!V39</f>
        <v>0</v>
      </c>
      <c r="X13" s="103">
        <f>OCTOBER!W39</f>
        <v>730.25995810031918</v>
      </c>
      <c r="Y13" s="103">
        <f>OCTOBER!X39</f>
        <v>0</v>
      </c>
      <c r="Z13" s="103">
        <f>OCTOBER!Y39</f>
        <v>2855.3081299781807</v>
      </c>
      <c r="AA13" s="103">
        <f>OCTOBER!Z39</f>
        <v>0.26930805842081706</v>
      </c>
      <c r="AB13" s="103">
        <f>OCTOBER!AA39</f>
        <v>0</v>
      </c>
      <c r="AC13" s="105">
        <f>OCTOBER!AB39</f>
        <v>848.29939402773016</v>
      </c>
      <c r="AD13" s="105">
        <f>OCTOBER!AC39</f>
        <v>0</v>
      </c>
      <c r="AE13" s="99">
        <f>OCTOBER!AD40</f>
        <v>205.14322027573894</v>
      </c>
      <c r="AF13" s="99">
        <f>OCTOBER!AE40</f>
        <v>0</v>
      </c>
      <c r="AG13" s="99">
        <f t="shared" si="0"/>
        <v>205.14322027573894</v>
      </c>
      <c r="AH13" s="99">
        <f>OCTOBER!AF40</f>
        <v>171.82063937981928</v>
      </c>
      <c r="AI13" s="99">
        <f>OCTOBER!AG40</f>
        <v>175.54914912336679</v>
      </c>
      <c r="AJ13" s="99">
        <f>OCTOBER!AH40</f>
        <v>0</v>
      </c>
      <c r="AK13" s="91">
        <f>OCTOBER!AI40</f>
        <v>1</v>
      </c>
    </row>
    <row r="14" spans="1:37" ht="15.75" customHeight="1" x14ac:dyDescent="0.25">
      <c r="A14" s="464"/>
      <c r="B14" s="90" t="s">
        <v>62</v>
      </c>
      <c r="C14" s="103">
        <f>NOVEMBER!B39</f>
        <v>0</v>
      </c>
      <c r="D14" s="103">
        <f>NOVEMBER!C39</f>
        <v>1812.8639868497823</v>
      </c>
      <c r="E14" s="103">
        <f>NOVEMBER!D39</f>
        <v>21511.959251956156</v>
      </c>
      <c r="F14" s="103">
        <f>NOVEMBER!E39</f>
        <v>515.26004309107896</v>
      </c>
      <c r="G14" s="103">
        <f>NOVEMBER!F39</f>
        <v>0</v>
      </c>
      <c r="H14" s="103">
        <f>NOVEMBER!G39</f>
        <v>44270.998093986535</v>
      </c>
      <c r="I14" s="103">
        <f>NOVEMBER!H39</f>
        <v>622.33416011532222</v>
      </c>
      <c r="J14" s="103">
        <f>NOVEMBER!I39</f>
        <v>3719.2180738568304</v>
      </c>
      <c r="K14" s="103">
        <f>NOVEMBER!J39</f>
        <v>10536.694989109039</v>
      </c>
      <c r="L14" s="104">
        <f>NOVEMBER!K39</f>
        <v>574.64391136169411</v>
      </c>
      <c r="M14" s="103">
        <f>NOVEMBER!L39</f>
        <v>8.110259771347185E-2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6894.7488833145953</v>
      </c>
      <c r="W14" s="103">
        <f>NOVEMBER!V39</f>
        <v>3602.8650826523635</v>
      </c>
      <c r="X14" s="103">
        <f>NOVEMBER!W39</f>
        <v>1027.8320033914863</v>
      </c>
      <c r="Y14" s="103">
        <f>NOVEMBER!X39</f>
        <v>531.37093442608693</v>
      </c>
      <c r="Z14" s="103">
        <f>NOVEMBER!Y39</f>
        <v>2656.6161952645411</v>
      </c>
      <c r="AA14" s="103">
        <f>NOVEMBER!Z39</f>
        <v>1110.8478035538551</v>
      </c>
      <c r="AB14" s="103">
        <f>NOVEMBER!AA39</f>
        <v>0</v>
      </c>
      <c r="AC14" s="105">
        <f>NOVEMBER!AB39</f>
        <v>1699.3402791817989</v>
      </c>
      <c r="AD14" s="105">
        <f>NOVEMBER!AC39</f>
        <v>0</v>
      </c>
      <c r="AE14" s="99">
        <f>NOVEMBER!AD40</f>
        <v>267.1830338905383</v>
      </c>
      <c r="AF14" s="99">
        <f>NOVEMBER!AE40</f>
        <v>149.94880635695807</v>
      </c>
      <c r="AG14" s="99">
        <f t="shared" si="0"/>
        <v>417.13184024749637</v>
      </c>
      <c r="AH14" s="99">
        <f>NOVEMBER!AF40</f>
        <v>388.72363622056122</v>
      </c>
      <c r="AI14" s="99">
        <f>NOVEMBER!AG40</f>
        <v>251.92216589523588</v>
      </c>
      <c r="AJ14" s="99">
        <f>NOVEMBER!AH40</f>
        <v>131.91672970797572</v>
      </c>
      <c r="AK14" s="91">
        <f>NOVEMBER!AI40</f>
        <v>0.65632266240067838</v>
      </c>
    </row>
    <row r="15" spans="1:37" ht="15.75" customHeight="1" x14ac:dyDescent="0.25">
      <c r="A15" s="465"/>
      <c r="B15" s="92" t="s">
        <v>63</v>
      </c>
      <c r="C15" s="106">
        <f>DECEMBER!B39</f>
        <v>0</v>
      </c>
      <c r="D15" s="106">
        <f>DECEMBER!C39</f>
        <v>2337.3965992490466</v>
      </c>
      <c r="E15" s="106">
        <f>DECEMBER!D39</f>
        <v>26540.849598089873</v>
      </c>
      <c r="F15" s="106">
        <f>DECEMBER!E39</f>
        <v>661.89599396685799</v>
      </c>
      <c r="G15" s="106">
        <f>DECEMBER!F39</f>
        <v>0</v>
      </c>
      <c r="H15" s="106">
        <f>DECEMBER!G39</f>
        <v>53257.879654884382</v>
      </c>
      <c r="I15" s="106">
        <f>DECEMBER!H39</f>
        <v>831.42076318959539</v>
      </c>
      <c r="J15" s="106">
        <f>DECEMBER!I39</f>
        <v>3549.1386545658083</v>
      </c>
      <c r="K15" s="106">
        <f>DECEMBER!J39</f>
        <v>10587.583075173714</v>
      </c>
      <c r="L15" s="107">
        <f>DECEMBER!K39</f>
        <v>577.41434867431701</v>
      </c>
      <c r="M15" s="106">
        <f>DECEMBER!L39</f>
        <v>0.62213683128356501</v>
      </c>
      <c r="N15" s="106">
        <f>DECEMBER!M39</f>
        <v>0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6463.8605640903806</v>
      </c>
      <c r="W15" s="106">
        <f>DECEMBER!V39</f>
        <v>4777.0756080240853</v>
      </c>
      <c r="X15" s="106">
        <f>DECEMBER!W39</f>
        <v>977.74610958929713</v>
      </c>
      <c r="Y15" s="106">
        <f>DECEMBER!X39</f>
        <v>722.10580577417318</v>
      </c>
      <c r="Z15" s="106">
        <f>DECEMBER!Y39</f>
        <v>1837.935603551954</v>
      </c>
      <c r="AA15" s="106">
        <f>DECEMBER!Z39</f>
        <v>1354.0927930227026</v>
      </c>
      <c r="AB15" s="106">
        <f>DECEMBER!AA39</f>
        <v>0</v>
      </c>
      <c r="AC15" s="108">
        <f>DECEMBER!AB39</f>
        <v>1836.6246167235861</v>
      </c>
      <c r="AD15" s="108">
        <f>DECEMBER!AC39</f>
        <v>0</v>
      </c>
      <c r="AE15" s="100">
        <f>DECEMBER!AD40</f>
        <v>260.52792860983982</v>
      </c>
      <c r="AF15" s="100">
        <f>DECEMBER!AE40</f>
        <v>189.53869044827377</v>
      </c>
      <c r="AG15" s="100">
        <f t="shared" si="0"/>
        <v>450.06661905811359</v>
      </c>
      <c r="AH15" s="100">
        <f>DECEMBER!AF40</f>
        <v>433.17762614852853</v>
      </c>
      <c r="AI15" s="100">
        <f>DECEMBER!AG40</f>
        <v>246.27732810005494</v>
      </c>
      <c r="AJ15" s="100">
        <f>DECEMBER!AH40</f>
        <v>181.93595254776784</v>
      </c>
      <c r="AK15" s="93">
        <f>DECEMBER!AI40</f>
        <v>0.57512772076446139</v>
      </c>
    </row>
    <row r="16" spans="1:37" ht="15.75" customHeight="1" x14ac:dyDescent="0.25">
      <c r="A16" s="468" t="s">
        <v>160</v>
      </c>
      <c r="B16" s="469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2" t="s">
        <v>28</v>
      </c>
      <c r="AF16" s="242" t="s">
        <v>28</v>
      </c>
      <c r="AG16" s="242" t="s">
        <v>28</v>
      </c>
      <c r="AH16" s="242" t="s">
        <v>28</v>
      </c>
      <c r="AI16" s="242" t="s">
        <v>28</v>
      </c>
      <c r="AJ16" s="242" t="s">
        <v>28</v>
      </c>
      <c r="AK16" s="243" t="s">
        <v>34</v>
      </c>
    </row>
    <row r="17" spans="1:37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J17" si="1">SUM(D4:D15)</f>
        <v>23182.922620280609</v>
      </c>
      <c r="E17" s="109">
        <f t="shared" si="1"/>
        <v>313042.03185435128</v>
      </c>
      <c r="F17" s="109">
        <f t="shared" si="1"/>
        <v>7338.4567549174062</v>
      </c>
      <c r="G17" s="109">
        <f t="shared" si="1"/>
        <v>0</v>
      </c>
      <c r="H17" s="109">
        <f t="shared" si="1"/>
        <v>762233.67494417832</v>
      </c>
      <c r="I17" s="109">
        <f t="shared" si="1"/>
        <v>10153.765981474528</v>
      </c>
      <c r="J17" s="109">
        <f t="shared" si="1"/>
        <v>62994.776425961645</v>
      </c>
      <c r="K17" s="109">
        <f t="shared" si="1"/>
        <v>163880.00127486396</v>
      </c>
      <c r="L17" s="109">
        <f t="shared" si="1"/>
        <v>8964.8426086838062</v>
      </c>
      <c r="M17" s="109">
        <f t="shared" si="1"/>
        <v>3.4723619914054833</v>
      </c>
      <c r="N17" s="109">
        <f t="shared" si="1"/>
        <v>0</v>
      </c>
      <c r="O17" s="109">
        <f t="shared" si="1"/>
        <v>0</v>
      </c>
      <c r="P17" s="109">
        <f t="shared" si="1"/>
        <v>0</v>
      </c>
      <c r="Q17" s="109">
        <f t="shared" si="1"/>
        <v>0</v>
      </c>
      <c r="R17" s="109">
        <f t="shared" si="1"/>
        <v>0</v>
      </c>
      <c r="S17" s="109">
        <f t="shared" si="1"/>
        <v>0</v>
      </c>
      <c r="T17" s="109">
        <f t="shared" si="1"/>
        <v>0</v>
      </c>
      <c r="U17" s="109">
        <f t="shared" si="1"/>
        <v>0</v>
      </c>
      <c r="V17" s="109">
        <f t="shared" si="1"/>
        <v>125735.51600446089</v>
      </c>
      <c r="W17" s="109">
        <f t="shared" si="1"/>
        <v>61574.567859501985</v>
      </c>
      <c r="X17" s="109">
        <f t="shared" si="1"/>
        <v>18334.376231694096</v>
      </c>
      <c r="Y17" s="109">
        <f t="shared" si="1"/>
        <v>8800.5787676176715</v>
      </c>
      <c r="Z17" s="109">
        <f t="shared" si="1"/>
        <v>72229.155557831837</v>
      </c>
      <c r="AA17" s="109">
        <f t="shared" si="1"/>
        <v>29071.906585708559</v>
      </c>
      <c r="AB17" s="109">
        <f t="shared" si="1"/>
        <v>0</v>
      </c>
      <c r="AC17" s="109">
        <f t="shared" si="1"/>
        <v>35233.977864241955</v>
      </c>
      <c r="AD17" s="109">
        <f t="shared" si="1"/>
        <v>0</v>
      </c>
      <c r="AE17" s="96">
        <f>SUM(AE4:AE15)</f>
        <v>4609.1570213176128</v>
      </c>
      <c r="AF17" s="96">
        <f>SUM(AF4:AF15)</f>
        <v>2223.4719171364973</v>
      </c>
      <c r="AG17" s="96">
        <f>SUM(AG4:AG15)</f>
        <v>6832.6289384541096</v>
      </c>
      <c r="AH17" s="96">
        <f t="shared" si="1"/>
        <v>6497.8984651502642</v>
      </c>
      <c r="AI17" s="96">
        <f t="shared" si="1"/>
        <v>4334.641037321252</v>
      </c>
      <c r="AJ17" s="96">
        <f t="shared" si="1"/>
        <v>2093.0960528759465</v>
      </c>
      <c r="AK17" s="226">
        <f>IF(SUM(AI17:AJ17)&gt;0, AI17/(AI17+AJ17), "")</f>
        <v>0.67436501781193225</v>
      </c>
    </row>
    <row r="18" spans="1:37" ht="15.75" customHeight="1" thickTop="1" x14ac:dyDescent="0.25">
      <c r="A18" s="463" t="s">
        <v>87</v>
      </c>
      <c r="B18" s="89" t="s">
        <v>52</v>
      </c>
      <c r="C18" s="110">
        <f>JANUARY!B41</f>
        <v>0</v>
      </c>
      <c r="D18" s="110">
        <f>JANUARY!C41</f>
        <v>2167.2099426210698</v>
      </c>
      <c r="E18" s="110">
        <f>JANUARY!D41</f>
        <v>60507.776538580423</v>
      </c>
      <c r="F18" s="110">
        <f>JANUARY!E41</f>
        <v>1936.8005491358037</v>
      </c>
      <c r="G18" s="110">
        <f>JANUARY!F41</f>
        <v>0</v>
      </c>
      <c r="H18" s="110">
        <f>JANUARY!G41</f>
        <v>3432.8439575900616</v>
      </c>
      <c r="I18" s="110">
        <f>JANUARY!H41</f>
        <v>2868.0326310172459</v>
      </c>
      <c r="J18" s="110">
        <f>JANUARY!I41</f>
        <v>2869.012794708377</v>
      </c>
      <c r="K18" s="110">
        <f>JANUARY!J41</f>
        <v>12845.181920242956</v>
      </c>
      <c r="L18" s="111">
        <f>JANUARY!K41</f>
        <v>2222.3297402273415</v>
      </c>
      <c r="M18" s="110">
        <f>JANUARY!L41</f>
        <v>0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2292.4255142643697</v>
      </c>
      <c r="W18" s="110">
        <f>JANUARY!V41</f>
        <v>1284.7405381643187</v>
      </c>
      <c r="X18" s="110">
        <f>JANUARY!W41</f>
        <v>703.5207804837454</v>
      </c>
      <c r="Y18" s="110">
        <f>JANUARY!X41</f>
        <v>394.3009591428343</v>
      </c>
      <c r="Z18" s="110">
        <f>JANUARY!Y41</f>
        <v>9760.1682061473784</v>
      </c>
      <c r="AA18" s="110">
        <f>JANUARY!Z41</f>
        <v>5470.5439836124415</v>
      </c>
      <c r="AB18" s="110">
        <f>JANUARY!AA41</f>
        <v>0</v>
      </c>
      <c r="AC18" s="113">
        <f>JANUARY!AB41</f>
        <v>487.12204222401567</v>
      </c>
      <c r="AD18" s="113">
        <f>JANUARY!AC41</f>
        <v>0</v>
      </c>
      <c r="AE18" s="123"/>
      <c r="AF18" s="123"/>
      <c r="AG18" s="123"/>
      <c r="AH18" s="123"/>
      <c r="AI18" s="123"/>
      <c r="AJ18" s="123"/>
      <c r="AK18" s="124"/>
    </row>
    <row r="19" spans="1:37" ht="15.75" customHeight="1" x14ac:dyDescent="0.25">
      <c r="A19" s="464"/>
      <c r="B19" s="90" t="s">
        <v>53</v>
      </c>
      <c r="C19" s="114">
        <f>FEBRUARY!B41</f>
        <v>0</v>
      </c>
      <c r="D19" s="114">
        <f>FEBRUARY!C41</f>
        <v>1959.5073239936196</v>
      </c>
      <c r="E19" s="114">
        <f>FEBRUARY!D41</f>
        <v>52083.344116046959</v>
      </c>
      <c r="F19" s="114">
        <f>FEBRUARY!E41</f>
        <v>1745.1571453499016</v>
      </c>
      <c r="G19" s="114">
        <f>FEBRUARY!F41</f>
        <v>0</v>
      </c>
      <c r="H19" s="114">
        <f>FEBRUARY!G41</f>
        <v>2951.7756707167755</v>
      </c>
      <c r="I19" s="114">
        <f>FEBRUARY!H41</f>
        <v>2303.0133401708731</v>
      </c>
      <c r="J19" s="114">
        <f>FEBRUARY!I41</f>
        <v>2932.9938284130972</v>
      </c>
      <c r="K19" s="114">
        <f>FEBRUARY!J41</f>
        <v>12339.909909083266</v>
      </c>
      <c r="L19" s="115">
        <f>FEBRUARY!K41</f>
        <v>2133.6151713077952</v>
      </c>
      <c r="M19" s="114">
        <f>FEBRUARY!L41</f>
        <v>0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2050.0034426418547</v>
      </c>
      <c r="W19" s="114">
        <f>FEBRUARY!V41</f>
        <v>1130.513617430026</v>
      </c>
      <c r="X19" s="114">
        <f>FEBRUARY!W41</f>
        <v>658.61837819401364</v>
      </c>
      <c r="Y19" s="114">
        <f>FEBRUARY!X41</f>
        <v>363.09694690699462</v>
      </c>
      <c r="Z19" s="114">
        <f>FEBRUARY!Y41</f>
        <v>8139.1336881438965</v>
      </c>
      <c r="AA19" s="114">
        <f>FEBRUARY!Z41</f>
        <v>4487.0609263847982</v>
      </c>
      <c r="AB19" s="114">
        <f>FEBRUARY!AA41</f>
        <v>0</v>
      </c>
      <c r="AC19" s="117">
        <f>FEBRUARY!AB41</f>
        <v>468.48842949006439</v>
      </c>
      <c r="AD19" s="117">
        <f>FEBRUARY!AC41</f>
        <v>0</v>
      </c>
      <c r="AE19" s="125"/>
      <c r="AF19" s="125"/>
      <c r="AG19" s="125"/>
      <c r="AH19" s="125"/>
      <c r="AI19" s="125"/>
      <c r="AJ19" s="125"/>
      <c r="AK19" s="126"/>
    </row>
    <row r="20" spans="1:37" ht="15.75" customHeight="1" x14ac:dyDescent="0.25">
      <c r="A20" s="464"/>
      <c r="B20" s="90" t="s">
        <v>54</v>
      </c>
      <c r="C20" s="114">
        <f>MARCH!B41</f>
        <v>0</v>
      </c>
      <c r="D20" s="114">
        <f>MARCH!C41</f>
        <v>3009.1139181409744</v>
      </c>
      <c r="E20" s="114">
        <f>MARCH!D41</f>
        <v>76117.313152602204</v>
      </c>
      <c r="F20" s="114">
        <f>MARCH!E41</f>
        <v>2662.4645942145221</v>
      </c>
      <c r="G20" s="114">
        <f>MARCH!F41</f>
        <v>0</v>
      </c>
      <c r="H20" s="114">
        <f>MARCH!G41</f>
        <v>4454.562904148298</v>
      </c>
      <c r="I20" s="114">
        <f>MARCH!H41</f>
        <v>3433.1226159629141</v>
      </c>
      <c r="J20" s="114">
        <f>MARCH!I41</f>
        <v>3025.9945775140868</v>
      </c>
      <c r="K20" s="114">
        <f>MARCH!J41</f>
        <v>12672.649368817059</v>
      </c>
      <c r="L20" s="115">
        <f>MARCH!K41</f>
        <v>2196.6099142968183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2023.250359159309</v>
      </c>
      <c r="W20" s="114">
        <f>MARCH!V41</f>
        <v>1663.4746101791216</v>
      </c>
      <c r="X20" s="114">
        <f>MARCH!W41</f>
        <v>709.94940180384924</v>
      </c>
      <c r="Y20" s="114">
        <f>MARCH!X41</f>
        <v>585.34035682211618</v>
      </c>
      <c r="Z20" s="114">
        <f>MARCH!Y41</f>
        <v>7870.1301076388208</v>
      </c>
      <c r="AA20" s="114">
        <f>MARCH!Z41</f>
        <v>6473.2765996210774</v>
      </c>
      <c r="AB20" s="114">
        <f>MARCH!AA41</f>
        <v>0</v>
      </c>
      <c r="AC20" s="117">
        <f>MARCH!AB41</f>
        <v>549.88769149838095</v>
      </c>
      <c r="AD20" s="117">
        <f>MARCH!AC41</f>
        <v>0</v>
      </c>
      <c r="AE20" s="125"/>
      <c r="AF20" s="125"/>
      <c r="AG20" s="125"/>
      <c r="AH20" s="125"/>
      <c r="AI20" s="125"/>
      <c r="AJ20" s="125"/>
      <c r="AK20" s="126"/>
    </row>
    <row r="21" spans="1:37" ht="15.75" customHeight="1" x14ac:dyDescent="0.25">
      <c r="A21" s="464"/>
      <c r="B21" s="90" t="s">
        <v>55</v>
      </c>
      <c r="C21" s="114">
        <f>APRIL!B41</f>
        <v>0</v>
      </c>
      <c r="D21" s="114">
        <f>APRIL!C41</f>
        <v>3476.0783274980381</v>
      </c>
      <c r="E21" s="114">
        <f>APRIL!D41</f>
        <v>96300.171102174339</v>
      </c>
      <c r="F21" s="114">
        <f>APRIL!E41</f>
        <v>3013.0377666317163</v>
      </c>
      <c r="G21" s="114">
        <f>APRIL!F41</f>
        <v>0</v>
      </c>
      <c r="H21" s="114">
        <f>APRIL!G41</f>
        <v>4480.8161808995173</v>
      </c>
      <c r="I21" s="114">
        <f>APRIL!H41</f>
        <v>3968.9077800529667</v>
      </c>
      <c r="J21" s="114">
        <f>APRIL!I41</f>
        <v>3099.8184330051954</v>
      </c>
      <c r="K21" s="114">
        <f>APRIL!J41</f>
        <v>13305.252162175388</v>
      </c>
      <c r="L21" s="115">
        <f>APRIL!K41</f>
        <v>2293.341099924266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2052.5062501277043</v>
      </c>
      <c r="W21" s="114">
        <f>APRIL!V41</f>
        <v>2023.3360022927516</v>
      </c>
      <c r="X21" s="114">
        <f>APRIL!W41</f>
        <v>703.93734872050561</v>
      </c>
      <c r="Y21" s="114">
        <f>APRIL!X41</f>
        <v>692.56795636268942</v>
      </c>
      <c r="Z21" s="114">
        <f>APRIL!Y41</f>
        <v>8617.6304803654621</v>
      </c>
      <c r="AA21" s="114">
        <f>APRIL!Z41</f>
        <v>8476.611988566714</v>
      </c>
      <c r="AB21" s="114">
        <f>APRIL!AA41</f>
        <v>0</v>
      </c>
      <c r="AC21" s="117">
        <f>APRIL!AB41</f>
        <v>737.7741477509918</v>
      </c>
      <c r="AD21" s="117">
        <f>APRIL!AC41</f>
        <v>0</v>
      </c>
      <c r="AE21" s="125"/>
      <c r="AF21" s="125"/>
      <c r="AG21" s="125"/>
      <c r="AH21" s="125"/>
      <c r="AI21" s="125"/>
      <c r="AJ21" s="125"/>
      <c r="AK21" s="126"/>
    </row>
    <row r="22" spans="1:37" ht="15.75" customHeight="1" x14ac:dyDescent="0.25">
      <c r="A22" s="464"/>
      <c r="B22" s="90" t="s">
        <v>56</v>
      </c>
      <c r="C22" s="114">
        <f>MAY!B41</f>
        <v>0</v>
      </c>
      <c r="D22" s="114">
        <f>MAY!C41</f>
        <v>3762.2505077665455</v>
      </c>
      <c r="E22" s="114">
        <f>MAY!D41</f>
        <v>112861.893316122</v>
      </c>
      <c r="F22" s="114">
        <f>MAY!E41</f>
        <v>3206.6424080644952</v>
      </c>
      <c r="G22" s="114">
        <f>MAY!F41</f>
        <v>0</v>
      </c>
      <c r="H22" s="114">
        <f>MAY!G41</f>
        <v>6046.5380078375383</v>
      </c>
      <c r="I22" s="114">
        <f>MAY!H41</f>
        <v>4719.6160710539971</v>
      </c>
      <c r="J22" s="114">
        <f>MAY!I41</f>
        <v>5719.3281412274173</v>
      </c>
      <c r="K22" s="114">
        <f>MAY!J41</f>
        <v>25756.585795043975</v>
      </c>
      <c r="L22" s="115">
        <f>MAY!K41</f>
        <v>4457.0850359299629</v>
      </c>
      <c r="M22" s="114">
        <f>MAY!L41</f>
        <v>0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3517.7149938163611</v>
      </c>
      <c r="W22" s="114">
        <f>MAY!V41</f>
        <v>2062.6619354465793</v>
      </c>
      <c r="X22" s="114">
        <f>MAY!W41</f>
        <v>1335.2506733775888</v>
      </c>
      <c r="Y22" s="114">
        <f>MAY!X41</f>
        <v>777.91050194787351</v>
      </c>
      <c r="Z22" s="114">
        <f>MAY!Y41</f>
        <v>21609.391413284546</v>
      </c>
      <c r="AA22" s="114">
        <f>MAY!Z41</f>
        <v>12451.88387789966</v>
      </c>
      <c r="AB22" s="114">
        <f>MAY!AA41</f>
        <v>0</v>
      </c>
      <c r="AC22" s="117">
        <f>MAY!AB41</f>
        <v>1215.7767634507929</v>
      </c>
      <c r="AD22" s="117">
        <f>MAY!AC41</f>
        <v>0</v>
      </c>
      <c r="AE22" s="125"/>
      <c r="AF22" s="125"/>
      <c r="AG22" s="125"/>
      <c r="AH22" s="125"/>
      <c r="AI22" s="125"/>
      <c r="AJ22" s="125"/>
      <c r="AK22" s="126"/>
    </row>
    <row r="23" spans="1:37" ht="15.75" customHeight="1" x14ac:dyDescent="0.25">
      <c r="A23" s="464"/>
      <c r="B23" s="90" t="s">
        <v>57</v>
      </c>
      <c r="C23" s="114">
        <f>JUNE!B41</f>
        <v>0</v>
      </c>
      <c r="D23" s="114">
        <f>JUNE!C41</f>
        <v>3227.4290336471126</v>
      </c>
      <c r="E23" s="114">
        <f>JUNE!D41</f>
        <v>122094.87235170726</v>
      </c>
      <c r="F23" s="114">
        <f>JUNE!E41</f>
        <v>3983.0319959684666</v>
      </c>
      <c r="G23" s="114">
        <f>JUNE!F41</f>
        <v>0</v>
      </c>
      <c r="H23" s="114">
        <f>JUNE!G41</f>
        <v>6262.5700287808158</v>
      </c>
      <c r="I23" s="114">
        <f>JUNE!H41</f>
        <v>4520.9406752017212</v>
      </c>
      <c r="J23" s="114">
        <f>JUNE!I41</f>
        <v>6384.5753729477101</v>
      </c>
      <c r="K23" s="114">
        <f>JUNE!J41</f>
        <v>24105.315114717312</v>
      </c>
      <c r="L23" s="115">
        <f>JUNE!K41</f>
        <v>4153.9617074498847</v>
      </c>
      <c r="M23" s="114">
        <f>JUNE!L41</f>
        <v>0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4839.0936791614358</v>
      </c>
      <c r="W23" s="114">
        <f>JUNE!V41</f>
        <v>2389.8858594887247</v>
      </c>
      <c r="X23" s="114">
        <f>JUNE!W41</f>
        <v>1815.5454938229095</v>
      </c>
      <c r="Y23" s="114">
        <f>JUNE!X41</f>
        <v>900.83230920403753</v>
      </c>
      <c r="Z23" s="114">
        <f>JUNE!Y41</f>
        <v>28122.834953242829</v>
      </c>
      <c r="AA23" s="114">
        <f>JUNE!Z41</f>
        <v>13759.323897117007</v>
      </c>
      <c r="AB23" s="114">
        <f>JUNE!AA41</f>
        <v>0</v>
      </c>
      <c r="AC23" s="117">
        <f>JUNE!AB41</f>
        <v>1638.8726575549151</v>
      </c>
      <c r="AD23" s="117">
        <f>JUNE!AC41</f>
        <v>0</v>
      </c>
      <c r="AE23" s="125"/>
      <c r="AF23" s="125"/>
      <c r="AG23" s="125"/>
      <c r="AH23" s="125"/>
      <c r="AI23" s="125"/>
      <c r="AJ23" s="125"/>
      <c r="AK23" s="126"/>
    </row>
    <row r="24" spans="1:37" ht="15.75" customHeight="1" x14ac:dyDescent="0.25">
      <c r="A24" s="464"/>
      <c r="B24" s="90" t="s">
        <v>58</v>
      </c>
      <c r="C24" s="114">
        <f>JULY!B41</f>
        <v>0</v>
      </c>
      <c r="D24" s="114">
        <f>JULY!C41</f>
        <v>3245.9504065751889</v>
      </c>
      <c r="E24" s="114">
        <f>JULY!D41</f>
        <v>130463.07288777934</v>
      </c>
      <c r="F24" s="114">
        <f>JULY!E41</f>
        <v>4006.2497676452494</v>
      </c>
      <c r="G24" s="114">
        <f>JULY!F41</f>
        <v>0</v>
      </c>
      <c r="H24" s="114">
        <f>JULY!G41</f>
        <v>4751.783158071943</v>
      </c>
      <c r="I24" s="114">
        <f>JULY!H41</f>
        <v>4514.6112131057844</v>
      </c>
      <c r="J24" s="114">
        <f>JULY!I41</f>
        <v>5768.8654593693009</v>
      </c>
      <c r="K24" s="114">
        <f>JULY!J41</f>
        <v>25636.895613094119</v>
      </c>
      <c r="L24" s="115">
        <f>JULY!K41</f>
        <v>4420.8307999022072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5270.6354497838565</v>
      </c>
      <c r="W24" s="114">
        <f>JULY!V41</f>
        <v>2457.4871829062349</v>
      </c>
      <c r="X24" s="114">
        <f>JULY!W41</f>
        <v>2024.704241415076</v>
      </c>
      <c r="Y24" s="114">
        <f>JULY!X41</f>
        <v>942.27854244710636</v>
      </c>
      <c r="Z24" s="114">
        <f>JULY!Y41</f>
        <v>31274.634231820855</v>
      </c>
      <c r="AA24" s="114">
        <f>JULY!Z41</f>
        <v>14049.906158397414</v>
      </c>
      <c r="AB24" s="114">
        <f>JULY!AA41</f>
        <v>0</v>
      </c>
      <c r="AC24" s="117">
        <f>JULY!AB41</f>
        <v>1757.0189786072067</v>
      </c>
      <c r="AD24" s="117">
        <f>JULY!AC41</f>
        <v>0</v>
      </c>
      <c r="AE24" s="125"/>
      <c r="AF24" s="125"/>
      <c r="AG24" s="125"/>
      <c r="AH24" s="125"/>
      <c r="AI24" s="125"/>
      <c r="AJ24" s="125"/>
      <c r="AK24" s="126"/>
    </row>
    <row r="25" spans="1:37" ht="15.75" customHeight="1" x14ac:dyDescent="0.25">
      <c r="A25" s="464"/>
      <c r="B25" s="90" t="s">
        <v>59</v>
      </c>
      <c r="C25" s="114">
        <f>AUGUST!B41</f>
        <v>0</v>
      </c>
      <c r="D25" s="114">
        <f>AUGUST!C41</f>
        <v>3261.6900534933852</v>
      </c>
      <c r="E25" s="114">
        <f>AUGUST!D41</f>
        <v>134172.78374469123</v>
      </c>
      <c r="F25" s="114">
        <f>AUGUST!E41</f>
        <v>4029.3184099457608</v>
      </c>
      <c r="G25" s="114">
        <f>AUGUST!F41</f>
        <v>0</v>
      </c>
      <c r="H25" s="114">
        <f>AUGUST!G41</f>
        <v>4354.0207089537216</v>
      </c>
      <c r="I25" s="114">
        <f>AUGUST!H41</f>
        <v>4554.2936767573892</v>
      </c>
      <c r="J25" s="114">
        <f>AUGUST!I41</f>
        <v>5430.1871752733368</v>
      </c>
      <c r="K25" s="114">
        <f>AUGUST!J41</f>
        <v>20364.644316645841</v>
      </c>
      <c r="L25" s="115">
        <f>AUGUST!K41</f>
        <v>3504.5847494491145</v>
      </c>
      <c r="M25" s="114">
        <f>AUGUST!L41</f>
        <v>0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4128.4655380789072</v>
      </c>
      <c r="W25" s="114">
        <f>AUGUST!V41</f>
        <v>2361.9705013659418</v>
      </c>
      <c r="X25" s="114">
        <f>AUGUST!W41</f>
        <v>1671.125852623217</v>
      </c>
      <c r="Y25" s="114">
        <f>AUGUST!X41</f>
        <v>954.89991701167753</v>
      </c>
      <c r="Z25" s="114">
        <f>AUGUST!Y41</f>
        <v>25033.388767626358</v>
      </c>
      <c r="AA25" s="114">
        <f>AUGUST!Z41</f>
        <v>14040.304793868005</v>
      </c>
      <c r="AB25" s="114">
        <f>AUGUST!AA41</f>
        <v>0</v>
      </c>
      <c r="AC25" s="117">
        <f>AUGUST!AB41</f>
        <v>1279.9962840005051</v>
      </c>
      <c r="AD25" s="117">
        <f>AUGUST!AC41</f>
        <v>0</v>
      </c>
      <c r="AE25" s="125"/>
      <c r="AF25" s="125"/>
      <c r="AG25" s="125"/>
      <c r="AH25" s="125"/>
      <c r="AI25" s="125"/>
      <c r="AJ25" s="125"/>
      <c r="AK25" s="126"/>
    </row>
    <row r="26" spans="1:37" ht="15.75" customHeight="1" x14ac:dyDescent="0.25">
      <c r="A26" s="464"/>
      <c r="B26" s="90" t="s">
        <v>60</v>
      </c>
      <c r="C26" s="114">
        <f>SEPTEMBER!B41</f>
        <v>0</v>
      </c>
      <c r="D26" s="114">
        <f>SEPTEMBER!C41</f>
        <v>0</v>
      </c>
      <c r="E26" s="114">
        <f>SEPTEMBER!D41</f>
        <v>0</v>
      </c>
      <c r="F26" s="114">
        <f>SEPTEMBER!E41</f>
        <v>0</v>
      </c>
      <c r="G26" s="114">
        <f>SEPTEMBER!F41</f>
        <v>0</v>
      </c>
      <c r="H26" s="114">
        <f>SEPTEMBER!G41</f>
        <v>0</v>
      </c>
      <c r="I26" s="114">
        <f>SEPTEMBER!H41</f>
        <v>0</v>
      </c>
      <c r="J26" s="114">
        <f>SEPTEMBER!I41</f>
        <v>8029.0456580766313</v>
      </c>
      <c r="K26" s="114">
        <f>SEPTEMBER!J41</f>
        <v>22972.146254060906</v>
      </c>
      <c r="L26" s="115">
        <f>SEPTEMBER!K41</f>
        <v>3923.5415662183714</v>
      </c>
      <c r="M26" s="114">
        <f>SEPTEMBER!L41</f>
        <v>0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5059.5452513885675</v>
      </c>
      <c r="W26" s="114">
        <f>SEPTEMBER!V41</f>
        <v>0</v>
      </c>
      <c r="X26" s="114">
        <f>SEPTEMBER!W41</f>
        <v>1974.7723522781032</v>
      </c>
      <c r="Y26" s="114">
        <f>SEPTEMBER!X41</f>
        <v>0</v>
      </c>
      <c r="Z26" s="114">
        <f>SEPTEMBER!Y41</f>
        <v>55161.122151313495</v>
      </c>
      <c r="AA26" s="114">
        <f>SEPTEMBER!Z41</f>
        <v>0</v>
      </c>
      <c r="AB26" s="114">
        <f>SEPTEMBER!AA41</f>
        <v>0</v>
      </c>
      <c r="AC26" s="117">
        <f>SEPTEMBER!AB41</f>
        <v>843.73835761098201</v>
      </c>
      <c r="AD26" s="117">
        <f>SEPTEMBER!AC41</f>
        <v>0</v>
      </c>
      <c r="AE26" s="125"/>
      <c r="AF26" s="125"/>
      <c r="AG26" s="125"/>
      <c r="AH26" s="125"/>
      <c r="AI26" s="125"/>
      <c r="AJ26" s="125"/>
      <c r="AK26" s="126"/>
    </row>
    <row r="27" spans="1:37" ht="15.75" customHeight="1" x14ac:dyDescent="0.25">
      <c r="A27" s="464"/>
      <c r="B27" s="90" t="s">
        <v>61</v>
      </c>
      <c r="C27" s="114">
        <f>OCTOBER!B41</f>
        <v>0</v>
      </c>
      <c r="D27" s="114">
        <f>OCTOBER!C41</f>
        <v>0</v>
      </c>
      <c r="E27" s="114">
        <f>OCTOBER!D41</f>
        <v>0</v>
      </c>
      <c r="F27" s="114">
        <f>OCTOBER!E41</f>
        <v>0</v>
      </c>
      <c r="G27" s="114">
        <f>OCTOBER!F41</f>
        <v>0</v>
      </c>
      <c r="H27" s="114">
        <f>OCTOBER!G41</f>
        <v>0</v>
      </c>
      <c r="I27" s="114">
        <f>OCTOBER!H41</f>
        <v>0</v>
      </c>
      <c r="J27" s="114">
        <f>OCTOBER!I41</f>
        <v>2507.3955457913007</v>
      </c>
      <c r="K27" s="114">
        <f>OCTOBER!J41</f>
        <v>10834.268314309054</v>
      </c>
      <c r="L27" s="115">
        <f>OCTOBER!K41</f>
        <v>1865.9847254527331</v>
      </c>
      <c r="M27" s="114">
        <f>OCTOBER!L41</f>
        <v>0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1408.9633224876554</v>
      </c>
      <c r="W27" s="114">
        <f>OCTOBER!V41</f>
        <v>0</v>
      </c>
      <c r="X27" s="114">
        <f>OCTOBER!W41</f>
        <v>542.94413097102529</v>
      </c>
      <c r="Y27" s="114">
        <f>OCTOBER!X41</f>
        <v>0</v>
      </c>
      <c r="Z27" s="114">
        <f>OCTOBER!Y41</f>
        <v>8801.3845195650629</v>
      </c>
      <c r="AA27" s="114">
        <f>OCTOBER!Z41</f>
        <v>0.83013239499206537</v>
      </c>
      <c r="AB27" s="114">
        <f>OCTOBER!AA41</f>
        <v>0</v>
      </c>
      <c r="AC27" s="117">
        <f>OCTOBER!AB41</f>
        <v>249.90900148056932</v>
      </c>
      <c r="AD27" s="117">
        <f>OCTOBER!AC41</f>
        <v>0</v>
      </c>
      <c r="AE27" s="125"/>
      <c r="AF27" s="125"/>
      <c r="AG27" s="125"/>
      <c r="AH27" s="125"/>
      <c r="AI27" s="125"/>
      <c r="AJ27" s="125"/>
      <c r="AK27" s="126"/>
    </row>
    <row r="28" spans="1:37" ht="15.75" customHeight="1" x14ac:dyDescent="0.25">
      <c r="A28" s="464"/>
      <c r="B28" s="90" t="s">
        <v>62</v>
      </c>
      <c r="C28" s="114">
        <f>NOVEMBER!B41</f>
        <v>0</v>
      </c>
      <c r="D28" s="114">
        <f>NOVEMBER!C41</f>
        <v>2296.4078202855944</v>
      </c>
      <c r="E28" s="114">
        <f>NOVEMBER!D41</f>
        <v>66309.83996362178</v>
      </c>
      <c r="F28" s="114">
        <f>NOVEMBER!E41</f>
        <v>2055.8133744872002</v>
      </c>
      <c r="G28" s="114">
        <f>NOVEMBER!F41</f>
        <v>0</v>
      </c>
      <c r="H28" s="114">
        <f>NOVEMBER!G41</f>
        <v>2446.6367096641661</v>
      </c>
      <c r="I28" s="114">
        <f>NOVEMBER!H41</f>
        <v>2209.1073473383608</v>
      </c>
      <c r="J28" s="114">
        <f>NOVEMBER!I41</f>
        <v>3054.5343040078687</v>
      </c>
      <c r="K28" s="114">
        <f>NOVEMBER!J41</f>
        <v>13347.139635665901</v>
      </c>
      <c r="L28" s="115">
        <f>NOVEMBER!K41</f>
        <v>2292.7464576099237</v>
      </c>
      <c r="M28" s="114">
        <f>NOVEMBER!L41</f>
        <v>0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2031.19302102448</v>
      </c>
      <c r="W28" s="114">
        <f>NOVEMBER!V41</f>
        <v>1061.4040533493865</v>
      </c>
      <c r="X28" s="114">
        <f>NOVEMBER!W41</f>
        <v>764.1872564357908</v>
      </c>
      <c r="Y28" s="114">
        <f>NOVEMBER!X41</f>
        <v>395.0712715588881</v>
      </c>
      <c r="Z28" s="114">
        <f>NOVEMBER!Y41</f>
        <v>8188.923783719918</v>
      </c>
      <c r="AA28" s="114">
        <f>NOVEMBER!Z41</f>
        <v>3424.1483639338303</v>
      </c>
      <c r="AB28" s="114">
        <f>NOVEMBER!AA41</f>
        <v>0</v>
      </c>
      <c r="AC28" s="117">
        <f>NOVEMBER!AB41</f>
        <v>500.62564624695801</v>
      </c>
      <c r="AD28" s="117">
        <f>NOVEMBER!AC41</f>
        <v>0</v>
      </c>
      <c r="AE28" s="125"/>
      <c r="AF28" s="125"/>
      <c r="AG28" s="125"/>
      <c r="AH28" s="125"/>
      <c r="AI28" s="125"/>
      <c r="AJ28" s="125"/>
      <c r="AK28" s="126"/>
    </row>
    <row r="29" spans="1:37" ht="15.75" customHeight="1" x14ac:dyDescent="0.25">
      <c r="A29" s="465"/>
      <c r="B29" s="92" t="s">
        <v>63</v>
      </c>
      <c r="C29" s="118">
        <f>DECEMBER!B41</f>
        <v>0</v>
      </c>
      <c r="D29" s="118">
        <f>DECEMBER!C41</f>
        <v>2960.8486177453292</v>
      </c>
      <c r="E29" s="118">
        <f>DECEMBER!D41</f>
        <v>81811.213415526494</v>
      </c>
      <c r="F29" s="118">
        <f>DECEMBER!E41</f>
        <v>2640.8697029046325</v>
      </c>
      <c r="G29" s="118">
        <f>DECEMBER!F41</f>
        <v>0</v>
      </c>
      <c r="H29" s="118">
        <f>DECEMBER!G41</f>
        <v>2943.2967191271855</v>
      </c>
      <c r="I29" s="118">
        <f>DECEMBER!H41</f>
        <v>2951.3046758536466</v>
      </c>
      <c r="J29" s="118">
        <f>DECEMBER!I41</f>
        <v>2914.850797874702</v>
      </c>
      <c r="K29" s="118">
        <f>DECEMBER!J41</f>
        <v>13411.601062251661</v>
      </c>
      <c r="L29" s="119">
        <f>DECEMBER!K41</f>
        <v>2303.8001035443162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1904.2533221810263</v>
      </c>
      <c r="W29" s="118">
        <f>DECEMBER!V41</f>
        <v>1407.3264741238957</v>
      </c>
      <c r="X29" s="118">
        <f>DECEMBER!W41</f>
        <v>726.94867888173997</v>
      </c>
      <c r="Y29" s="118">
        <f>DECEMBER!X41</f>
        <v>536.88156503212099</v>
      </c>
      <c r="Z29" s="118">
        <f>DECEMBER!Y41</f>
        <v>5665.3703322671699</v>
      </c>
      <c r="AA29" s="118">
        <f>DECEMBER!Z41</f>
        <v>4173.9422871519319</v>
      </c>
      <c r="AB29" s="118">
        <f>DECEMBER!AA41</f>
        <v>0</v>
      </c>
      <c r="AC29" s="121">
        <f>DECEMBER!AB41</f>
        <v>541.06961208676853</v>
      </c>
      <c r="AD29" s="121">
        <f>DECEMBER!AC41</f>
        <v>0</v>
      </c>
      <c r="AE29" s="125"/>
      <c r="AF29" s="125"/>
      <c r="AG29" s="127"/>
      <c r="AH29" s="127"/>
      <c r="AI29" s="127"/>
      <c r="AJ29" s="127"/>
      <c r="AK29" s="128"/>
    </row>
    <row r="30" spans="1:37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2">SUM(D18:D29)</f>
        <v>29366.485951766859</v>
      </c>
      <c r="E30" s="122">
        <f t="shared" si="2"/>
        <v>932722.28058885201</v>
      </c>
      <c r="F30" s="122">
        <f t="shared" si="2"/>
        <v>29279.385714347743</v>
      </c>
      <c r="G30" s="122">
        <f t="shared" si="2"/>
        <v>0</v>
      </c>
      <c r="H30" s="122">
        <f t="shared" si="2"/>
        <v>42124.844045790029</v>
      </c>
      <c r="I30" s="122">
        <f t="shared" si="2"/>
        <v>36042.950026514896</v>
      </c>
      <c r="J30" s="122">
        <f t="shared" si="2"/>
        <v>51736.602088209023</v>
      </c>
      <c r="K30" s="122">
        <f t="shared" si="2"/>
        <v>207591.58946610746</v>
      </c>
      <c r="L30" s="122">
        <f t="shared" si="2"/>
        <v>35768.431071312734</v>
      </c>
      <c r="M30" s="122">
        <f t="shared" si="2"/>
        <v>0</v>
      </c>
      <c r="N30" s="122">
        <f t="shared" si="2"/>
        <v>0</v>
      </c>
      <c r="O30" s="122">
        <f t="shared" si="2"/>
        <v>0</v>
      </c>
      <c r="P30" s="122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122">
        <f t="shared" si="2"/>
        <v>0</v>
      </c>
      <c r="U30" s="122">
        <f t="shared" si="2"/>
        <v>0</v>
      </c>
      <c r="V30" s="122">
        <f t="shared" si="2"/>
        <v>36578.050144115536</v>
      </c>
      <c r="W30" s="122">
        <f t="shared" si="2"/>
        <v>17842.800774746982</v>
      </c>
      <c r="X30" s="122">
        <f t="shared" si="2"/>
        <v>13631.504589007565</v>
      </c>
      <c r="Y30" s="122">
        <f t="shared" si="2"/>
        <v>6543.1803264363389</v>
      </c>
      <c r="Z30" s="122">
        <f t="shared" si="2"/>
        <v>218244.1126351358</v>
      </c>
      <c r="AA30" s="122">
        <f t="shared" si="2"/>
        <v>86807.83300894787</v>
      </c>
      <c r="AB30" s="122">
        <f t="shared" si="2"/>
        <v>0</v>
      </c>
      <c r="AC30" s="122">
        <f t="shared" si="2"/>
        <v>10270.27961200215</v>
      </c>
      <c r="AD30" s="122">
        <f t="shared" si="2"/>
        <v>0</v>
      </c>
      <c r="AE30" s="129"/>
      <c r="AF30" s="129"/>
      <c r="AG30" s="129"/>
      <c r="AH30" s="129" t="str">
        <f>IF(SUM(AH18:AH29)&gt;0, AVERAGE(AH18:AH29), "")</f>
        <v/>
      </c>
      <c r="AI30" s="129" t="str">
        <f>IF(SUM(AI18:AI29)&gt;0, AVERAGE(AI18:AI29), "")</f>
        <v/>
      </c>
      <c r="AJ30" s="129" t="str">
        <f>IF(SUM(AJ18:AJ29)&gt;0, AVERAGE(AJ18:AJ29), "")</f>
        <v/>
      </c>
      <c r="AK30" s="227" t="str">
        <f>IF(SUM(AK18:AK29)&gt;0, AVERAGE(AK18:AK29), "")</f>
        <v/>
      </c>
    </row>
    <row r="31" spans="1:37" ht="16.5" customHeight="1" thickTop="1" x14ac:dyDescent="0.25"/>
    <row r="32" spans="1:37" ht="15.75" thickBot="1" x14ac:dyDescent="0.3">
      <c r="C32" s="336" t="s">
        <v>201</v>
      </c>
      <c r="D32" s="336" t="s">
        <v>202</v>
      </c>
      <c r="E32" s="336" t="s">
        <v>203</v>
      </c>
    </row>
    <row r="33" spans="1:5" ht="15.75" customHeight="1" thickTop="1" x14ac:dyDescent="0.25">
      <c r="A33" s="460" t="s">
        <v>204</v>
      </c>
      <c r="B33" s="89" t="s">
        <v>52</v>
      </c>
      <c r="C33" s="331">
        <f>IF(ISNUMBER(JANUARY!B52)=TRUE,JANUARY!B52,"")</f>
        <v>0.8131125529362524</v>
      </c>
      <c r="D33" s="331">
        <f>IF(ISNUMBER(JANUARY!E52)=TRUE,JANUARY!E52,"")</f>
        <v>1.3598484682484893</v>
      </c>
      <c r="E33" s="331">
        <f>IF(ISNUMBER(JANUARY!H52)=TRUE,JANUARY!H52,"")</f>
        <v>0.52225360968822687</v>
      </c>
    </row>
    <row r="34" spans="1:5" ht="15.75" customHeight="1" x14ac:dyDescent="0.25">
      <c r="A34" s="461"/>
      <c r="B34" s="90" t="s">
        <v>53</v>
      </c>
      <c r="C34" s="332">
        <f>IF(ISNUMBER(FEBRUARY!$B$52)=TRUE,FEBRUARY!$B$52,"")</f>
        <v>1.2633406345159017</v>
      </c>
      <c r="D34" s="332">
        <f>IF(ISNUMBER(FEBRUARY!$E$52)=TRUE,FEBRUARY!$E$52,"")</f>
        <v>2.0067818049131874</v>
      </c>
      <c r="E34" s="332">
        <f>IF(ISNUMBER(FEBRUARY!$H$52)=TRUE,FEBRUARY!$H$52,"")</f>
        <v>0.87315926671842281</v>
      </c>
    </row>
    <row r="35" spans="1:5" x14ac:dyDescent="0.25">
      <c r="A35" s="461"/>
      <c r="B35" s="90" t="s">
        <v>54</v>
      </c>
      <c r="C35" s="332">
        <f>IF(ISNUMBER(MARCH!$B$52)=TRUE,MARCH!$B$52,"")</f>
        <v>0.95466934737718312</v>
      </c>
      <c r="D35" s="332">
        <f>IF(ISNUMBER(MARCH!$E$52)=TRUE,MARCH!$E$52,"")</f>
        <v>1.2736589649308998</v>
      </c>
      <c r="E35" s="332">
        <f>IF(ISNUMBER(MARCH!$H$52)=TRUE,MARCH!$H$52,"")</f>
        <v>0.69941855499983629</v>
      </c>
    </row>
    <row r="36" spans="1:5" x14ac:dyDescent="0.25">
      <c r="A36" s="461"/>
      <c r="B36" s="90" t="s">
        <v>55</v>
      </c>
      <c r="C36" s="332">
        <f>IF(ISNUMBER(APRIL!$B$52)=TRUE,APRIL!$B$52,"")</f>
        <v>0.83929695532735682</v>
      </c>
      <c r="D36" s="332">
        <f>IF(ISNUMBER(APRIL!$E$52)=TRUE,APRIL!$E$52,"")</f>
        <v>1.087056989319853</v>
      </c>
      <c r="E36" s="332">
        <f>IF(ISNUMBER(APRIL!$H$52)=TRUE,APRIL!$H$52,"")</f>
        <v>0.60436779401436802</v>
      </c>
    </row>
    <row r="37" spans="1:5" x14ac:dyDescent="0.25">
      <c r="A37" s="461"/>
      <c r="B37" s="90" t="s">
        <v>56</v>
      </c>
      <c r="C37" s="332">
        <f>IF(ISNUMBER(MAY!$B$52)=TRUE,MAY!$B$52,"")</f>
        <v>1.0220233787672941</v>
      </c>
      <c r="D37" s="332">
        <f>IF(ISNUMBER(MAY!$E$52)=TRUE,MAY!$E$52,"")</f>
        <v>1.5732120135118364</v>
      </c>
      <c r="E37" s="332">
        <f>IF(ISNUMBER(MAY!$H$52)=TRUE,MAY!$H$52,"")</f>
        <v>0.70905220689909376</v>
      </c>
    </row>
    <row r="38" spans="1:5" x14ac:dyDescent="0.25">
      <c r="A38" s="461"/>
      <c r="B38" s="90" t="s">
        <v>57</v>
      </c>
      <c r="C38" s="332">
        <f>IF(ISNUMBER(JUNE!$B$52)=TRUE,JUNE!$B$52,"")</f>
        <v>0.4863548601694947</v>
      </c>
      <c r="D38" s="332">
        <f>IF(ISNUMBER(JUNE!$E$52)=TRUE,JUNE!$E$52,"")</f>
        <v>0.90344057530662381</v>
      </c>
      <c r="E38" s="332">
        <f>IF(ISNUMBER(JUNE!$H$52)=TRUE,JUNE!$H$52,"")</f>
        <v>0.2818689402881871</v>
      </c>
    </row>
    <row r="39" spans="1:5" x14ac:dyDescent="0.25">
      <c r="A39" s="461"/>
      <c r="B39" s="90" t="s">
        <v>58</v>
      </c>
      <c r="C39" s="332">
        <f>IF(ISNUMBER(JULY!$B$52)=TRUE,JULY!$B$52,"")</f>
        <v>0.51232661454220141</v>
      </c>
      <c r="D39" s="332">
        <f>IF(ISNUMBER(JULY!$E$52)=TRUE,JULY!$E$52,"")</f>
        <v>0.95793593144137712</v>
      </c>
      <c r="E39" s="332">
        <f>IF(ISNUMBER(JULY!$H$52)=TRUE,JULY!$H$52,"")</f>
        <v>0.30391841336262099</v>
      </c>
    </row>
    <row r="40" spans="1:5" x14ac:dyDescent="0.25">
      <c r="A40" s="461"/>
      <c r="B40" s="90" t="s">
        <v>59</v>
      </c>
      <c r="C40" s="332">
        <f>IF(ISNUMBER(AUGUST!$B$52)=TRUE,AUGUST!$B$52,"")</f>
        <v>0.64807792820769694</v>
      </c>
      <c r="D40" s="332">
        <f>IF(ISNUMBER(AUGUST!$E$52)=TRUE,AUGUST!$E$52,"")</f>
        <v>1.0806743378419121</v>
      </c>
      <c r="E40" s="332">
        <f>IF(ISNUMBER(AUGUST!$H$52)=TRUE,AUGUST!$H$52,"")</f>
        <v>0.40262418927771604</v>
      </c>
    </row>
    <row r="41" spans="1:5" x14ac:dyDescent="0.25">
      <c r="A41" s="461"/>
      <c r="B41" s="90" t="s">
        <v>60</v>
      </c>
      <c r="C41" s="332">
        <f>IF(ISNUMBER(SEPTEMBER!$B$52)=TRUE,SEPTEMBER!$B$52,"")</f>
        <v>0.50551796222923917</v>
      </c>
      <c r="D41" s="332">
        <f>IF(ISNUMBER(SEPTEMBER!$E$52)=TRUE,SEPTEMBER!$E$52,"")</f>
        <v>2.6841713678599395</v>
      </c>
      <c r="E41" s="332">
        <f>IF(ISNUMBER(SEPTEMBER!$H$52)=TRUE,SEPTEMBER!$H$52,"")</f>
        <v>0.35460954616897805</v>
      </c>
    </row>
    <row r="42" spans="1:5" x14ac:dyDescent="0.25">
      <c r="A42" s="461"/>
      <c r="B42" s="90" t="s">
        <v>61</v>
      </c>
      <c r="C42" s="332">
        <f>IF(ISNUMBER(OCTOBER!$B$52)=TRUE,OCTOBER!$B$52,"")</f>
        <v>1.4322038171790064</v>
      </c>
      <c r="D42" s="332" t="str">
        <f>IF(ISNUMBER(OCTOBER!$E$52)=TRUE,OCTOBER!$E$52,"")</f>
        <v/>
      </c>
      <c r="E42" s="332">
        <f>IF(ISNUMBER(OCTOBER!$H$52)=TRUE,OCTOBER!$H$52,"")</f>
        <v>0.79916096505789114</v>
      </c>
    </row>
    <row r="43" spans="1:5" x14ac:dyDescent="0.25">
      <c r="A43" s="461"/>
      <c r="B43" s="90" t="s">
        <v>62</v>
      </c>
      <c r="C43" s="332">
        <f>IF(ISNUMBER(NOVEMBER!$B$52)=TRUE,NOVEMBER!$B$52,"")</f>
        <v>0.77612819464231575</v>
      </c>
      <c r="D43" s="332">
        <f>IF(ISNUMBER(NOVEMBER!$E$52)=TRUE,NOVEMBER!$E$52,"")</f>
        <v>1.2412078431134905</v>
      </c>
      <c r="E43" s="332">
        <f>IF(ISNUMBER(NOVEMBER!$H$52)=TRUE,NOVEMBER!$H$52,"")</f>
        <v>0.51324187745127292</v>
      </c>
    </row>
    <row r="44" spans="1:5" ht="15.75" thickBot="1" x14ac:dyDescent="0.3">
      <c r="A44" s="461"/>
      <c r="B44" s="92" t="s">
        <v>63</v>
      </c>
      <c r="C44" s="333">
        <f>IF(ISNUMBER(DECEMBER!$B$52)=TRUE,DECEMBER!$B$52,"")</f>
        <v>1.1044053040208834</v>
      </c>
      <c r="D44" s="333">
        <f>IF(ISNUMBER(DECEMBER!$E$52)=TRUE,DECEMBER!$E$52,"")</f>
        <v>1.5218938744999138</v>
      </c>
      <c r="E44" s="333">
        <f>IF(ISNUMBER(DECEMBER!$H$52)=TRUE,DECEMBER!$H$52,"")</f>
        <v>0.79859814176029598</v>
      </c>
    </row>
    <row r="45" spans="1:5" ht="15.75" thickBot="1" x14ac:dyDescent="0.3">
      <c r="A45" s="462"/>
      <c r="B45" s="335" t="s">
        <v>205</v>
      </c>
      <c r="C45" s="334">
        <f>AVERAGE(C33:C44)</f>
        <v>0.86312146249290222</v>
      </c>
      <c r="D45" s="334">
        <f>AVERAGE(D33:D44)</f>
        <v>1.4263529246352293</v>
      </c>
      <c r="E45" s="334">
        <f>AVERAGE(E33:E44)</f>
        <v>0.57185612547390918</v>
      </c>
    </row>
    <row r="47" spans="1:5" ht="15.75" thickBot="1" x14ac:dyDescent="0.3">
      <c r="C47" s="336" t="s">
        <v>201</v>
      </c>
      <c r="D47" s="336" t="s">
        <v>202</v>
      </c>
      <c r="E47" s="336" t="s">
        <v>203</v>
      </c>
    </row>
    <row r="48" spans="1:5" ht="15" customHeight="1" thickTop="1" x14ac:dyDescent="0.25">
      <c r="A48" s="456" t="s">
        <v>208</v>
      </c>
      <c r="B48" s="340" t="s">
        <v>217</v>
      </c>
      <c r="C48" s="341">
        <f>(JANUARY!B44+FEBRUARY!B44+MARCH!B44+APRIL!B44+MAY!B44+JUNE!B44+JULY!B44+AUGUST!B44+SEPTEMBER!B44+OCTOBER!B44+NOVEMBER!B44+DECEMBER!B44)/$AG$17</f>
        <v>256.78993339864616</v>
      </c>
      <c r="D48" s="342">
        <f>(JANUARY!E44+FEBRUARY!E44+MARCH!E44+APRIL!E44+MAY!E44+JUNE!E44+JULY!E44+AUGUST!E44+SEPTEMBER!E44+OCTOBER!E44+NOVEMBER!E44+DECEMBER!E44)/$AF$17</f>
        <v>531.0297608606669</v>
      </c>
      <c r="E48" s="343">
        <f>(JANUARY!H44+FEBRUARY!H44+MARCH!H44+APRIL!H44+MAY!H44+JUNE!H44+JULY!H44+AUGUST!H44+SEPTEMBER!H44+OCTOBER!H44+NOVEMBER!H44+DECEMBER!H44)/$AE$17</f>
        <v>122.26753989665269</v>
      </c>
    </row>
    <row r="49" spans="1:5" ht="15" customHeight="1" x14ac:dyDescent="0.25">
      <c r="A49" s="457"/>
      <c r="B49" s="344" t="s">
        <v>209</v>
      </c>
      <c r="C49" s="332">
        <f>(JANUARY!B47+FEBRUARY!B47+MARCH!B47+APRIL!B47+MAY!B47+JUNE!B47+JULY!B47+AUGUST!B47+SEPTEMBER!B47+OCTOBER!B47+NOVEMBER!B47+DECEMBER!B47)/$AG$17</f>
        <v>279.74398247249962</v>
      </c>
      <c r="D49" s="332">
        <f>(JANUARY!E47+FEBRUARY!E47+MARCH!E47+APRIL!E47+MAY!E47+JUNE!E47+JULY!E47+AUGUST!E47+SEPTEMBER!E47+OCTOBER!E47+NOVEMBER!E47+DECEMBER!E47)/$AF$17</f>
        <v>429.82032182839157</v>
      </c>
      <c r="E49" s="345">
        <f>(JANUARY!H47+FEBRUARY!H47+MARCH!H47+APRIL!H47+MAY!H47+JUNE!H47+JULY!H47+AUGUST!H47+SEPTEMBER!H47+OCTOBER!H47+NOVEMBER!H47+DECEMBER!H47)/$AE$17</f>
        <v>207.34668195938298</v>
      </c>
    </row>
    <row r="50" spans="1:5" ht="15" customHeight="1" x14ac:dyDescent="0.25">
      <c r="A50" s="457"/>
      <c r="B50" s="344" t="s">
        <v>210</v>
      </c>
      <c r="C50" s="346">
        <f>C49+C51</f>
        <v>453.49019504943965</v>
      </c>
      <c r="D50" s="346">
        <f>D49+D51</f>
        <v>696.77746008828581</v>
      </c>
      <c r="E50" s="347">
        <f>E49+E51</f>
        <v>336.12764933686594</v>
      </c>
    </row>
    <row r="51" spans="1:5" ht="15" customHeight="1" x14ac:dyDescent="0.25">
      <c r="A51" s="457"/>
      <c r="B51" s="344" t="s">
        <v>211</v>
      </c>
      <c r="C51" s="332">
        <f>(JANUARY!B48+FEBRUARY!B48+MARCH!B48+APRIL!B48+MAY!B48+JUNE!B48+JULY!B48+AUGUST!B48+SEPTEMBER!B48+OCTOBER!B48+NOVEMBER!B48+DECEMBER!B48)/$AG$17</f>
        <v>173.74621257694005</v>
      </c>
      <c r="D51" s="332">
        <f>(JANUARY!E48+FEBRUARY!E48+MARCH!E48+APRIL!E48+MAY!E48+JUNE!E48+JULY!E48+AUGUST!E48+SEPTEMBER!E48+OCTOBER!E48+NOVEMBER!E48+DECEMBER!E48)/$AF$17</f>
        <v>266.95713825989424</v>
      </c>
      <c r="E51" s="345">
        <f>(JANUARY!H48+FEBRUARY!H48+MARCH!H48+APRIL!H48+MAY!H48+JUNE!H48+JULY!H48+AUGUST!H48+SEPTEMBER!H48+OCTOBER!H48+NOVEMBER!H48+DECEMBER!H48)/$AE$17</f>
        <v>128.78096737748294</v>
      </c>
    </row>
    <row r="52" spans="1:5" ht="15" customHeight="1" x14ac:dyDescent="0.25">
      <c r="A52" s="457"/>
      <c r="B52" s="344" t="s">
        <v>212</v>
      </c>
      <c r="C52" s="332">
        <f>(JANUARY!B46+FEBRUARY!B46+MARCH!B46+APRIL!B46+MAY!B46+JUNE!B46+JULY!B46+AUGUST!B46+SEPTEMBER!B46+OCTOBER!B46+NOVEMBER!B46+DECEMBER!B46)/$AG$17</f>
        <v>14.650375558466649</v>
      </c>
      <c r="D52" s="332">
        <f>(JANUARY!E46+FEBRUARY!E46+MARCH!E46+APRIL!E46+MAY!E46+JUNE!E46+JULY!E46+AUGUST!E46+SEPTEMBER!E46+OCTOBER!E46+NOVEMBER!E46+DECEMBER!E46)/$AF$17</f>
        <v>18.800014432070785</v>
      </c>
      <c r="E52" s="345">
        <f>(JANUARY!H46+FEBRUARY!H46+MARCH!H46+APRIL!H46+MAY!H46+JUNE!H46+JULY!H46+AUGUST!H46+SEPTEMBER!H46+OCTOBER!H46+NOVEMBER!H46+DECEMBER!H46)/$AE$17</f>
        <v>12.648576648374592</v>
      </c>
    </row>
    <row r="53" spans="1:5" ht="15" customHeight="1" x14ac:dyDescent="0.25">
      <c r="A53" s="457"/>
      <c r="B53" s="348" t="s">
        <v>213</v>
      </c>
      <c r="C53" s="333">
        <f>(JANUARY!B45+FEBRUARY!B45+MARCH!B45+APRIL!B45+MAY!B45+JUNE!B45+JULY!B45+AUGUST!B45+SEPTEMBER!B45+OCTOBER!B45+NOVEMBER!B45+DECEMBER!B45)/$AG$17</f>
        <v>48.306626182193497</v>
      </c>
      <c r="D53" s="333">
        <f>(JANUARY!E45+FEBRUARY!E45+MARCH!E45+APRIL!E45+MAY!E45+JUNE!E45+JULY!E45+AUGUST!E45+SEPTEMBER!E45+OCTOBER!E45+NOVEMBER!E45+DECEMBER!E45)/$AF$17</f>
        <v>81.358572299548754</v>
      </c>
      <c r="E53" s="349">
        <f>(JANUARY!H45+FEBRUARY!H45+MARCH!H45+APRIL!H45+MAY!H45+JUNE!H45+JULY!H45+AUGUST!H45+SEPTEMBER!H45+OCTOBER!H45+NOVEMBER!H45+DECEMBER!H45)/$AE$17</f>
        <v>32.362262894340127</v>
      </c>
    </row>
    <row r="54" spans="1:5" ht="15" customHeight="1" x14ac:dyDescent="0.25">
      <c r="A54" s="458"/>
      <c r="B54" s="348" t="s">
        <v>218</v>
      </c>
      <c r="C54" s="357">
        <f>(SUM(JANUARY!AJ39:AS39)+SUM(FEBRUARY!AJ39:AS39)+SUM(MARCH!AJ39:AS39)+SUM(APRIL!AJ39:AS39)+SUM(MAY!AJ39:AS39)+SUM(JUNE!AJ39:AS39)+SUM(JULY!AJ39:AS39)+SUM(AUGUST!AJ39:AS39)+SUM(SEPTEMBER!AJ39:AS39)+SUM(OCTOBER!AJ39:AS39)+SUM(NOVEMBER!AJ39:AS39)+SUM(DECEMBER!AJ39:AS39))</f>
        <v>4984481.5138400719</v>
      </c>
      <c r="D54" s="357">
        <f>(JANUARY!E45/JANUARY!AJ40+FEBRUARY!E45/FEBRUARY!AJ40+MARCH!E45/MARCH!AJ40+APRIL!E45/APRIL!AJ40+MAY!E45/MAY!AJ40+JUNE!E45/JUNE!AJ40+JULY!E45/JULY!AJ40+AUGUST!E45/AUGUST!AJ40+SEPTEMBER!E45/SEPTEMBER!AJ40+OCTOBER!E45/OCTOBER!AJ40+NOVEMBER!E45/NOVEMBER!AJ40+DECEMBER!E45/DECEMBER!AJ40)</f>
        <v>2741004.2002447746</v>
      </c>
      <c r="E54" s="358">
        <f>C54-D54</f>
        <v>2243477.3135952973</v>
      </c>
    </row>
    <row r="55" spans="1:5" ht="15" customHeight="1" thickBot="1" x14ac:dyDescent="0.3">
      <c r="A55" s="458"/>
      <c r="B55" s="348" t="s">
        <v>219</v>
      </c>
      <c r="C55" s="359">
        <f>C54/C58</f>
        <v>729.51151873437118</v>
      </c>
      <c r="D55" s="359">
        <f>D54/D58</f>
        <v>1232.7586326229757</v>
      </c>
      <c r="E55" s="360">
        <f>E54/E58</f>
        <v>486.74352017496636</v>
      </c>
    </row>
    <row r="56" spans="1:5" ht="15" customHeight="1" thickTop="1" x14ac:dyDescent="0.25">
      <c r="A56" s="458"/>
      <c r="B56" s="350" t="s">
        <v>214</v>
      </c>
      <c r="C56" s="351">
        <f>C48+C49+C51+C52+C53</f>
        <v>773.23713018874605</v>
      </c>
      <c r="D56" s="351">
        <f>D48+D49+D51+D52+D53</f>
        <v>1327.9658076805724</v>
      </c>
      <c r="E56" s="352">
        <f>E48+E49+E51+E52+E53</f>
        <v>503.40602877623337</v>
      </c>
    </row>
    <row r="57" spans="1:5" ht="15" customHeight="1" x14ac:dyDescent="0.25">
      <c r="A57" s="458"/>
      <c r="B57" s="353" t="s">
        <v>215</v>
      </c>
      <c r="C57" s="354">
        <f>C56/1000</f>
        <v>0.77323713018874607</v>
      </c>
      <c r="D57" s="354">
        <f>D56/1000</f>
        <v>1.3279658076805725</v>
      </c>
      <c r="E57" s="355">
        <f>E56/1000</f>
        <v>0.50340602877623342</v>
      </c>
    </row>
    <row r="58" spans="1:5" ht="15" customHeight="1" thickBot="1" x14ac:dyDescent="0.3">
      <c r="A58" s="459"/>
      <c r="B58" s="356" t="s">
        <v>216</v>
      </c>
      <c r="C58" s="407">
        <f>AG17</f>
        <v>6832.6289384541096</v>
      </c>
      <c r="D58" s="407">
        <f>AF17</f>
        <v>2223.4719171364973</v>
      </c>
      <c r="E58" s="408">
        <f>AE17</f>
        <v>4609.1570213176128</v>
      </c>
    </row>
    <row r="59" spans="1:5" ht="15.75" thickTop="1" x14ac:dyDescent="0.25"/>
  </sheetData>
  <sheetProtection algorithmName="SHA-512" hashValue="qk8rcNzT/PteiXAyuNu4ww67iPSoVASr8ruraCgILuABVWIGF2V3SY+JLG9CDxZi659WiUa1MPBqsk0mrCzZkA==" saltValue="xgKrVOjrlyIbd3zSpx6xKw==" spinCount="100000" sheet="1" objects="1" scenarios="1" selectLockedCells="1" selectUnlockedCells="1"/>
  <mergeCells count="15">
    <mergeCell ref="A48:A58"/>
    <mergeCell ref="A33:A45"/>
    <mergeCell ref="A4:A15"/>
    <mergeCell ref="A18:A29"/>
    <mergeCell ref="A1:B1"/>
    <mergeCell ref="A16:B16"/>
    <mergeCell ref="C1:AK1"/>
    <mergeCell ref="A2:B3"/>
    <mergeCell ref="AH2:AK2"/>
    <mergeCell ref="C2:I2"/>
    <mergeCell ref="J2:O2"/>
    <mergeCell ref="P2:U2"/>
    <mergeCell ref="V2:AB2"/>
    <mergeCell ref="AC2:AD2"/>
    <mergeCell ref="AE2:AG2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38" t="s">
        <v>220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361950</xdr:colOff>
                <xdr:row>42</xdr:row>
                <xdr:rowOff>114300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104775</xdr:colOff>
                <xdr:row>0</xdr:row>
                <xdr:rowOff>0</xdr:rowOff>
              </from>
              <to>
                <xdr:col>20</xdr:col>
                <xdr:colOff>466725</xdr:colOff>
                <xdr:row>31</xdr:row>
                <xdr:rowOff>85725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45"/>
  <sheetViews>
    <sheetView topLeftCell="F10" zoomScaleNormal="100" workbookViewId="0">
      <selection activeCell="W32" sqref="W32"/>
    </sheetView>
  </sheetViews>
  <sheetFormatPr defaultRowHeight="15" x14ac:dyDescent="0.25"/>
  <cols>
    <col min="1" max="2" width="12.7109375" customWidth="1"/>
    <col min="3" max="35" width="9.140625" customWidth="1"/>
  </cols>
  <sheetData>
    <row r="1" spans="1:35" ht="21.75" thickBot="1" x14ac:dyDescent="0.3">
      <c r="A1" s="540">
        <v>2018</v>
      </c>
      <c r="B1" s="572"/>
      <c r="C1" s="573" t="s">
        <v>90</v>
      </c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4"/>
      <c r="O1" s="574"/>
      <c r="P1" s="574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75"/>
    </row>
    <row r="2" spans="1:35" ht="28.5" customHeight="1" thickBot="1" x14ac:dyDescent="0.3">
      <c r="A2" s="576"/>
      <c r="B2" s="435"/>
      <c r="C2" s="579" t="s">
        <v>66</v>
      </c>
      <c r="D2" s="440"/>
      <c r="E2" s="440"/>
      <c r="F2" s="440"/>
      <c r="G2" s="440"/>
      <c r="H2" s="440"/>
      <c r="I2" s="440"/>
      <c r="J2" s="440"/>
      <c r="K2" s="440"/>
      <c r="L2" s="440"/>
      <c r="M2" s="580"/>
      <c r="N2" s="580"/>
      <c r="O2" s="580"/>
      <c r="P2" s="581"/>
      <c r="Q2" s="582" t="s">
        <v>71</v>
      </c>
      <c r="R2" s="583"/>
      <c r="S2" s="583"/>
      <c r="T2" s="583"/>
      <c r="U2" s="583"/>
      <c r="V2" s="583"/>
      <c r="W2" s="583"/>
      <c r="X2" s="583"/>
      <c r="Y2" s="583"/>
      <c r="Z2" s="583"/>
      <c r="AA2" s="583"/>
      <c r="AB2" s="583"/>
      <c r="AC2" s="584"/>
      <c r="AD2" s="585" t="s">
        <v>83</v>
      </c>
      <c r="AE2" s="586"/>
      <c r="AF2" s="589" t="s">
        <v>232</v>
      </c>
      <c r="AG2" s="590"/>
      <c r="AH2" s="590"/>
      <c r="AI2" s="591"/>
    </row>
    <row r="3" spans="1:35" ht="28.5" customHeight="1" thickBot="1" x14ac:dyDescent="0.3">
      <c r="A3" s="576"/>
      <c r="B3" s="435"/>
      <c r="C3" s="579" t="s">
        <v>91</v>
      </c>
      <c r="D3" s="440"/>
      <c r="E3" s="440"/>
      <c r="F3" s="440"/>
      <c r="G3" s="440"/>
      <c r="H3" s="440"/>
      <c r="I3" s="441"/>
      <c r="J3" s="445" t="s">
        <v>92</v>
      </c>
      <c r="K3" s="446"/>
      <c r="L3" s="447"/>
      <c r="M3" s="549" t="s">
        <v>93</v>
      </c>
      <c r="N3" s="550"/>
      <c r="O3" s="550"/>
      <c r="P3" s="551"/>
      <c r="Q3" s="548" t="s">
        <v>94</v>
      </c>
      <c r="R3" s="443"/>
      <c r="S3" s="443"/>
      <c r="T3" s="443"/>
      <c r="U3" s="443"/>
      <c r="V3" s="444"/>
      <c r="W3" s="445" t="s">
        <v>95</v>
      </c>
      <c r="X3" s="446"/>
      <c r="Y3" s="447"/>
      <c r="Z3" s="549" t="s">
        <v>96</v>
      </c>
      <c r="AA3" s="550"/>
      <c r="AB3" s="550"/>
      <c r="AC3" s="551"/>
      <c r="AD3" s="587"/>
      <c r="AE3" s="588"/>
      <c r="AF3" s="592"/>
      <c r="AG3" s="593"/>
      <c r="AH3" s="593"/>
      <c r="AI3" s="594"/>
    </row>
    <row r="4" spans="1:35" ht="131.25" thickBot="1" x14ac:dyDescent="0.3">
      <c r="A4" s="577"/>
      <c r="B4" s="578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552" t="s">
        <v>99</v>
      </c>
      <c r="B5" s="553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523"/>
      <c r="B6" s="554"/>
      <c r="C6" s="144">
        <f>'Yearly Summary '!$C$17</f>
        <v>0</v>
      </c>
      <c r="D6" s="142">
        <f>'Yearly Summary '!$D$17</f>
        <v>23182.922620280609</v>
      </c>
      <c r="E6" s="142">
        <f>'Yearly Summary '!$E$17</f>
        <v>313042.03185435128</v>
      </c>
      <c r="F6" s="142">
        <f>'Yearly Summary '!$F$17</f>
        <v>7338.4567549174062</v>
      </c>
      <c r="G6" s="142">
        <f>'Yearly Summary '!$G$17</f>
        <v>0</v>
      </c>
      <c r="H6" s="142">
        <f>'Yearly Summary '!$H$17</f>
        <v>762233.67494417832</v>
      </c>
      <c r="I6" s="142">
        <f>'Yearly Summary '!$I$17</f>
        <v>10153.765981474528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61574.567859501985</v>
      </c>
      <c r="N6" s="142">
        <f>'Yearly Summary '!$Y$17</f>
        <v>8800.5787676176715</v>
      </c>
      <c r="O6" s="142">
        <f>'Yearly Summary '!$AA$17</f>
        <v>29071.906585708559</v>
      </c>
      <c r="P6" s="143">
        <f>('Yearly Summary '!$AB$17)*(1-AI6)</f>
        <v>0</v>
      </c>
      <c r="Q6" s="141">
        <f>'Yearly Summary '!$J$17</f>
        <v>62994.776425961645</v>
      </c>
      <c r="R6" s="142">
        <f>'Yearly Summary '!$K$17</f>
        <v>163880.00127486396</v>
      </c>
      <c r="S6" s="142">
        <f>'Yearly Summary '!$L$17</f>
        <v>8964.8426086838062</v>
      </c>
      <c r="T6" s="142">
        <f>'Yearly Summary '!$M$17</f>
        <v>3.4723619914054833</v>
      </c>
      <c r="U6" s="142">
        <f>'Yearly Summary '!N17</f>
        <v>0</v>
      </c>
      <c r="V6" s="142">
        <f>'Yearly Summary '!O17</f>
        <v>0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125735.51600446089</v>
      </c>
      <c r="AA6" s="142">
        <f>'Yearly Summary '!$X$17</f>
        <v>18334.376231694096</v>
      </c>
      <c r="AB6" s="142">
        <f>'Yearly Summary '!$Z$17</f>
        <v>72229.155557831837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'!$AH$17</f>
        <v>6497.8984651502642</v>
      </c>
      <c r="AG6" s="147">
        <f>'Yearly Summary '!$AI$17</f>
        <v>4334.641037321252</v>
      </c>
      <c r="AH6" s="147">
        <f>'Yearly Summary '!$AJ$17</f>
        <v>2093.0960528759465</v>
      </c>
      <c r="AI6" s="148">
        <f>'Yearly Summary '!$AK$17</f>
        <v>0.67436501781193225</v>
      </c>
    </row>
    <row r="7" spans="1:35" ht="15" customHeight="1" x14ac:dyDescent="0.25">
      <c r="A7" s="525" t="s">
        <v>103</v>
      </c>
      <c r="B7" s="555"/>
      <c r="C7" s="152">
        <f>(C6*(1.029*8.34)*0.03)/2000</f>
        <v>0</v>
      </c>
      <c r="D7" s="150">
        <f>(D6*(1.4*8.34)*0.38)/2000</f>
        <v>51.429922857735306</v>
      </c>
      <c r="E7" s="150">
        <f>(E6*(1.54*8.34)*0.5)/2000</f>
        <v>1005.1466600811366</v>
      </c>
      <c r="F7" s="150">
        <f>(F6*(1.04*8.34)*1)/2000</f>
        <v>31.825419254725809</v>
      </c>
      <c r="G7" s="150">
        <f>(G6*(1.055*8.34)*0.005)/2000</f>
        <v>0</v>
      </c>
      <c r="H7" s="150">
        <f>H6/2000</f>
        <v>381.11683747208917</v>
      </c>
      <c r="I7" s="150">
        <f>(I6*(1.135*8.34)*0.35)/2000</f>
        <v>16.820043345706953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30.787283929750991</v>
      </c>
      <c r="N7" s="150">
        <f>(N6*(0.895*8.34)*0.29)/2000</f>
        <v>9.5250732137936431</v>
      </c>
      <c r="O7" s="150">
        <f>(O6*(1.54*8.34)*0.5)/2000</f>
        <v>93.346984856051606</v>
      </c>
      <c r="P7" s="151">
        <f>(P6*(1.135*8.34)*0.35)/2000</f>
        <v>0</v>
      </c>
      <c r="Q7" s="149">
        <f>(Q6*(1.029*8.34)*0.03)/2000</f>
        <v>8.1091852802835458</v>
      </c>
      <c r="R7" s="150">
        <f>(R6*(1.4*8.34)*0.38)/2000</f>
        <v>363.55795002820918</v>
      </c>
      <c r="S7" s="150">
        <f>(S6*(1.04*8.34)*1)/2000</f>
        <v>38.878729425339934</v>
      </c>
      <c r="T7" s="150">
        <f>(T6*(1.135*8.34)*0.35)/2000</f>
        <v>5.7520804905279027E-3</v>
      </c>
      <c r="U7" s="150">
        <f>(U6*(1.055*8.34)*0.005)/2000</f>
        <v>0</v>
      </c>
      <c r="V7" s="150">
        <f>(V6*(1.055*8.34)*0.005)/2000</f>
        <v>0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62.867758002230445</v>
      </c>
      <c r="AA7" s="150">
        <f>(AA6*(0.895*8.34)*0.29)/2000</f>
        <v>19.843726253403961</v>
      </c>
      <c r="AB7" s="150">
        <f>(AB6*(1.54*8.34)*0.5)/2000</f>
        <v>231.92059558064227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559" t="s">
        <v>233</v>
      </c>
      <c r="AG7" s="560"/>
      <c r="AH7" s="560"/>
      <c r="AI7" s="561"/>
    </row>
    <row r="8" spans="1:35" x14ac:dyDescent="0.25">
      <c r="A8" s="568" t="s">
        <v>104</v>
      </c>
      <c r="B8" s="569"/>
      <c r="C8" s="156">
        <f>C7/$AH$6</f>
        <v>0</v>
      </c>
      <c r="D8" s="154">
        <f>D7/$AH$6</f>
        <v>2.4571219647120252E-2</v>
      </c>
      <c r="E8" s="154">
        <f t="shared" ref="E8:P8" si="0">E7/$AH$6</f>
        <v>0.48022003514843453</v>
      </c>
      <c r="F8" s="154">
        <f t="shared" si="0"/>
        <v>1.520494924778879E-2</v>
      </c>
      <c r="G8" s="154">
        <f t="shared" si="0"/>
        <v>0</v>
      </c>
      <c r="H8" s="154">
        <f t="shared" si="0"/>
        <v>0.18208282269149986</v>
      </c>
      <c r="I8" s="154">
        <f t="shared" si="0"/>
        <v>8.0359634344520179E-3</v>
      </c>
      <c r="J8" s="154">
        <f t="shared" si="0"/>
        <v>0</v>
      </c>
      <c r="K8" s="154">
        <f t="shared" si="0"/>
        <v>0</v>
      </c>
      <c r="L8" s="154">
        <f t="shared" si="0"/>
        <v>0</v>
      </c>
      <c r="M8" s="154">
        <f t="shared" si="0"/>
        <v>1.4708968509805742E-2</v>
      </c>
      <c r="N8" s="154">
        <f t="shared" si="0"/>
        <v>4.5507100358371253E-3</v>
      </c>
      <c r="O8" s="154">
        <f t="shared" si="0"/>
        <v>4.4597563847006159E-2</v>
      </c>
      <c r="P8" s="155">
        <f t="shared" si="0"/>
        <v>0</v>
      </c>
      <c r="Q8" s="153">
        <f>Q7/$AG$6</f>
        <v>1.870785887565654E-3</v>
      </c>
      <c r="R8" s="154">
        <f t="shared" ref="R8:AD8" si="1">R7/$AG$6</f>
        <v>8.3872677552299213E-2</v>
      </c>
      <c r="S8" s="154">
        <f t="shared" si="1"/>
        <v>8.9693077444231578E-3</v>
      </c>
      <c r="T8" s="154">
        <f t="shared" si="1"/>
        <v>1.3270027300997935E-6</v>
      </c>
      <c r="U8" s="154">
        <f t="shared" si="1"/>
        <v>0</v>
      </c>
      <c r="V8" s="154">
        <f t="shared" si="1"/>
        <v>0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1.4503567299100238E-2</v>
      </c>
      <c r="AA8" s="154">
        <f t="shared" si="1"/>
        <v>4.5779399222564245E-3</v>
      </c>
      <c r="AB8" s="154">
        <f t="shared" si="1"/>
        <v>5.3503991122634223E-2</v>
      </c>
      <c r="AC8" s="155">
        <f t="shared" si="1"/>
        <v>0</v>
      </c>
      <c r="AD8" s="156">
        <f t="shared" si="1"/>
        <v>5.4080425208809105E-4</v>
      </c>
      <c r="AE8" s="154"/>
      <c r="AF8" s="562"/>
      <c r="AG8" s="563"/>
      <c r="AH8" s="563"/>
      <c r="AI8" s="564"/>
    </row>
    <row r="9" spans="1:35" ht="15.75" thickBot="1" x14ac:dyDescent="0.3">
      <c r="A9" s="570" t="s">
        <v>105</v>
      </c>
      <c r="B9" s="571"/>
      <c r="C9" s="219">
        <f t="shared" ref="C9:P9" si="2">C7/$AH$19</f>
        <v>0</v>
      </c>
      <c r="D9" s="157">
        <f t="shared" si="2"/>
        <v>9.874059354312989E-2</v>
      </c>
      <c r="E9" s="157">
        <f t="shared" si="2"/>
        <v>1.9297866358626778</v>
      </c>
      <c r="F9" s="157">
        <f t="shared" si="2"/>
        <v>6.1101798570906078E-2</v>
      </c>
      <c r="G9" s="157">
        <f t="shared" si="2"/>
        <v>0</v>
      </c>
      <c r="H9" s="157">
        <f t="shared" si="2"/>
        <v>0.73170832562535459</v>
      </c>
      <c r="I9" s="157">
        <f t="shared" si="2"/>
        <v>3.2292894313110589E-2</v>
      </c>
      <c r="J9" s="157">
        <f t="shared" si="2"/>
        <v>0</v>
      </c>
      <c r="K9" s="157">
        <f t="shared" si="2"/>
        <v>0</v>
      </c>
      <c r="L9" s="157">
        <f t="shared" si="2"/>
        <v>0</v>
      </c>
      <c r="M9" s="157">
        <f t="shared" si="2"/>
        <v>5.9108676814732065E-2</v>
      </c>
      <c r="N9" s="157">
        <f t="shared" si="2"/>
        <v>1.8287240781468424E-2</v>
      </c>
      <c r="O9" s="157">
        <f t="shared" si="2"/>
        <v>0.17921739287154678</v>
      </c>
      <c r="P9" s="158">
        <f t="shared" si="2"/>
        <v>0</v>
      </c>
      <c r="Q9" s="159">
        <f t="shared" ref="Q9:AD9" si="3">Q7/$AF$19</f>
        <v>2.6620970426282659E-3</v>
      </c>
      <c r="R9" s="160">
        <f t="shared" si="3"/>
        <v>0.11934941799236452</v>
      </c>
      <c r="S9" s="160">
        <f t="shared" si="3"/>
        <v>1.2763174973444808E-2</v>
      </c>
      <c r="T9" s="160">
        <f t="shared" si="3"/>
        <v>1.8883027003988562E-6</v>
      </c>
      <c r="U9" s="160">
        <f t="shared" si="3"/>
        <v>0</v>
      </c>
      <c r="V9" s="160">
        <f t="shared" si="3"/>
        <v>0</v>
      </c>
      <c r="W9" s="160">
        <f t="shared" si="3"/>
        <v>0</v>
      </c>
      <c r="X9" s="160">
        <f t="shared" si="3"/>
        <v>0</v>
      </c>
      <c r="Y9" s="160">
        <f t="shared" si="3"/>
        <v>0</v>
      </c>
      <c r="Z9" s="160">
        <f t="shared" si="3"/>
        <v>2.0638333799243916E-2</v>
      </c>
      <c r="AA9" s="160">
        <f t="shared" si="3"/>
        <v>6.514331976401019E-3</v>
      </c>
      <c r="AB9" s="160">
        <f t="shared" si="3"/>
        <v>7.6135284899819924E-2</v>
      </c>
      <c r="AC9" s="161">
        <f t="shared" si="3"/>
        <v>0</v>
      </c>
      <c r="AD9" s="162">
        <f t="shared" si="3"/>
        <v>7.6955540967751392E-4</v>
      </c>
      <c r="AE9" s="160"/>
      <c r="AF9" s="565"/>
      <c r="AG9" s="566"/>
      <c r="AH9" s="566"/>
      <c r="AI9" s="567"/>
    </row>
    <row r="10" spans="1:35" ht="15.75" thickBot="1" x14ac:dyDescent="0.3">
      <c r="A10" s="527" t="s">
        <v>106</v>
      </c>
      <c r="B10" s="539"/>
      <c r="C10" s="166">
        <f>'Yearly Summary '!$C$30</f>
        <v>0</v>
      </c>
      <c r="D10" s="164">
        <f>'Yearly Summary '!D30</f>
        <v>29366.485951766859</v>
      </c>
      <c r="E10" s="164">
        <f>'Yearly Summary '!E30</f>
        <v>932722.28058885201</v>
      </c>
      <c r="F10" s="164">
        <f>'Yearly Summary '!F30</f>
        <v>29279.385714347743</v>
      </c>
      <c r="G10" s="164">
        <f>'Yearly Summary '!G30</f>
        <v>0</v>
      </c>
      <c r="H10" s="164">
        <f>'Yearly Summary '!H30</f>
        <v>42124.844045790029</v>
      </c>
      <c r="I10" s="164">
        <f>'Yearly Summary '!I30</f>
        <v>36042.950026514896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17842.800774746982</v>
      </c>
      <c r="N10" s="164">
        <f>'Yearly Summary '!$Y$30</f>
        <v>6543.1803264363389</v>
      </c>
      <c r="O10" s="164">
        <f>'Yearly Summary '!$AA$30</f>
        <v>86807.83300894787</v>
      </c>
      <c r="P10" s="165">
        <f>('Yearly Summary '!$AB$30)*(1-AI6)</f>
        <v>0</v>
      </c>
      <c r="Q10" s="163">
        <f>'Yearly Summary '!J30</f>
        <v>51736.602088209023</v>
      </c>
      <c r="R10" s="164">
        <f>'Yearly Summary '!K30</f>
        <v>207591.58946610746</v>
      </c>
      <c r="S10" s="164">
        <f>'Yearly Summary '!L30</f>
        <v>35768.431071312734</v>
      </c>
      <c r="T10" s="164">
        <f>'Yearly Summary '!M30</f>
        <v>0</v>
      </c>
      <c r="U10" s="164">
        <f>'Yearly Summary '!N30</f>
        <v>0</v>
      </c>
      <c r="V10" s="164">
        <f>'Yearly Summary '!O30</f>
        <v>0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36578.050144115536</v>
      </c>
      <c r="AA10" s="164">
        <f>'Yearly Summary '!$X$30</f>
        <v>13631.504589007565</v>
      </c>
      <c r="AB10" s="164">
        <f>'Yearly Summary '!$Z$30</f>
        <v>218244.1126351358</v>
      </c>
      <c r="AC10" s="165">
        <f>('Yearly Summary '!$AB$30)*AI6</f>
        <v>0</v>
      </c>
      <c r="AD10" s="166">
        <f>'Yearly Summary '!$AC$30</f>
        <v>10270.27961200215</v>
      </c>
      <c r="AE10" s="164">
        <f>'Yearly Summary '!$AD$30</f>
        <v>0</v>
      </c>
      <c r="AF10" s="167" t="s">
        <v>107</v>
      </c>
      <c r="AG10" s="168">
        <f>'[1]Yearly Summary '!$Q$29</f>
        <v>42.185885911956788</v>
      </c>
      <c r="AH10" s="167" t="s">
        <v>108</v>
      </c>
      <c r="AI10" s="169">
        <f>'[1]Yearly Summary '!$R$29</f>
        <v>89.382557874206555</v>
      </c>
    </row>
    <row r="11" spans="1:35" ht="15.75" thickBot="1" x14ac:dyDescent="0.3">
      <c r="A11" s="216"/>
      <c r="B11" s="217"/>
      <c r="C11" s="544" t="s">
        <v>117</v>
      </c>
      <c r="D11" s="545"/>
      <c r="E11" s="545"/>
      <c r="F11" s="220">
        <f>SUM(C10:P10)</f>
        <v>1180729.7801536408</v>
      </c>
      <c r="G11" s="546" t="s">
        <v>118</v>
      </c>
      <c r="H11" s="545"/>
      <c r="I11" s="545"/>
      <c r="J11" s="221">
        <f>SUM(Q10:AE10)</f>
        <v>573820.68821169157</v>
      </c>
      <c r="K11" s="546" t="s">
        <v>119</v>
      </c>
      <c r="L11" s="547"/>
      <c r="M11" s="547">
        <f>SUM(C10:AE10)</f>
        <v>1754550.4683653323</v>
      </c>
      <c r="N11" s="556"/>
      <c r="O11" s="557" t="s">
        <v>120</v>
      </c>
      <c r="P11" s="558"/>
      <c r="Q11" s="558"/>
      <c r="R11" s="222">
        <f>($AG$6+$AH$6)/($AG$19+$AI$19)</f>
        <v>1.8710002660967138</v>
      </c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184"/>
      <c r="AF11" s="470" t="s">
        <v>110</v>
      </c>
      <c r="AG11" s="470" t="s">
        <v>111</v>
      </c>
      <c r="AH11" s="470" t="s">
        <v>112</v>
      </c>
      <c r="AI11" s="470" t="s">
        <v>113</v>
      </c>
    </row>
    <row r="12" spans="1:35" ht="21.75" customHeight="1" thickBot="1" x14ac:dyDescent="0.3">
      <c r="A12" s="540">
        <f>A1+1</f>
        <v>2019</v>
      </c>
      <c r="B12" s="541"/>
      <c r="C12" s="542" t="s">
        <v>109</v>
      </c>
      <c r="D12" s="542"/>
      <c r="E12" s="542"/>
      <c r="F12" s="542"/>
      <c r="G12" s="542"/>
      <c r="H12" s="542"/>
      <c r="I12" s="542"/>
      <c r="J12" s="542"/>
      <c r="K12" s="542"/>
      <c r="L12" s="542"/>
      <c r="M12" s="542"/>
      <c r="N12" s="542"/>
      <c r="O12" s="542"/>
      <c r="P12" s="542"/>
      <c r="Q12" s="542"/>
      <c r="R12" s="542"/>
      <c r="S12" s="543"/>
      <c r="T12" s="543"/>
      <c r="U12" s="543"/>
      <c r="V12" s="543"/>
      <c r="W12" s="543"/>
      <c r="X12" s="543"/>
      <c r="Y12" s="543"/>
      <c r="Z12" s="543"/>
      <c r="AA12" s="543"/>
      <c r="AB12" s="543"/>
      <c r="AC12" s="543"/>
      <c r="AD12" s="543"/>
      <c r="AE12" s="543"/>
      <c r="AF12" s="471"/>
      <c r="AG12" s="471"/>
      <c r="AH12" s="471"/>
      <c r="AI12" s="471"/>
    </row>
    <row r="13" spans="1:35" ht="15" customHeight="1" x14ac:dyDescent="0.25">
      <c r="A13" s="523" t="s">
        <v>114</v>
      </c>
      <c r="B13" s="524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471"/>
      <c r="AG13" s="471"/>
      <c r="AH13" s="471"/>
      <c r="AI13" s="471"/>
    </row>
    <row r="14" spans="1:35" x14ac:dyDescent="0.25">
      <c r="A14" s="523"/>
      <c r="B14" s="524"/>
      <c r="C14" s="141">
        <f t="shared" ref="C14:P14" si="4">(C6/$AH$6)*$AB$18</f>
        <v>0</v>
      </c>
      <c r="D14" s="142">
        <f t="shared" si="4"/>
        <v>13570.962483284295</v>
      </c>
      <c r="E14" s="142">
        <f t="shared" si="4"/>
        <v>183250.47879295671</v>
      </c>
      <c r="F14" s="142">
        <f t="shared" si="4"/>
        <v>4295.831157158168</v>
      </c>
      <c r="G14" s="142">
        <f t="shared" si="4"/>
        <v>0</v>
      </c>
      <c r="H14" s="142">
        <f t="shared" si="4"/>
        <v>446201.05823560531</v>
      </c>
      <c r="I14" s="142">
        <f t="shared" si="4"/>
        <v>5943.8742670906277</v>
      </c>
      <c r="J14" s="142">
        <f t="shared" si="4"/>
        <v>0</v>
      </c>
      <c r="K14" s="142">
        <f t="shared" si="4"/>
        <v>0</v>
      </c>
      <c r="L14" s="142">
        <f t="shared" si="4"/>
        <v>0</v>
      </c>
      <c r="M14" s="142">
        <f t="shared" si="4"/>
        <v>36044.900983050851</v>
      </c>
      <c r="N14" s="142">
        <f t="shared" si="4"/>
        <v>5151.737174934422</v>
      </c>
      <c r="O14" s="142">
        <f t="shared" si="4"/>
        <v>17018.292303104834</v>
      </c>
      <c r="P14" s="143">
        <f t="shared" si="4"/>
        <v>0</v>
      </c>
      <c r="Q14" s="141">
        <f t="shared" ref="Q14:AE14" si="5">(Q6/$AG$6)*$T$18</f>
        <v>54873.655308911046</v>
      </c>
      <c r="R14" s="142">
        <f t="shared" si="5"/>
        <v>142753.02195174841</v>
      </c>
      <c r="S14" s="142">
        <f t="shared" si="5"/>
        <v>7809.1186463012264</v>
      </c>
      <c r="T14" s="142">
        <f t="shared" si="5"/>
        <v>3.02471420385297</v>
      </c>
      <c r="U14" s="142">
        <f t="shared" si="5"/>
        <v>0</v>
      </c>
      <c r="V14" s="142">
        <f t="shared" si="5"/>
        <v>0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109526.02353349062</v>
      </c>
      <c r="AA14" s="142">
        <f t="shared" si="5"/>
        <v>15970.756604308643</v>
      </c>
      <c r="AB14" s="142">
        <f t="shared" si="5"/>
        <v>62917.562537784281</v>
      </c>
      <c r="AC14" s="143">
        <f t="shared" si="5"/>
        <v>0</v>
      </c>
      <c r="AD14" s="144">
        <f t="shared" si="5"/>
        <v>4083.9703791278062</v>
      </c>
      <c r="AE14" s="173">
        <f t="shared" si="5"/>
        <v>0</v>
      </c>
      <c r="AF14" s="471"/>
      <c r="AG14" s="471"/>
      <c r="AH14" s="471"/>
      <c r="AI14" s="471"/>
    </row>
    <row r="15" spans="1:35" x14ac:dyDescent="0.25">
      <c r="A15" s="525" t="s">
        <v>115</v>
      </c>
      <c r="B15" s="526"/>
      <c r="C15" s="149">
        <f t="shared" ref="C15:P15" si="6">C8*$AB$18</f>
        <v>0</v>
      </c>
      <c r="D15" s="150">
        <f t="shared" si="6"/>
        <v>30.106366011417204</v>
      </c>
      <c r="E15" s="150">
        <f t="shared" si="6"/>
        <v>588.39896235630476</v>
      </c>
      <c r="F15" s="150">
        <f t="shared" si="6"/>
        <v>18.630160562363546</v>
      </c>
      <c r="G15" s="150">
        <f t="shared" si="6"/>
        <v>0</v>
      </c>
      <c r="H15" s="150">
        <f t="shared" si="6"/>
        <v>223.10052911780267</v>
      </c>
      <c r="I15" s="150">
        <f t="shared" si="6"/>
        <v>9.846220899349305</v>
      </c>
      <c r="J15" s="150">
        <f t="shared" si="6"/>
        <v>0</v>
      </c>
      <c r="K15" s="150">
        <f t="shared" si="6"/>
        <v>0</v>
      </c>
      <c r="L15" s="150">
        <f t="shared" si="6"/>
        <v>0</v>
      </c>
      <c r="M15" s="150">
        <f t="shared" si="6"/>
        <v>18.022450491525426</v>
      </c>
      <c r="N15" s="150">
        <f t="shared" si="6"/>
        <v>5.5758462102551363</v>
      </c>
      <c r="O15" s="150">
        <f t="shared" si="6"/>
        <v>54.644034756039311</v>
      </c>
      <c r="P15" s="151">
        <f t="shared" si="6"/>
        <v>0</v>
      </c>
      <c r="Q15" s="149">
        <f t="shared" ref="Q15:AD15" si="7">Q8*$T$18</f>
        <v>7.0637704132399683</v>
      </c>
      <c r="R15" s="150">
        <f t="shared" si="7"/>
        <v>316.68901401863673</v>
      </c>
      <c r="S15" s="150">
        <f t="shared" si="7"/>
        <v>33.866585745279167</v>
      </c>
      <c r="T15" s="150">
        <f t="shared" si="7"/>
        <v>5.0105373818940691E-3</v>
      </c>
      <c r="U15" s="150">
        <f t="shared" si="7"/>
        <v>0</v>
      </c>
      <c r="V15" s="150">
        <f t="shared" si="7"/>
        <v>0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54.763011766745308</v>
      </c>
      <c r="AA15" s="150">
        <f t="shared" si="7"/>
        <v>17.285525185623438</v>
      </c>
      <c r="AB15" s="150">
        <f t="shared" si="7"/>
        <v>202.02200155257157</v>
      </c>
      <c r="AC15" s="151">
        <f t="shared" si="7"/>
        <v>0</v>
      </c>
      <c r="AD15" s="152">
        <f t="shared" si="7"/>
        <v>2.0419851895639032</v>
      </c>
      <c r="AE15" s="174">
        <f>(AE14*(1.029*8.34)*0.03)/2000</f>
        <v>0</v>
      </c>
      <c r="AF15" s="471"/>
      <c r="AG15" s="471"/>
      <c r="AH15" s="471"/>
      <c r="AI15" s="471"/>
    </row>
    <row r="16" spans="1:35" ht="15" customHeight="1" thickBot="1" x14ac:dyDescent="0.3">
      <c r="A16" s="527" t="s">
        <v>116</v>
      </c>
      <c r="B16" s="528"/>
      <c r="C16" s="175">
        <f>$AI$30*C15</f>
        <v>0</v>
      </c>
      <c r="D16" s="176">
        <f>$AI$28*D15</f>
        <v>17190.734992519225</v>
      </c>
      <c r="E16" s="176">
        <f>$AI$31*E15</f>
        <v>564863.00386205257</v>
      </c>
      <c r="F16" s="176">
        <f>$AI$26*F15</f>
        <v>17139.747717374463</v>
      </c>
      <c r="G16" s="177">
        <f>$AI$23*G15</f>
        <v>0</v>
      </c>
      <c r="H16" s="177">
        <f>$AI$24*H15</f>
        <v>24659.301483390729</v>
      </c>
      <c r="I16" s="177">
        <f>$AI$29*I15</f>
        <v>21099.044784319944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>
        <f>$AI$27*M15</f>
        <v>10618.827829606782</v>
      </c>
      <c r="N16" s="177">
        <f>$AI$22*N15</f>
        <v>499.20333225114553</v>
      </c>
      <c r="O16" s="177">
        <f>$AI$31*O15</f>
        <v>52458.273365797737</v>
      </c>
      <c r="P16" s="178">
        <v>0</v>
      </c>
      <c r="Q16" s="179">
        <f>$AI$30*Q15</f>
        <v>45066.855236470998</v>
      </c>
      <c r="R16" s="177">
        <f>$AI$28*R15</f>
        <v>180829.42700464156</v>
      </c>
      <c r="S16" s="177">
        <f>$AI$26*S15</f>
        <v>31157.258885656833</v>
      </c>
      <c r="T16" s="177">
        <f>$AI$25*T15</f>
        <v>0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32266.366532966338</v>
      </c>
      <c r="AA16" s="177">
        <f>$AI$22*AA15</f>
        <v>1547.5663149575068</v>
      </c>
      <c r="AB16" s="177">
        <f>$AI$31*AB15</f>
        <v>193941.12149046871</v>
      </c>
      <c r="AC16" s="178">
        <v>0</v>
      </c>
      <c r="AD16" s="180">
        <f>$AI$27*AD15</f>
        <v>1203.1376736910518</v>
      </c>
      <c r="AE16" s="181">
        <f>$AI$30*AE15</f>
        <v>0</v>
      </c>
      <c r="AF16" s="471"/>
      <c r="AG16" s="471"/>
      <c r="AH16" s="471"/>
      <c r="AI16" s="471"/>
    </row>
    <row r="17" spans="1:35" ht="15" customHeight="1" thickBot="1" x14ac:dyDescent="0.3">
      <c r="A17" s="529"/>
      <c r="B17" s="530"/>
      <c r="C17" s="531" t="s">
        <v>117</v>
      </c>
      <c r="D17" s="532"/>
      <c r="E17" s="532"/>
      <c r="F17" s="182">
        <f>SUM(C16:P16)</f>
        <v>708528.13736731268</v>
      </c>
      <c r="G17" s="533" t="s">
        <v>118</v>
      </c>
      <c r="H17" s="532"/>
      <c r="I17" s="532"/>
      <c r="J17" s="183">
        <f>SUM(Q16:AE16)</f>
        <v>486011.73313885299</v>
      </c>
      <c r="K17" s="533" t="s">
        <v>119</v>
      </c>
      <c r="L17" s="534"/>
      <c r="M17" s="535">
        <f>SUM(C16:AE16)</f>
        <v>1194539.8705061658</v>
      </c>
      <c r="N17" s="536"/>
      <c r="O17" s="537"/>
      <c r="P17" s="538"/>
      <c r="Q17" s="538"/>
      <c r="R17" s="223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472"/>
      <c r="AG17" s="472"/>
      <c r="AH17" s="472"/>
      <c r="AI17" s="472"/>
    </row>
    <row r="18" spans="1:35" ht="15" customHeight="1" thickTop="1" thickBot="1" x14ac:dyDescent="0.3">
      <c r="A18" s="185" t="s">
        <v>121</v>
      </c>
      <c r="B18" s="186"/>
      <c r="C18" s="186"/>
      <c r="D18" s="187">
        <v>5001.1000000000004</v>
      </c>
      <c r="E18" s="188" t="s">
        <v>122</v>
      </c>
      <c r="F18" s="189"/>
      <c r="G18" s="189"/>
      <c r="H18" s="190">
        <f>D18*((AF19+AH19)/(AG6+AH6))</f>
        <v>2775.3220689757727</v>
      </c>
      <c r="I18" s="191" t="s">
        <v>123</v>
      </c>
      <c r="J18" s="189"/>
      <c r="K18" s="189"/>
      <c r="L18" s="192">
        <v>0.755</v>
      </c>
      <c r="M18" s="191" t="s">
        <v>124</v>
      </c>
      <c r="N18" s="189"/>
      <c r="O18" s="189"/>
      <c r="P18" s="193">
        <f>L18/(1-L18)</f>
        <v>3.0816326530612246</v>
      </c>
      <c r="Q18" s="191" t="s">
        <v>125</v>
      </c>
      <c r="R18" s="189"/>
      <c r="S18" s="189"/>
      <c r="T18" s="190">
        <f>D18*L18</f>
        <v>3775.8305000000005</v>
      </c>
      <c r="U18" s="191" t="s">
        <v>126</v>
      </c>
      <c r="V18" s="189"/>
      <c r="W18" s="189"/>
      <c r="X18" s="190">
        <f>H18*L18</f>
        <v>2095.3681620767084</v>
      </c>
      <c r="Y18" s="191" t="s">
        <v>127</v>
      </c>
      <c r="Z18" s="189"/>
      <c r="AA18" s="189"/>
      <c r="AB18" s="190">
        <f>D18-T18</f>
        <v>1225.2694999999999</v>
      </c>
      <c r="AC18" s="191" t="s">
        <v>128</v>
      </c>
      <c r="AD18" s="189"/>
      <c r="AE18" s="194">
        <f>H18-X18</f>
        <v>679.95390689906435</v>
      </c>
      <c r="AF18" s="224" t="s">
        <v>102</v>
      </c>
      <c r="AG18" s="225" t="s">
        <v>102</v>
      </c>
      <c r="AH18" s="225" t="s">
        <v>102</v>
      </c>
      <c r="AI18" s="225" t="s">
        <v>102</v>
      </c>
    </row>
    <row r="19" spans="1:35" ht="16.5" thickTop="1" thickBot="1" x14ac:dyDescent="0.3">
      <c r="O19" s="514"/>
      <c r="P19" s="514"/>
      <c r="AF19" s="195">
        <f>'[1]Yearly Summary '!$C$29</f>
        <v>3046.1644149070598</v>
      </c>
      <c r="AG19" s="195">
        <f>AF19-AG10</f>
        <v>3003.9785289951033</v>
      </c>
      <c r="AH19" s="195">
        <f>'[1]Yearly Summary '!$D$29</f>
        <v>520.85895995015176</v>
      </c>
      <c r="AI19" s="195">
        <f>AH19-AI10</f>
        <v>431.4764020759452</v>
      </c>
    </row>
    <row r="20" spans="1:35" ht="15" customHeight="1" x14ac:dyDescent="0.25">
      <c r="A20" s="515">
        <f>A12</f>
        <v>2019</v>
      </c>
      <c r="B20" s="516"/>
      <c r="C20" s="516" t="s">
        <v>129</v>
      </c>
      <c r="D20" s="516"/>
      <c r="E20" s="516"/>
      <c r="F20" s="516"/>
      <c r="G20" s="516"/>
      <c r="H20" s="516"/>
      <c r="I20" s="516"/>
      <c r="J20" s="516" t="s">
        <v>130</v>
      </c>
      <c r="K20" s="516"/>
      <c r="L20" s="516"/>
      <c r="M20" s="516"/>
      <c r="N20" s="516"/>
      <c r="O20" s="516"/>
      <c r="P20" s="517"/>
      <c r="Q20" s="196"/>
      <c r="R20" s="197">
        <f>A1</f>
        <v>2018</v>
      </c>
      <c r="S20" s="518" t="s">
        <v>131</v>
      </c>
      <c r="T20" s="519"/>
      <c r="U20" s="520" t="s">
        <v>132</v>
      </c>
      <c r="V20" s="521"/>
      <c r="W20" s="521"/>
      <c r="X20" s="521"/>
      <c r="Y20" s="522"/>
      <c r="Z20" s="503" t="s">
        <v>133</v>
      </c>
      <c r="AA20" s="504"/>
      <c r="AB20" s="504"/>
      <c r="AC20" s="504"/>
      <c r="AD20" s="505"/>
      <c r="AE20" s="506" t="s">
        <v>134</v>
      </c>
      <c r="AF20" s="507"/>
      <c r="AG20" s="507"/>
      <c r="AH20" s="507"/>
      <c r="AI20" s="508"/>
    </row>
    <row r="21" spans="1:35" ht="15.75" thickBot="1" x14ac:dyDescent="0.3">
      <c r="A21" s="509" t="s">
        <v>135</v>
      </c>
      <c r="B21" s="510"/>
      <c r="C21" s="495" t="s">
        <v>161</v>
      </c>
      <c r="D21" s="495"/>
      <c r="E21" s="495" t="s">
        <v>162</v>
      </c>
      <c r="F21" s="502"/>
      <c r="G21" s="502" t="s">
        <v>163</v>
      </c>
      <c r="H21" s="511"/>
      <c r="I21" s="511"/>
      <c r="J21" s="512" t="s">
        <v>164</v>
      </c>
      <c r="K21" s="512"/>
      <c r="L21" s="513"/>
      <c r="M21" s="512" t="s">
        <v>165</v>
      </c>
      <c r="N21" s="513"/>
      <c r="O21" s="495" t="s">
        <v>136</v>
      </c>
      <c r="P21" s="474"/>
      <c r="Q21" s="196"/>
      <c r="R21" s="475" t="s">
        <v>135</v>
      </c>
      <c r="S21" s="476"/>
      <c r="T21" s="476"/>
      <c r="U21" s="198" t="s">
        <v>137</v>
      </c>
      <c r="V21" s="248" t="s">
        <v>138</v>
      </c>
      <c r="W21" s="248" t="s">
        <v>139</v>
      </c>
      <c r="X21" s="248" t="s">
        <v>58</v>
      </c>
      <c r="Y21" s="248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492" t="s">
        <v>141</v>
      </c>
      <c r="B22" s="493"/>
      <c r="C22" s="494">
        <f>N15+AA15</f>
        <v>22.861371395878574</v>
      </c>
      <c r="D22" s="495"/>
      <c r="E22" s="496">
        <f>N16+AA16</f>
        <v>2046.7696472086523</v>
      </c>
      <c r="F22" s="497"/>
      <c r="G22" s="498">
        <f>(C22*2000)/(8.34*0.895*0.29)</f>
        <v>21122.493779243057</v>
      </c>
      <c r="H22" s="498"/>
      <c r="I22" s="202" t="s">
        <v>142</v>
      </c>
      <c r="J22" s="499">
        <f>(G22*8.34*0.895)/27000</f>
        <v>5.839430752459406</v>
      </c>
      <c r="K22" s="500"/>
      <c r="L22" s="203" t="s">
        <v>143</v>
      </c>
      <c r="M22" s="501">
        <f>ROUNDUP(J22,0)</f>
        <v>6</v>
      </c>
      <c r="N22" s="502"/>
      <c r="O22" s="473">
        <f>((M22*27000)/(8.34*0.895))*$Y$22</f>
        <v>2103.0505204774727</v>
      </c>
      <c r="P22" s="474"/>
      <c r="Q22" s="196"/>
      <c r="R22" s="475" t="s">
        <v>141</v>
      </c>
      <c r="S22" s="476"/>
      <c r="T22" s="476"/>
      <c r="U22" s="244" t="s">
        <v>146</v>
      </c>
      <c r="V22" s="361">
        <v>9.69E-2</v>
      </c>
      <c r="W22" s="362">
        <v>9.69E-2</v>
      </c>
      <c r="X22" s="362">
        <v>9.69E-2</v>
      </c>
      <c r="Y22" s="249">
        <v>9.69E-2</v>
      </c>
      <c r="Z22" s="246" t="s">
        <v>142</v>
      </c>
      <c r="AA22" s="205">
        <f>V22*8.34*0.92</f>
        <v>0.74349432000000004</v>
      </c>
      <c r="AB22" s="205">
        <f>W22*8.34*0.92</f>
        <v>0.74349432000000004</v>
      </c>
      <c r="AC22" s="205">
        <f>X22*8.34*0.92</f>
        <v>0.74349432000000004</v>
      </c>
      <c r="AD22" s="205">
        <f>Y22*8.34*0.92</f>
        <v>0.74349432000000004</v>
      </c>
      <c r="AE22" s="206" t="s">
        <v>144</v>
      </c>
      <c r="AF22" s="207">
        <f>(V22/((0.895*8.34)*0.29))*2000</f>
        <v>89.529609215728939</v>
      </c>
      <c r="AG22" s="207">
        <f>(W22/((0.895*8.34)*0.29))*2000</f>
        <v>89.529609215728939</v>
      </c>
      <c r="AH22" s="207">
        <f>(X22/((0.895*8.34)*0.29))*2000</f>
        <v>89.529609215728939</v>
      </c>
      <c r="AI22" s="208">
        <f>(Y22/((0.895*8.34)*0.29))*2000</f>
        <v>89.529609215728939</v>
      </c>
    </row>
    <row r="23" spans="1:35" x14ac:dyDescent="0.25">
      <c r="A23" s="492" t="s">
        <v>145</v>
      </c>
      <c r="B23" s="493"/>
      <c r="C23" s="494">
        <f>G15+U15+V15</f>
        <v>0</v>
      </c>
      <c r="D23" s="495"/>
      <c r="E23" s="496">
        <f>G16+U16+V16</f>
        <v>0</v>
      </c>
      <c r="F23" s="497"/>
      <c r="G23" s="498">
        <f>C23*2000</f>
        <v>0</v>
      </c>
      <c r="H23" s="498"/>
      <c r="I23" s="202" t="s">
        <v>146</v>
      </c>
      <c r="J23" s="499">
        <f>(G23/(8.34*1.055))/400</f>
        <v>0</v>
      </c>
      <c r="K23" s="500"/>
      <c r="L23" s="203" t="s">
        <v>147</v>
      </c>
      <c r="M23" s="501">
        <f t="shared" ref="M23:M31" si="8">ROUNDUP(J23,0)</f>
        <v>0</v>
      </c>
      <c r="N23" s="502"/>
      <c r="O23" s="473">
        <f>(M23*400*8.34*1.055)*$Y$23</f>
        <v>0</v>
      </c>
      <c r="P23" s="474"/>
      <c r="Q23" s="196"/>
      <c r="R23" s="475" t="s">
        <v>145</v>
      </c>
      <c r="S23" s="476"/>
      <c r="T23" s="476"/>
      <c r="U23" s="244" t="s">
        <v>146</v>
      </c>
      <c r="V23" s="363"/>
      <c r="W23" s="364"/>
      <c r="X23" s="364"/>
      <c r="Y23" s="364"/>
      <c r="Z23" s="246" t="s">
        <v>142</v>
      </c>
      <c r="AA23" s="205">
        <f>V23*8.34*0.005</f>
        <v>0</v>
      </c>
      <c r="AB23" s="205">
        <f>W23*8.34*0.005</f>
        <v>0</v>
      </c>
      <c r="AC23" s="205">
        <f>X23*8.34*0.005</f>
        <v>0</v>
      </c>
      <c r="AD23" s="205">
        <f>Y23*8.34*0.005</f>
        <v>0</v>
      </c>
      <c r="AE23" s="206" t="s">
        <v>144</v>
      </c>
      <c r="AF23" s="207">
        <f>V23*2000</f>
        <v>0</v>
      </c>
      <c r="AG23" s="207">
        <f>W23*2000</f>
        <v>0</v>
      </c>
      <c r="AH23" s="207">
        <f>X23*2000</f>
        <v>0</v>
      </c>
      <c r="AI23" s="208">
        <f>Y23*2000</f>
        <v>0</v>
      </c>
    </row>
    <row r="24" spans="1:35" x14ac:dyDescent="0.25">
      <c r="A24" s="492" t="s">
        <v>148</v>
      </c>
      <c r="B24" s="493"/>
      <c r="C24" s="494">
        <f>H15</f>
        <v>223.10052911780267</v>
      </c>
      <c r="D24" s="495"/>
      <c r="E24" s="496">
        <f>H16</f>
        <v>24659.301483390729</v>
      </c>
      <c r="F24" s="497"/>
      <c r="G24" s="498">
        <f>C24</f>
        <v>223.10052911780267</v>
      </c>
      <c r="H24" s="498"/>
      <c r="I24" s="202" t="s">
        <v>149</v>
      </c>
      <c r="J24" s="499">
        <f>(G24*2000)/40000</f>
        <v>11.155026455890132</v>
      </c>
      <c r="K24" s="500"/>
      <c r="L24" s="203" t="s">
        <v>143</v>
      </c>
      <c r="M24" s="501">
        <f t="shared" si="8"/>
        <v>12</v>
      </c>
      <c r="N24" s="502"/>
      <c r="O24" s="473">
        <f>((M24*40000)/2000)*$Y$24</f>
        <v>26527.200000000001</v>
      </c>
      <c r="P24" s="474"/>
      <c r="Q24" s="196"/>
      <c r="R24" s="475" t="s">
        <v>148</v>
      </c>
      <c r="S24" s="476"/>
      <c r="T24" s="476"/>
      <c r="U24" s="244" t="s">
        <v>149</v>
      </c>
      <c r="V24" s="363">
        <v>110.53</v>
      </c>
      <c r="W24" s="364">
        <v>110.53</v>
      </c>
      <c r="X24" s="364">
        <v>110.53</v>
      </c>
      <c r="Y24" s="251">
        <v>110.53</v>
      </c>
      <c r="Z24" s="246" t="s">
        <v>146</v>
      </c>
      <c r="AA24" s="205">
        <f>V24/2000</f>
        <v>5.5265000000000002E-2</v>
      </c>
      <c r="AB24" s="205">
        <f>W24/2000</f>
        <v>5.5265000000000002E-2</v>
      </c>
      <c r="AC24" s="205">
        <f>X24/2000</f>
        <v>5.5265000000000002E-2</v>
      </c>
      <c r="AD24" s="205">
        <f>Y24/2000</f>
        <v>5.5265000000000002E-2</v>
      </c>
      <c r="AE24" s="206" t="s">
        <v>144</v>
      </c>
      <c r="AF24" s="207">
        <f>V24</f>
        <v>110.53</v>
      </c>
      <c r="AG24" s="207">
        <f>W24</f>
        <v>110.53</v>
      </c>
      <c r="AH24" s="207">
        <f>X24</f>
        <v>110.53</v>
      </c>
      <c r="AI24" s="207">
        <f>Y24</f>
        <v>110.53</v>
      </c>
    </row>
    <row r="25" spans="1:35" ht="15.75" customHeight="1" x14ac:dyDescent="0.25">
      <c r="A25" s="492" t="s">
        <v>150</v>
      </c>
      <c r="B25" s="493"/>
      <c r="C25" s="494">
        <f>T15</f>
        <v>5.0105373818940691E-3</v>
      </c>
      <c r="D25" s="495"/>
      <c r="E25" s="496">
        <f>T16</f>
        <v>0</v>
      </c>
      <c r="F25" s="497"/>
      <c r="G25" s="498">
        <f>C25*2000</f>
        <v>10.021074763788139</v>
      </c>
      <c r="H25" s="498"/>
      <c r="I25" s="202" t="s">
        <v>151</v>
      </c>
      <c r="J25" s="499">
        <f>G25/45000</f>
        <v>2.2269055030640309E-4</v>
      </c>
      <c r="K25" s="500"/>
      <c r="L25" s="203" t="s">
        <v>143</v>
      </c>
      <c r="M25" s="501">
        <f t="shared" si="8"/>
        <v>1</v>
      </c>
      <c r="N25" s="502"/>
      <c r="O25" s="473">
        <f>J25*45000*$Y$25</f>
        <v>0</v>
      </c>
      <c r="P25" s="474"/>
      <c r="Q25" s="196"/>
      <c r="R25" s="475" t="s">
        <v>150</v>
      </c>
      <c r="S25" s="476"/>
      <c r="T25" s="476"/>
      <c r="U25" s="244" t="s">
        <v>151</v>
      </c>
      <c r="V25" s="250"/>
      <c r="W25" s="204"/>
      <c r="X25" s="204"/>
      <c r="Y25" s="251"/>
      <c r="Z25" s="246" t="s">
        <v>142</v>
      </c>
      <c r="AA25" s="205">
        <f>V25*8.34*0.055</f>
        <v>0</v>
      </c>
      <c r="AB25" s="205">
        <f>W25*8.34*0.055</f>
        <v>0</v>
      </c>
      <c r="AC25" s="205">
        <f>X25*8.34*0.055</f>
        <v>0</v>
      </c>
      <c r="AD25" s="205">
        <f>Y25*8.34*0.055</f>
        <v>0</v>
      </c>
      <c r="AE25" s="206" t="s">
        <v>144</v>
      </c>
      <c r="AF25" s="207">
        <f>V25*2000</f>
        <v>0</v>
      </c>
      <c r="AG25" s="207">
        <f>W25*2000</f>
        <v>0</v>
      </c>
      <c r="AH25" s="207">
        <f>X25*2000</f>
        <v>0</v>
      </c>
      <c r="AI25" s="208">
        <f>Y25*2000</f>
        <v>0</v>
      </c>
    </row>
    <row r="26" spans="1:35" x14ac:dyDescent="0.25">
      <c r="A26" s="492" t="s">
        <v>152</v>
      </c>
      <c r="B26" s="493"/>
      <c r="C26" s="494">
        <f>F15+S15</f>
        <v>52.496746307642709</v>
      </c>
      <c r="D26" s="495"/>
      <c r="E26" s="496">
        <f>F16+S16</f>
        <v>48297.006603031296</v>
      </c>
      <c r="F26" s="497"/>
      <c r="G26" s="498">
        <f>C26</f>
        <v>52.496746307642709</v>
      </c>
      <c r="H26" s="498"/>
      <c r="I26" s="202" t="s">
        <v>149</v>
      </c>
      <c r="J26" s="499">
        <f>(G26*2000)/45000</f>
        <v>2.3331887247841205</v>
      </c>
      <c r="K26" s="500"/>
      <c r="L26" s="203" t="s">
        <v>143</v>
      </c>
      <c r="M26" s="501">
        <f t="shared" si="8"/>
        <v>3</v>
      </c>
      <c r="N26" s="502"/>
      <c r="O26" s="473">
        <f>((M26*45000)/2000)*$Y$26</f>
        <v>62100</v>
      </c>
      <c r="P26" s="474"/>
      <c r="Q26" s="196"/>
      <c r="R26" s="475" t="s">
        <v>152</v>
      </c>
      <c r="S26" s="476"/>
      <c r="T26" s="476"/>
      <c r="U26" s="244" t="s">
        <v>149</v>
      </c>
      <c r="V26" s="363">
        <v>920</v>
      </c>
      <c r="W26" s="364">
        <v>920</v>
      </c>
      <c r="X26" s="364">
        <v>920</v>
      </c>
      <c r="Y26" s="251">
        <v>920</v>
      </c>
      <c r="Z26" s="246" t="s">
        <v>142</v>
      </c>
      <c r="AA26" s="205">
        <f>(V26/2000)*8.34*1.04*1</f>
        <v>3.9898560000000005</v>
      </c>
      <c r="AB26" s="205">
        <f>(W26/2000)*8.34*1.04*1</f>
        <v>3.9898560000000005</v>
      </c>
      <c r="AC26" s="205">
        <f>(X26/2000)*8.34*1.04*1</f>
        <v>3.9898560000000005</v>
      </c>
      <c r="AD26" s="205">
        <f>(Y26/2000)*8.34*1.04*1</f>
        <v>3.9898560000000005</v>
      </c>
      <c r="AE26" s="206" t="s">
        <v>144</v>
      </c>
      <c r="AF26" s="207">
        <f t="shared" ref="AF26:AI28" si="9">V26</f>
        <v>920</v>
      </c>
      <c r="AG26" s="207">
        <f t="shared" si="9"/>
        <v>920</v>
      </c>
      <c r="AH26" s="207">
        <f t="shared" si="9"/>
        <v>920</v>
      </c>
      <c r="AI26" s="208">
        <f t="shared" si="9"/>
        <v>920</v>
      </c>
    </row>
    <row r="27" spans="1:35" x14ac:dyDescent="0.25">
      <c r="A27" s="492" t="s">
        <v>153</v>
      </c>
      <c r="B27" s="493"/>
      <c r="C27" s="494">
        <f>M15+Z15+AD15</f>
        <v>74.827447447834643</v>
      </c>
      <c r="D27" s="495"/>
      <c r="E27" s="496">
        <f>M16+Z16+AD16</f>
        <v>44088.332036264175</v>
      </c>
      <c r="F27" s="497"/>
      <c r="G27" s="498">
        <f>C27</f>
        <v>74.827447447834643</v>
      </c>
      <c r="H27" s="498"/>
      <c r="I27" s="202" t="s">
        <v>149</v>
      </c>
      <c r="J27" s="499">
        <f>G27/8</f>
        <v>9.3534309309793304</v>
      </c>
      <c r="K27" s="500"/>
      <c r="L27" s="203" t="s">
        <v>143</v>
      </c>
      <c r="M27" s="501">
        <f t="shared" si="8"/>
        <v>10</v>
      </c>
      <c r="N27" s="502"/>
      <c r="O27" s="473">
        <f>M27*8*$Y$27</f>
        <v>47136</v>
      </c>
      <c r="P27" s="474"/>
      <c r="Q27" s="196"/>
      <c r="R27" s="475" t="s">
        <v>153</v>
      </c>
      <c r="S27" s="476"/>
      <c r="T27" s="476"/>
      <c r="U27" s="244" t="s">
        <v>149</v>
      </c>
      <c r="V27" s="363">
        <v>549.20000000000005</v>
      </c>
      <c r="W27" s="364">
        <v>589.20000000000005</v>
      </c>
      <c r="X27" s="364">
        <v>589.20000000000005</v>
      </c>
      <c r="Y27" s="251">
        <v>589.20000000000005</v>
      </c>
      <c r="Z27" s="246" t="s">
        <v>146</v>
      </c>
      <c r="AA27" s="205">
        <f>V27/2000</f>
        <v>0.27460000000000001</v>
      </c>
      <c r="AB27" s="205">
        <f>W27/2000</f>
        <v>0.29460000000000003</v>
      </c>
      <c r="AC27" s="205">
        <f>X27/2000</f>
        <v>0.29460000000000003</v>
      </c>
      <c r="AD27" s="205">
        <f>Y27/2000</f>
        <v>0.29460000000000003</v>
      </c>
      <c r="AE27" s="206" t="s">
        <v>144</v>
      </c>
      <c r="AF27" s="207">
        <f t="shared" si="9"/>
        <v>549.20000000000005</v>
      </c>
      <c r="AG27" s="207">
        <f t="shared" si="9"/>
        <v>589.20000000000005</v>
      </c>
      <c r="AH27" s="207">
        <f t="shared" si="9"/>
        <v>589.20000000000005</v>
      </c>
      <c r="AI27" s="208">
        <f t="shared" si="9"/>
        <v>589.20000000000005</v>
      </c>
    </row>
    <row r="28" spans="1:35" x14ac:dyDescent="0.25">
      <c r="A28" s="492" t="s">
        <v>154</v>
      </c>
      <c r="B28" s="493"/>
      <c r="C28" s="494">
        <f>D15+L15+R15+Y15</f>
        <v>346.79538003005393</v>
      </c>
      <c r="D28" s="495"/>
      <c r="E28" s="496">
        <f>D16+L16+R16+Y16</f>
        <v>198020.16199716079</v>
      </c>
      <c r="F28" s="497"/>
      <c r="G28" s="498">
        <f>C28</f>
        <v>346.79538003005393</v>
      </c>
      <c r="H28" s="498"/>
      <c r="I28" s="202" t="s">
        <v>144</v>
      </c>
      <c r="J28" s="499">
        <f>((G28/0.38)*2000)/45000</f>
        <v>40.56086316140982</v>
      </c>
      <c r="K28" s="500"/>
      <c r="L28" s="203" t="s">
        <v>143</v>
      </c>
      <c r="M28" s="501">
        <f t="shared" si="8"/>
        <v>41</v>
      </c>
      <c r="N28" s="502"/>
      <c r="O28" s="473">
        <f>((M28*45000*0.38)/2000)*$Y$28</f>
        <v>200164.05000000002</v>
      </c>
      <c r="P28" s="474"/>
      <c r="Q28" s="196"/>
      <c r="R28" s="475" t="s">
        <v>154</v>
      </c>
      <c r="S28" s="476"/>
      <c r="T28" s="476"/>
      <c r="U28" s="244" t="s">
        <v>144</v>
      </c>
      <c r="V28" s="250">
        <v>571</v>
      </c>
      <c r="W28" s="204">
        <v>571</v>
      </c>
      <c r="X28" s="204">
        <v>571</v>
      </c>
      <c r="Y28" s="251">
        <v>571</v>
      </c>
      <c r="Z28" s="246" t="s">
        <v>142</v>
      </c>
      <c r="AA28" s="205">
        <f>(V28/2000)*8.34*1.4*0.38</f>
        <v>1.2667292399999999</v>
      </c>
      <c r="AB28" s="205">
        <f>(W28/2000)*8.34*1.4*0.38</f>
        <v>1.2667292399999999</v>
      </c>
      <c r="AC28" s="205">
        <f>(X28/2000)*8.34*1.4*0.38</f>
        <v>1.2667292399999999</v>
      </c>
      <c r="AD28" s="205">
        <f>(Y28/2000)*8.34*1.4*0.38</f>
        <v>1.2667292399999999</v>
      </c>
      <c r="AE28" s="206" t="s">
        <v>144</v>
      </c>
      <c r="AF28" s="207">
        <f t="shared" si="9"/>
        <v>571</v>
      </c>
      <c r="AG28" s="207">
        <f t="shared" si="9"/>
        <v>571</v>
      </c>
      <c r="AH28" s="207">
        <f t="shared" si="9"/>
        <v>571</v>
      </c>
      <c r="AI28" s="208">
        <f t="shared" si="9"/>
        <v>571</v>
      </c>
    </row>
    <row r="29" spans="1:35" x14ac:dyDescent="0.25">
      <c r="A29" s="492" t="s">
        <v>155</v>
      </c>
      <c r="B29" s="493"/>
      <c r="C29" s="494">
        <f>I15</f>
        <v>9.846220899349305</v>
      </c>
      <c r="D29" s="495"/>
      <c r="E29" s="496">
        <f>I16</f>
        <v>21099.044784319944</v>
      </c>
      <c r="F29" s="497"/>
      <c r="G29" s="498">
        <f>C29/0.35</f>
        <v>28.132059712426589</v>
      </c>
      <c r="H29" s="498"/>
      <c r="I29" s="202" t="s">
        <v>149</v>
      </c>
      <c r="J29" s="499">
        <f>(G29*2000)/45000</f>
        <v>1.2503137649967373</v>
      </c>
      <c r="K29" s="500"/>
      <c r="L29" s="203" t="s">
        <v>143</v>
      </c>
      <c r="M29" s="501">
        <f t="shared" si="8"/>
        <v>2</v>
      </c>
      <c r="N29" s="502"/>
      <c r="O29" s="473">
        <f>((M29*45000)/2000)*$Y$29</f>
        <v>33750</v>
      </c>
      <c r="P29" s="474"/>
      <c r="Q29" s="196"/>
      <c r="R29" s="475" t="s">
        <v>155</v>
      </c>
      <c r="S29" s="476"/>
      <c r="T29" s="476"/>
      <c r="U29" s="244" t="s">
        <v>149</v>
      </c>
      <c r="V29" s="250">
        <v>750</v>
      </c>
      <c r="W29" s="204">
        <v>750</v>
      </c>
      <c r="X29" s="204">
        <v>750</v>
      </c>
      <c r="Y29" s="251">
        <v>750</v>
      </c>
      <c r="Z29" s="246" t="s">
        <v>142</v>
      </c>
      <c r="AA29" s="205">
        <f>(V29/2000)*8.34*1.135</f>
        <v>3.5497125</v>
      </c>
      <c r="AB29" s="205">
        <f>(W29/2000)*8.34*1.135</f>
        <v>3.5497125</v>
      </c>
      <c r="AC29" s="205">
        <f>(X29/2000)*8.34*1.135</f>
        <v>3.5497125</v>
      </c>
      <c r="AD29" s="205">
        <f>(Y29/2000)*8.34*1.135</f>
        <v>3.5497125</v>
      </c>
      <c r="AE29" s="206" t="s">
        <v>144</v>
      </c>
      <c r="AF29" s="207">
        <f>V29/0.35</f>
        <v>2142.8571428571431</v>
      </c>
      <c r="AG29" s="207">
        <f>W29/0.35</f>
        <v>2142.8571428571431</v>
      </c>
      <c r="AH29" s="207">
        <f>X29/0.35</f>
        <v>2142.8571428571431</v>
      </c>
      <c r="AI29" s="208">
        <f>Y29/0.35</f>
        <v>2142.8571428571431</v>
      </c>
    </row>
    <row r="30" spans="1:35" x14ac:dyDescent="0.25">
      <c r="A30" s="492" t="s">
        <v>156</v>
      </c>
      <c r="B30" s="493"/>
      <c r="C30" s="494">
        <f>C15+Q15+AE15</f>
        <v>7.0637704132399683</v>
      </c>
      <c r="D30" s="495"/>
      <c r="E30" s="496">
        <f>C16+Q16+AE16</f>
        <v>45066.855236470998</v>
      </c>
      <c r="F30" s="497"/>
      <c r="G30" s="498">
        <f>C30*2000</f>
        <v>14127.540826479937</v>
      </c>
      <c r="H30" s="498"/>
      <c r="I30" s="202" t="s">
        <v>151</v>
      </c>
      <c r="J30" s="499">
        <f>G30/3300</f>
        <v>4.2810729777211929</v>
      </c>
      <c r="K30" s="500"/>
      <c r="L30" s="203" t="s">
        <v>157</v>
      </c>
      <c r="M30" s="501">
        <f t="shared" si="8"/>
        <v>5</v>
      </c>
      <c r="N30" s="502"/>
      <c r="O30" s="473">
        <f>M30*3300*$Y$30</f>
        <v>52635</v>
      </c>
      <c r="P30" s="474"/>
      <c r="Q30" s="196"/>
      <c r="R30" s="475" t="s">
        <v>156</v>
      </c>
      <c r="S30" s="476"/>
      <c r="T30" s="476"/>
      <c r="U30" s="244" t="s">
        <v>151</v>
      </c>
      <c r="V30" s="250">
        <v>3.19</v>
      </c>
      <c r="W30" s="204">
        <v>3.19</v>
      </c>
      <c r="X30" s="204">
        <v>3.19</v>
      </c>
      <c r="Y30" s="251">
        <v>3.19</v>
      </c>
      <c r="Z30" s="246" t="s">
        <v>142</v>
      </c>
      <c r="AA30" s="205">
        <f>(8.34*1.029*0.03)*V30</f>
        <v>0.82128400199999985</v>
      </c>
      <c r="AB30" s="205">
        <f>(8.34*1.029*0.03)*W30</f>
        <v>0.82128400199999985</v>
      </c>
      <c r="AC30" s="205">
        <f>(8.34*1.029*0.03)*X30</f>
        <v>0.82128400199999985</v>
      </c>
      <c r="AD30" s="205">
        <f>(8.34*1.029*0.03)*Y30</f>
        <v>0.82128400199999985</v>
      </c>
      <c r="AE30" s="206" t="s">
        <v>144</v>
      </c>
      <c r="AF30" s="207">
        <f>V30*2000</f>
        <v>6380</v>
      </c>
      <c r="AG30" s="207">
        <f>W30*2000</f>
        <v>6380</v>
      </c>
      <c r="AH30" s="207">
        <f>X30*2000</f>
        <v>6380</v>
      </c>
      <c r="AI30" s="208">
        <f>Y30*2000</f>
        <v>6380</v>
      </c>
    </row>
    <row r="31" spans="1:35" ht="15.75" thickBot="1" x14ac:dyDescent="0.3">
      <c r="A31" s="477" t="s">
        <v>158</v>
      </c>
      <c r="B31" s="478"/>
      <c r="C31" s="479">
        <f>E15+O15+AB15</f>
        <v>845.06499866491572</v>
      </c>
      <c r="D31" s="480"/>
      <c r="E31" s="481">
        <f>E16+O16+AB16</f>
        <v>811262.39871831902</v>
      </c>
      <c r="F31" s="482"/>
      <c r="G31" s="483">
        <f>(C31/0.5)*2000</f>
        <v>3380259.9946596627</v>
      </c>
      <c r="H31" s="483"/>
      <c r="I31" s="209" t="s">
        <v>146</v>
      </c>
      <c r="J31" s="484">
        <f>G31/45000</f>
        <v>75.116888770214729</v>
      </c>
      <c r="K31" s="485"/>
      <c r="L31" s="210" t="s">
        <v>143</v>
      </c>
      <c r="M31" s="486">
        <f t="shared" si="8"/>
        <v>76</v>
      </c>
      <c r="N31" s="487"/>
      <c r="O31" s="488">
        <f>M31*45000*$Y$31</f>
        <v>820800</v>
      </c>
      <c r="P31" s="489"/>
      <c r="Q31" s="196"/>
      <c r="R31" s="490" t="s">
        <v>158</v>
      </c>
      <c r="S31" s="491"/>
      <c r="T31" s="491"/>
      <c r="U31" s="245" t="s">
        <v>146</v>
      </c>
      <c r="V31" s="252">
        <v>0.20499999999999999</v>
      </c>
      <c r="W31" s="253">
        <v>0.24</v>
      </c>
      <c r="X31" s="253">
        <v>0.24</v>
      </c>
      <c r="Y31" s="339">
        <v>0.24</v>
      </c>
      <c r="Z31" s="247" t="s">
        <v>142</v>
      </c>
      <c r="AA31" s="211">
        <f>V31*8.34*1.54</f>
        <v>2.6329379999999998</v>
      </c>
      <c r="AB31" s="211">
        <f>W31*8.34*1.54</f>
        <v>3.0824639999999999</v>
      </c>
      <c r="AC31" s="211">
        <f>X31*8.34*1.54</f>
        <v>3.0824639999999999</v>
      </c>
      <c r="AD31" s="211">
        <f>Y31*8.34*1.54</f>
        <v>3.0824639999999999</v>
      </c>
      <c r="AE31" s="212" t="s">
        <v>144</v>
      </c>
      <c r="AF31" s="213">
        <f>(V31*2000)/0.5</f>
        <v>820</v>
      </c>
      <c r="AG31" s="213">
        <f>(W31*2000)/0.5</f>
        <v>960</v>
      </c>
      <c r="AH31" s="213">
        <f>(X31*2000)/0.5</f>
        <v>960</v>
      </c>
      <c r="AI31" s="214">
        <f>(Y31*2000)/0.5</f>
        <v>960</v>
      </c>
    </row>
    <row r="32" spans="1:35" x14ac:dyDescent="0.25">
      <c r="F32" s="215"/>
    </row>
    <row r="34" spans="7:7" x14ac:dyDescent="0.25">
      <c r="G34" s="196"/>
    </row>
    <row r="35" spans="7:7" x14ac:dyDescent="0.25">
      <c r="G35" s="196"/>
    </row>
    <row r="36" spans="7:7" x14ac:dyDescent="0.25">
      <c r="G36" s="196"/>
    </row>
    <row r="37" spans="7:7" x14ac:dyDescent="0.25">
      <c r="G37" s="196"/>
    </row>
    <row r="38" spans="7:7" x14ac:dyDescent="0.25">
      <c r="G38" s="196"/>
    </row>
    <row r="39" spans="7:7" x14ac:dyDescent="0.25">
      <c r="G39" s="196"/>
    </row>
    <row r="40" spans="7:7" x14ac:dyDescent="0.25">
      <c r="G40" s="196"/>
    </row>
    <row r="41" spans="7:7" x14ac:dyDescent="0.25">
      <c r="G41" s="196"/>
    </row>
    <row r="42" spans="7:7" x14ac:dyDescent="0.25">
      <c r="G42" s="196"/>
    </row>
    <row r="43" spans="7:7" x14ac:dyDescent="0.25">
      <c r="G43" s="196"/>
    </row>
    <row r="44" spans="7:7" x14ac:dyDescent="0.25">
      <c r="G44" s="196"/>
    </row>
    <row r="45" spans="7:7" x14ac:dyDescent="0.25">
      <c r="G45" s="196"/>
    </row>
  </sheetData>
  <sheetProtection algorithmName="SHA-512" hashValue="hVOA3KrfbVgpm4RPCvR1DKmsattE2DjNB9FBVf6kagYovH/OkJUtwiRo+kRU9eFsuwShBUQprXSKdcW9ESszfQ==" saltValue="bY8Lb9NxkJV6i1NOrhsjLA==" spinCount="100000" sheet="1" objects="1" scenarios="1" selectLockedCells="1" selectUnlockedCells="1"/>
  <mergeCells count="135"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63"/>
  <sheetViews>
    <sheetView zoomScale="75" zoomScaleNormal="75" workbookViewId="0">
      <selection activeCell="O43" sqref="O43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</row>
    <row r="5" spans="1:49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  <c r="AV5" t="s">
        <v>169</v>
      </c>
      <c r="AW5" s="337" t="s">
        <v>207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8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43101</v>
      </c>
      <c r="B8" s="49"/>
      <c r="C8" s="50">
        <v>55.030738000075218</v>
      </c>
      <c r="D8" s="50">
        <v>754.30597168604424</v>
      </c>
      <c r="E8" s="50">
        <v>15.680129231015837</v>
      </c>
      <c r="F8" s="50">
        <v>0</v>
      </c>
      <c r="G8" s="50">
        <v>1935.7399311065647</v>
      </c>
      <c r="H8" s="51">
        <v>28.115231780211154</v>
      </c>
      <c r="I8" s="49">
        <v>112.25067571798962</v>
      </c>
      <c r="J8" s="50">
        <v>322.03969052632698</v>
      </c>
      <c r="K8" s="50">
        <v>17.710244936247676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264.50148884509025</v>
      </c>
      <c r="V8" s="54">
        <v>148.69364008319857</v>
      </c>
      <c r="W8" s="54">
        <v>30.853322513488695</v>
      </c>
      <c r="X8" s="54">
        <v>17.344676785083788</v>
      </c>
      <c r="Y8" s="54">
        <v>115.07906137082601</v>
      </c>
      <c r="Z8" s="54">
        <v>64.693490412099621</v>
      </c>
      <c r="AA8" s="55">
        <v>0</v>
      </c>
      <c r="AB8" s="56">
        <v>57.914180914561186</v>
      </c>
      <c r="AC8" s="57">
        <v>0</v>
      </c>
      <c r="AD8" s="409">
        <v>8.6732817381126317</v>
      </c>
      <c r="AE8" s="409">
        <v>4.4666097149933517</v>
      </c>
      <c r="AF8" s="57">
        <v>12.351331028673394</v>
      </c>
      <c r="AG8" s="58">
        <v>7.7717130960909282</v>
      </c>
      <c r="AH8" s="58">
        <v>4.3689898116861814</v>
      </c>
      <c r="AI8" s="58">
        <v>0.64013699660770984</v>
      </c>
      <c r="AJ8" s="57">
        <v>339.11388114293419</v>
      </c>
      <c r="AK8" s="57">
        <v>1151.2706241607666</v>
      </c>
      <c r="AL8" s="57">
        <v>2951.7981169382729</v>
      </c>
      <c r="AM8" s="57">
        <v>676.79717445373547</v>
      </c>
      <c r="AN8" s="57">
        <v>4559.5180699666344</v>
      </c>
      <c r="AO8" s="57">
        <v>2722.8674027760831</v>
      </c>
      <c r="AP8" s="57">
        <v>717.92344624201451</v>
      </c>
      <c r="AQ8" s="57">
        <v>1842.7706415812179</v>
      </c>
      <c r="AR8" s="57">
        <v>345.1675737380981</v>
      </c>
      <c r="AS8" s="57">
        <v>510.51264657974247</v>
      </c>
    </row>
    <row r="9" spans="1:49" x14ac:dyDescent="0.25">
      <c r="A9" s="11">
        <v>43102</v>
      </c>
      <c r="B9" s="59"/>
      <c r="C9" s="60">
        <v>55.235240276654707</v>
      </c>
      <c r="D9" s="60">
        <v>759.90243479410617</v>
      </c>
      <c r="E9" s="60">
        <v>15.800014370183117</v>
      </c>
      <c r="F9" s="60">
        <v>0</v>
      </c>
      <c r="G9" s="60">
        <v>2052.4681035359727</v>
      </c>
      <c r="H9" s="61">
        <v>28.490241519610141</v>
      </c>
      <c r="I9" s="59">
        <v>109.14228377342209</v>
      </c>
      <c r="J9" s="60">
        <v>313.12031067212411</v>
      </c>
      <c r="K9" s="60">
        <v>17.030782356858246</v>
      </c>
      <c r="L9" s="60">
        <v>0</v>
      </c>
      <c r="M9" s="50">
        <v>0</v>
      </c>
      <c r="N9" s="61">
        <v>0</v>
      </c>
      <c r="O9" s="49">
        <v>0</v>
      </c>
      <c r="P9" s="50">
        <v>0</v>
      </c>
      <c r="Q9" s="50">
        <v>0</v>
      </c>
      <c r="R9" s="50">
        <v>0</v>
      </c>
      <c r="S9" s="60">
        <v>0</v>
      </c>
      <c r="T9" s="64">
        <v>0</v>
      </c>
      <c r="U9" s="65">
        <v>262.86264778184028</v>
      </c>
      <c r="V9" s="62">
        <v>145.88878497606726</v>
      </c>
      <c r="W9" s="62">
        <v>29.347167318432167</v>
      </c>
      <c r="X9" s="62">
        <v>16.287679587435083</v>
      </c>
      <c r="Y9" s="66">
        <v>111.64518544360109</v>
      </c>
      <c r="Z9" s="66">
        <v>61.963084486284714</v>
      </c>
      <c r="AA9" s="67">
        <v>0</v>
      </c>
      <c r="AB9" s="68">
        <v>56.552728173467564</v>
      </c>
      <c r="AC9" s="69">
        <v>0</v>
      </c>
      <c r="AD9" s="410">
        <v>8.4387694192866824</v>
      </c>
      <c r="AE9" s="410">
        <v>4.4680094197898494</v>
      </c>
      <c r="AF9" s="69">
        <v>12.281836134195316</v>
      </c>
      <c r="AG9" s="68">
        <v>7.7561165181188878</v>
      </c>
      <c r="AH9" s="68">
        <v>4.3046451236398937</v>
      </c>
      <c r="AI9" s="68">
        <v>0.64308679240159816</v>
      </c>
      <c r="AJ9" s="69">
        <v>333.08051826159152</v>
      </c>
      <c r="AK9" s="69">
        <v>1132.7811633427937</v>
      </c>
      <c r="AL9" s="69">
        <v>2950.7117280324301</v>
      </c>
      <c r="AM9" s="69">
        <v>607.85899063746137</v>
      </c>
      <c r="AN9" s="69">
        <v>4553.205944569906</v>
      </c>
      <c r="AO9" s="69">
        <v>2763.2268463134765</v>
      </c>
      <c r="AP9" s="69">
        <v>740.60214133262639</v>
      </c>
      <c r="AQ9" s="69">
        <v>1837.8242719014488</v>
      </c>
      <c r="AR9" s="69">
        <v>341.41606960296639</v>
      </c>
      <c r="AS9" s="69">
        <v>550.55691652297969</v>
      </c>
    </row>
    <row r="10" spans="1:49" x14ac:dyDescent="0.25">
      <c r="A10" s="11">
        <v>43103</v>
      </c>
      <c r="B10" s="59"/>
      <c r="C10" s="60">
        <v>55.619917857647039</v>
      </c>
      <c r="D10" s="60">
        <v>758.24708878199215</v>
      </c>
      <c r="E10" s="60">
        <v>15.947674702604566</v>
      </c>
      <c r="F10" s="60">
        <v>0</v>
      </c>
      <c r="G10" s="60">
        <v>2081.5101943969707</v>
      </c>
      <c r="H10" s="61">
        <v>28.500907307863304</v>
      </c>
      <c r="I10" s="59">
        <v>109.76617173353826</v>
      </c>
      <c r="J10" s="60">
        <v>313.13366619745909</v>
      </c>
      <c r="K10" s="60">
        <v>17.190141133964062</v>
      </c>
      <c r="L10" s="60">
        <v>0</v>
      </c>
      <c r="M10" s="50">
        <v>0</v>
      </c>
      <c r="N10" s="61">
        <v>0</v>
      </c>
      <c r="O10" s="49">
        <v>0</v>
      </c>
      <c r="P10" s="50">
        <v>0</v>
      </c>
      <c r="Q10" s="50">
        <v>0</v>
      </c>
      <c r="R10" s="50">
        <v>0</v>
      </c>
      <c r="S10" s="60">
        <v>0</v>
      </c>
      <c r="T10" s="64">
        <v>0</v>
      </c>
      <c r="U10" s="65">
        <v>267.72978374357126</v>
      </c>
      <c r="V10" s="62">
        <v>150.57381461797482</v>
      </c>
      <c r="W10" s="62">
        <v>29.981834778757918</v>
      </c>
      <c r="X10" s="62">
        <v>16.86207327686547</v>
      </c>
      <c r="Y10" s="66">
        <v>117.08127675210058</v>
      </c>
      <c r="Z10" s="66">
        <v>65.847640163157294</v>
      </c>
      <c r="AA10" s="67">
        <v>0</v>
      </c>
      <c r="AB10" s="68">
        <v>56.727159775628301</v>
      </c>
      <c r="AC10" s="69">
        <v>0</v>
      </c>
      <c r="AD10" s="410">
        <v>8.4372635182365361</v>
      </c>
      <c r="AE10" s="410">
        <v>4.4583534145616852</v>
      </c>
      <c r="AF10" s="69">
        <v>12.586339919434666</v>
      </c>
      <c r="AG10" s="68">
        <v>7.9132485579812011</v>
      </c>
      <c r="AH10" s="68">
        <v>4.4504873710152877</v>
      </c>
      <c r="AI10" s="68">
        <v>0.64003700850827583</v>
      </c>
      <c r="AJ10" s="69">
        <v>316.22173736890153</v>
      </c>
      <c r="AK10" s="69">
        <v>1083.245744641622</v>
      </c>
      <c r="AL10" s="69">
        <v>2956.736450449625</v>
      </c>
      <c r="AM10" s="69">
        <v>603.25447546641044</v>
      </c>
      <c r="AN10" s="69">
        <v>4401.5612477620434</v>
      </c>
      <c r="AO10" s="69">
        <v>2698.7473201751709</v>
      </c>
      <c r="AP10" s="69">
        <v>590.37536044120793</v>
      </c>
      <c r="AQ10" s="69">
        <v>1823.7918343861897</v>
      </c>
      <c r="AR10" s="69">
        <v>338.34380351702373</v>
      </c>
      <c r="AS10" s="69">
        <v>580.84053449630744</v>
      </c>
    </row>
    <row r="11" spans="1:49" x14ac:dyDescent="0.25">
      <c r="A11" s="11">
        <v>43104</v>
      </c>
      <c r="B11" s="59"/>
      <c r="C11" s="60">
        <v>55.054746456940912</v>
      </c>
      <c r="D11" s="60">
        <v>731.96908057530709</v>
      </c>
      <c r="E11" s="60">
        <v>16.011698918541246</v>
      </c>
      <c r="F11" s="60">
        <v>0</v>
      </c>
      <c r="G11" s="60">
        <v>1940.4483673095676</v>
      </c>
      <c r="H11" s="61">
        <v>28.605423452456829</v>
      </c>
      <c r="I11" s="59">
        <v>109.62902446190516</v>
      </c>
      <c r="J11" s="60">
        <v>313.19868931770344</v>
      </c>
      <c r="K11" s="60">
        <v>17.037781002620854</v>
      </c>
      <c r="L11" s="60">
        <v>0</v>
      </c>
      <c r="M11" s="50">
        <v>0</v>
      </c>
      <c r="N11" s="61">
        <v>0</v>
      </c>
      <c r="O11" s="49">
        <v>0</v>
      </c>
      <c r="P11" s="50">
        <v>0</v>
      </c>
      <c r="Q11" s="50">
        <v>0</v>
      </c>
      <c r="R11" s="50">
        <v>0</v>
      </c>
      <c r="S11" s="60">
        <v>0</v>
      </c>
      <c r="T11" s="64">
        <v>0</v>
      </c>
      <c r="U11" s="65">
        <v>270.64228668584531</v>
      </c>
      <c r="V11" s="62">
        <v>152.22779163412719</v>
      </c>
      <c r="W11" s="62">
        <v>30.918006142691187</v>
      </c>
      <c r="X11" s="62">
        <v>17.390408034408669</v>
      </c>
      <c r="Y11" s="66">
        <v>116.69867021345507</v>
      </c>
      <c r="Z11" s="66">
        <v>65.639339183733938</v>
      </c>
      <c r="AA11" s="67">
        <v>0</v>
      </c>
      <c r="AB11" s="68">
        <v>56.653943358528231</v>
      </c>
      <c r="AC11" s="69">
        <v>0</v>
      </c>
      <c r="AD11" s="410">
        <v>8.4413531634360215</v>
      </c>
      <c r="AE11" s="410">
        <v>4.4589731757179134</v>
      </c>
      <c r="AF11" s="69">
        <v>12.725826731655348</v>
      </c>
      <c r="AG11" s="68">
        <v>8.0007476956436072</v>
      </c>
      <c r="AH11" s="68">
        <v>4.5001694600053668</v>
      </c>
      <c r="AI11" s="68">
        <v>0.64001285633895999</v>
      </c>
      <c r="AJ11" s="69">
        <v>310.72469005584719</v>
      </c>
      <c r="AK11" s="69">
        <v>1053.7515342712402</v>
      </c>
      <c r="AL11" s="69">
        <v>2930.5801403045643</v>
      </c>
      <c r="AM11" s="69">
        <v>567.47377303441363</v>
      </c>
      <c r="AN11" s="69">
        <v>4464.2349985758465</v>
      </c>
      <c r="AO11" s="69">
        <v>2664.0626005808513</v>
      </c>
      <c r="AP11" s="69">
        <v>563.60840253829963</v>
      </c>
      <c r="AQ11" s="69">
        <v>1834.947930908203</v>
      </c>
      <c r="AR11" s="69">
        <v>340.53706296284992</v>
      </c>
      <c r="AS11" s="69">
        <v>544.44076242446909</v>
      </c>
    </row>
    <row r="12" spans="1:49" x14ac:dyDescent="0.25">
      <c r="A12" s="11">
        <v>43105</v>
      </c>
      <c r="B12" s="59"/>
      <c r="C12" s="60">
        <v>55.459074693918424</v>
      </c>
      <c r="D12" s="60">
        <v>729.67536083857158</v>
      </c>
      <c r="E12" s="60">
        <v>15.841781551142553</v>
      </c>
      <c r="F12" s="60">
        <v>0</v>
      </c>
      <c r="G12" s="60">
        <v>1896.8402440388945</v>
      </c>
      <c r="H12" s="61">
        <v>28.471354454755815</v>
      </c>
      <c r="I12" s="59">
        <v>112.49556420644132</v>
      </c>
      <c r="J12" s="60">
        <v>320.23664747873943</v>
      </c>
      <c r="K12" s="60">
        <v>17.509978632132189</v>
      </c>
      <c r="L12" s="60">
        <v>0</v>
      </c>
      <c r="M12" s="50">
        <v>0</v>
      </c>
      <c r="N12" s="61">
        <v>0</v>
      </c>
      <c r="O12" s="49">
        <v>0</v>
      </c>
      <c r="P12" s="50">
        <v>0</v>
      </c>
      <c r="Q12" s="50">
        <v>0</v>
      </c>
      <c r="R12" s="50">
        <v>0</v>
      </c>
      <c r="S12" s="60">
        <v>0</v>
      </c>
      <c r="T12" s="64">
        <v>0</v>
      </c>
      <c r="U12" s="65">
        <v>270.66686084001742</v>
      </c>
      <c r="V12" s="62">
        <v>152.23940143059247</v>
      </c>
      <c r="W12" s="62">
        <v>30.904895268337778</v>
      </c>
      <c r="X12" s="62">
        <v>17.382780966702217</v>
      </c>
      <c r="Y12" s="66">
        <v>119.04143757190876</v>
      </c>
      <c r="Z12" s="66">
        <v>66.956099262171747</v>
      </c>
      <c r="AA12" s="67">
        <v>0</v>
      </c>
      <c r="AB12" s="68">
        <v>57.645405488544377</v>
      </c>
      <c r="AC12" s="69">
        <v>0</v>
      </c>
      <c r="AD12" s="410">
        <v>8.6295507843493588</v>
      </c>
      <c r="AE12" s="410">
        <v>4.4607277277077362</v>
      </c>
      <c r="AF12" s="69">
        <v>12.720031748215332</v>
      </c>
      <c r="AG12" s="68">
        <v>8.0008437624838535</v>
      </c>
      <c r="AH12" s="68">
        <v>4.5001580967837</v>
      </c>
      <c r="AI12" s="68">
        <v>0.64001620450543883</v>
      </c>
      <c r="AJ12" s="69">
        <v>305.63498551050816</v>
      </c>
      <c r="AK12" s="69">
        <v>1042.4348400115969</v>
      </c>
      <c r="AL12" s="69">
        <v>2937.2623903910312</v>
      </c>
      <c r="AM12" s="69">
        <v>598.05744663874316</v>
      </c>
      <c r="AN12" s="69">
        <v>4441.3799107869472</v>
      </c>
      <c r="AO12" s="69">
        <v>2612.0497366587315</v>
      </c>
      <c r="AP12" s="69">
        <v>549.30077274640416</v>
      </c>
      <c r="AQ12" s="69">
        <v>1833.6977539062502</v>
      </c>
      <c r="AR12" s="69">
        <v>340.38090872764587</v>
      </c>
      <c r="AS12" s="69">
        <v>542.66966489156084</v>
      </c>
    </row>
    <row r="13" spans="1:49" x14ac:dyDescent="0.25">
      <c r="A13" s="11">
        <v>43106</v>
      </c>
      <c r="B13" s="59"/>
      <c r="C13" s="60">
        <v>54.932427452008199</v>
      </c>
      <c r="D13" s="60">
        <v>729.79177471796515</v>
      </c>
      <c r="E13" s="60">
        <v>15.588713217775018</v>
      </c>
      <c r="F13" s="60">
        <v>0</v>
      </c>
      <c r="G13" s="60">
        <v>1896.9147230784047</v>
      </c>
      <c r="H13" s="61">
        <v>28.608402111132953</v>
      </c>
      <c r="I13" s="59">
        <v>109.95344406763704</v>
      </c>
      <c r="J13" s="60">
        <v>312.89061628977481</v>
      </c>
      <c r="K13" s="60">
        <v>17.129264796773612</v>
      </c>
      <c r="L13" s="60">
        <v>0</v>
      </c>
      <c r="M13" s="50">
        <v>0</v>
      </c>
      <c r="N13" s="61">
        <v>0</v>
      </c>
      <c r="O13" s="49">
        <v>0</v>
      </c>
      <c r="P13" s="50">
        <v>0</v>
      </c>
      <c r="Q13" s="50">
        <v>0</v>
      </c>
      <c r="R13" s="50">
        <v>0</v>
      </c>
      <c r="S13" s="60">
        <v>0</v>
      </c>
      <c r="T13" s="64">
        <v>0</v>
      </c>
      <c r="U13" s="65">
        <v>268.36155155714079</v>
      </c>
      <c r="V13" s="62">
        <v>150.97250076185574</v>
      </c>
      <c r="W13" s="62">
        <v>31.574401826949668</v>
      </c>
      <c r="X13" s="62">
        <v>17.762851556845746</v>
      </c>
      <c r="Y13" s="66">
        <v>123.70891384302709</v>
      </c>
      <c r="Z13" s="66">
        <v>69.595081639099988</v>
      </c>
      <c r="AA13" s="67">
        <v>0</v>
      </c>
      <c r="AB13" s="68">
        <v>56.549234265751359</v>
      </c>
      <c r="AC13" s="69">
        <v>0</v>
      </c>
      <c r="AD13" s="410">
        <v>8.4340855492186275</v>
      </c>
      <c r="AE13" s="410">
        <v>4.4626599129853224</v>
      </c>
      <c r="AF13" s="69">
        <v>12.591375520494255</v>
      </c>
      <c r="AG13" s="68">
        <v>7.9211257322968596</v>
      </c>
      <c r="AH13" s="68">
        <v>4.456197818633167</v>
      </c>
      <c r="AI13" s="68">
        <v>0.63997080626543612</v>
      </c>
      <c r="AJ13" s="69">
        <v>299.53289182980853</v>
      </c>
      <c r="AK13" s="69">
        <v>1026.2086137135823</v>
      </c>
      <c r="AL13" s="69">
        <v>3082.3320208231612</v>
      </c>
      <c r="AM13" s="69">
        <v>602.84010362625111</v>
      </c>
      <c r="AN13" s="69">
        <v>4722.6962046305343</v>
      </c>
      <c r="AO13" s="69">
        <v>2530.4882733662926</v>
      </c>
      <c r="AP13" s="69">
        <v>526.79516296386726</v>
      </c>
      <c r="AQ13" s="69">
        <v>1842.5875915527347</v>
      </c>
      <c r="AR13" s="69">
        <v>343.76777954101556</v>
      </c>
      <c r="AS13" s="69">
        <v>512.03802309036257</v>
      </c>
    </row>
    <row r="14" spans="1:49" x14ac:dyDescent="0.25">
      <c r="A14" s="11">
        <v>43107</v>
      </c>
      <c r="B14" s="59"/>
      <c r="C14" s="60">
        <v>55.101615464687228</v>
      </c>
      <c r="D14" s="60">
        <v>751.70152149200385</v>
      </c>
      <c r="E14" s="60">
        <v>15.579258261124268</v>
      </c>
      <c r="F14" s="60">
        <v>0</v>
      </c>
      <c r="G14" s="60">
        <v>1969.649997711168</v>
      </c>
      <c r="H14" s="61">
        <v>28.665351078907658</v>
      </c>
      <c r="I14" s="59">
        <v>110.21498545010871</v>
      </c>
      <c r="J14" s="60">
        <v>314.04498888651523</v>
      </c>
      <c r="K14" s="60">
        <v>17.411817234754587</v>
      </c>
      <c r="L14" s="60">
        <v>0</v>
      </c>
      <c r="M14" s="50">
        <v>0</v>
      </c>
      <c r="N14" s="61">
        <v>0</v>
      </c>
      <c r="O14" s="49">
        <v>0</v>
      </c>
      <c r="P14" s="50">
        <v>0</v>
      </c>
      <c r="Q14" s="50">
        <v>0</v>
      </c>
      <c r="R14" s="50">
        <v>0</v>
      </c>
      <c r="S14" s="60">
        <v>0</v>
      </c>
      <c r="T14" s="64">
        <v>0</v>
      </c>
      <c r="U14" s="65">
        <v>263.51634745735464</v>
      </c>
      <c r="V14" s="62">
        <v>148.16700382624785</v>
      </c>
      <c r="W14" s="62">
        <v>30.432929129082495</v>
      </c>
      <c r="X14" s="62">
        <v>17.111484620294462</v>
      </c>
      <c r="Y14" s="66">
        <v>122.87397201061795</v>
      </c>
      <c r="Z14" s="66">
        <v>69.088193035120113</v>
      </c>
      <c r="AA14" s="67">
        <v>0</v>
      </c>
      <c r="AB14" s="68">
        <v>56.774189220534623</v>
      </c>
      <c r="AC14" s="69">
        <v>0</v>
      </c>
      <c r="AD14" s="410">
        <v>8.4605455448245195</v>
      </c>
      <c r="AE14" s="410">
        <v>4.4670121162891911</v>
      </c>
      <c r="AF14" s="69">
        <v>12.357301756408475</v>
      </c>
      <c r="AG14" s="68">
        <v>7.7901879701049488</v>
      </c>
      <c r="AH14" s="68">
        <v>4.3801791498363274</v>
      </c>
      <c r="AI14" s="68">
        <v>0.64009473940524297</v>
      </c>
      <c r="AJ14" s="69">
        <v>296.86094520886741</v>
      </c>
      <c r="AK14" s="69">
        <v>1004.6659756342569</v>
      </c>
      <c r="AL14" s="69">
        <v>2925.2978902180989</v>
      </c>
      <c r="AM14" s="69">
        <v>578.1480677604676</v>
      </c>
      <c r="AN14" s="69">
        <v>4597.2163976033535</v>
      </c>
      <c r="AO14" s="69">
        <v>2537.2792494455975</v>
      </c>
      <c r="AP14" s="69">
        <v>559.20588335990897</v>
      </c>
      <c r="AQ14" s="69">
        <v>1858.9934076944985</v>
      </c>
      <c r="AR14" s="69">
        <v>338.96401475270585</v>
      </c>
      <c r="AS14" s="69">
        <v>507.32746591567997</v>
      </c>
    </row>
    <row r="15" spans="1:49" x14ac:dyDescent="0.25">
      <c r="A15" s="11">
        <v>43108</v>
      </c>
      <c r="B15" s="59"/>
      <c r="C15" s="60">
        <v>55.117598682642203</v>
      </c>
      <c r="D15" s="60">
        <v>753.71927579243902</v>
      </c>
      <c r="E15" s="60">
        <v>15.578900064527996</v>
      </c>
      <c r="F15" s="60">
        <v>0</v>
      </c>
      <c r="G15" s="60">
        <v>2035.0674451192149</v>
      </c>
      <c r="H15" s="61">
        <v>28.464933659633065</v>
      </c>
      <c r="I15" s="59">
        <v>110.74731073379516</v>
      </c>
      <c r="J15" s="60">
        <v>309.3287904580431</v>
      </c>
      <c r="K15" s="60">
        <v>17.03327040125928</v>
      </c>
      <c r="L15" s="60">
        <v>0</v>
      </c>
      <c r="M15" s="50">
        <v>0</v>
      </c>
      <c r="N15" s="61">
        <v>0</v>
      </c>
      <c r="O15" s="49">
        <v>0</v>
      </c>
      <c r="P15" s="50">
        <v>0</v>
      </c>
      <c r="Q15" s="50">
        <v>0</v>
      </c>
      <c r="R15" s="50">
        <v>0</v>
      </c>
      <c r="S15" s="60">
        <v>0</v>
      </c>
      <c r="T15" s="64">
        <v>0</v>
      </c>
      <c r="U15" s="65">
        <v>266.50879156088746</v>
      </c>
      <c r="V15" s="62">
        <v>149.86649752958672</v>
      </c>
      <c r="W15" s="62">
        <v>31.139954398275904</v>
      </c>
      <c r="X15" s="62">
        <v>17.511001688041716</v>
      </c>
      <c r="Y15" s="66">
        <v>122.43479045501479</v>
      </c>
      <c r="Z15" s="66">
        <v>68.849035387524538</v>
      </c>
      <c r="AA15" s="67">
        <v>0</v>
      </c>
      <c r="AB15" s="68">
        <v>55.948884065945535</v>
      </c>
      <c r="AC15" s="69">
        <v>0</v>
      </c>
      <c r="AD15" s="410">
        <v>8.3363152752525842</v>
      </c>
      <c r="AE15" s="410">
        <v>4.4618138450376206</v>
      </c>
      <c r="AF15" s="69">
        <v>12.443512166208707</v>
      </c>
      <c r="AG15" s="68">
        <v>7.8839117252634834</v>
      </c>
      <c r="AH15" s="68">
        <v>4.433378089246796</v>
      </c>
      <c r="AI15" s="68">
        <v>0.64006870374811742</v>
      </c>
      <c r="AJ15" s="69">
        <v>302.35533331235251</v>
      </c>
      <c r="AK15" s="69">
        <v>1028.9527828216551</v>
      </c>
      <c r="AL15" s="69">
        <v>2916.319408416748</v>
      </c>
      <c r="AM15" s="69">
        <v>634.61240040461234</v>
      </c>
      <c r="AN15" s="69">
        <v>4547.3957158406583</v>
      </c>
      <c r="AO15" s="69">
        <v>2585.8070092519129</v>
      </c>
      <c r="AP15" s="69">
        <v>543.6673362890881</v>
      </c>
      <c r="AQ15" s="69">
        <v>1843.7753082275394</v>
      </c>
      <c r="AR15" s="69">
        <v>336.56754466692604</v>
      </c>
      <c r="AS15" s="69">
        <v>544.19860041936249</v>
      </c>
    </row>
    <row r="16" spans="1:49" x14ac:dyDescent="0.25">
      <c r="A16" s="11">
        <v>43109</v>
      </c>
      <c r="B16" s="59"/>
      <c r="C16" s="60">
        <v>55.28303870360066</v>
      </c>
      <c r="D16" s="60">
        <v>753.12090225219617</v>
      </c>
      <c r="E16" s="60">
        <v>15.613920187453438</v>
      </c>
      <c r="F16" s="60">
        <v>0</v>
      </c>
      <c r="G16" s="60">
        <v>2035.3206840515138</v>
      </c>
      <c r="H16" s="61">
        <v>28.63303274710978</v>
      </c>
      <c r="I16" s="59">
        <v>114.32638897895804</v>
      </c>
      <c r="J16" s="60">
        <v>309.78137149810811</v>
      </c>
      <c r="K16" s="60">
        <v>16.954986626903224</v>
      </c>
      <c r="L16" s="60">
        <v>0</v>
      </c>
      <c r="M16" s="50">
        <v>0</v>
      </c>
      <c r="N16" s="61">
        <v>0</v>
      </c>
      <c r="O16" s="49">
        <v>0</v>
      </c>
      <c r="P16" s="50">
        <v>0</v>
      </c>
      <c r="Q16" s="50">
        <v>0</v>
      </c>
      <c r="R16" s="50">
        <v>0</v>
      </c>
      <c r="S16" s="60">
        <v>0</v>
      </c>
      <c r="T16" s="64">
        <v>0</v>
      </c>
      <c r="U16" s="65">
        <v>267.36918494829229</v>
      </c>
      <c r="V16" s="62">
        <v>150.38192201327379</v>
      </c>
      <c r="W16" s="62">
        <v>31.254683405241444</v>
      </c>
      <c r="X16" s="62">
        <v>17.5792111694007</v>
      </c>
      <c r="Y16" s="66">
        <v>122.7442502217865</v>
      </c>
      <c r="Z16" s="66">
        <v>69.037560435396614</v>
      </c>
      <c r="AA16" s="67">
        <v>0</v>
      </c>
      <c r="AB16" s="68">
        <v>56.071584359803651</v>
      </c>
      <c r="AC16" s="69">
        <v>0</v>
      </c>
      <c r="AD16" s="410">
        <v>8.3490586789993291</v>
      </c>
      <c r="AE16" s="410">
        <v>4.462569621135918</v>
      </c>
      <c r="AF16" s="69">
        <v>12.633786242538052</v>
      </c>
      <c r="AG16" s="68">
        <v>8.0017161561445391</v>
      </c>
      <c r="AH16" s="68">
        <v>4.5005689612226458</v>
      </c>
      <c r="AI16" s="68">
        <v>0.64002029077301947</v>
      </c>
      <c r="AJ16" s="69">
        <v>284.50319884618125</v>
      </c>
      <c r="AK16" s="69">
        <v>980.40126813252778</v>
      </c>
      <c r="AL16" s="69">
        <v>2908.3711709340409</v>
      </c>
      <c r="AM16" s="69">
        <v>588.4973194440206</v>
      </c>
      <c r="AN16" s="69">
        <v>4546.995913441976</v>
      </c>
      <c r="AO16" s="69">
        <v>2503.2854769388832</v>
      </c>
      <c r="AP16" s="69">
        <v>511.05744825998943</v>
      </c>
      <c r="AQ16" s="69">
        <v>1837.8470995585124</v>
      </c>
      <c r="AR16" s="69">
        <v>336.13564534187321</v>
      </c>
      <c r="AS16" s="69">
        <v>577.84376427332552</v>
      </c>
    </row>
    <row r="17" spans="1:45" x14ac:dyDescent="0.25">
      <c r="A17" s="11">
        <v>43110</v>
      </c>
      <c r="B17" s="49"/>
      <c r="C17" s="50">
        <v>54.832547632853242</v>
      </c>
      <c r="D17" s="50">
        <v>752.34904022216756</v>
      </c>
      <c r="E17" s="50">
        <v>15.624584093193221</v>
      </c>
      <c r="F17" s="50">
        <v>0</v>
      </c>
      <c r="G17" s="50">
        <v>2035.4628089904752</v>
      </c>
      <c r="H17" s="51">
        <v>28.454642011722015</v>
      </c>
      <c r="I17" s="49">
        <v>114.12169317404417</v>
      </c>
      <c r="J17" s="50">
        <v>309.30250829060896</v>
      </c>
      <c r="K17" s="50">
        <v>16.945703265567612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50">
        <v>0</v>
      </c>
      <c r="S17" s="50">
        <v>0</v>
      </c>
      <c r="T17" s="52">
        <v>0</v>
      </c>
      <c r="U17" s="71">
        <v>264.5315981587438</v>
      </c>
      <c r="V17" s="66">
        <v>148.78655198011433</v>
      </c>
      <c r="W17" s="62">
        <v>30.521045464524548</v>
      </c>
      <c r="X17" s="62">
        <v>17.166649085036013</v>
      </c>
      <c r="Y17" s="66">
        <v>122.48288937935891</v>
      </c>
      <c r="Z17" s="66">
        <v>68.890850522819505</v>
      </c>
      <c r="AA17" s="67">
        <v>0</v>
      </c>
      <c r="AB17" s="68">
        <v>56.107871564228866</v>
      </c>
      <c r="AC17" s="69">
        <v>0</v>
      </c>
      <c r="AD17" s="410">
        <v>8.3371104285762989</v>
      </c>
      <c r="AE17" s="410">
        <v>4.4582642273779642</v>
      </c>
      <c r="AF17" s="69">
        <v>12.508361395531201</v>
      </c>
      <c r="AG17" s="68">
        <v>7.9214198824096576</v>
      </c>
      <c r="AH17" s="68">
        <v>4.4554252092908184</v>
      </c>
      <c r="AI17" s="68">
        <v>0.64001931216877828</v>
      </c>
      <c r="AJ17" s="69">
        <v>289.85612324078875</v>
      </c>
      <c r="AK17" s="69">
        <v>981.62303473154714</v>
      </c>
      <c r="AL17" s="69">
        <v>2964.7379952748615</v>
      </c>
      <c r="AM17" s="69">
        <v>626.11232118606563</v>
      </c>
      <c r="AN17" s="69">
        <v>4653.9112467447922</v>
      </c>
      <c r="AO17" s="69">
        <v>2497.0289419809978</v>
      </c>
      <c r="AP17" s="69">
        <v>526.60537662506101</v>
      </c>
      <c r="AQ17" s="69">
        <v>1828.9587405522664</v>
      </c>
      <c r="AR17" s="69">
        <v>323.59749387105308</v>
      </c>
      <c r="AS17" s="69">
        <v>574.56637973785405</v>
      </c>
    </row>
    <row r="18" spans="1:45" x14ac:dyDescent="0.25">
      <c r="A18" s="11">
        <v>43111</v>
      </c>
      <c r="B18" s="59"/>
      <c r="C18" s="60">
        <v>54.787604228655589</v>
      </c>
      <c r="D18" s="60">
        <v>751.66811618804923</v>
      </c>
      <c r="E18" s="60">
        <v>15.439504265785214</v>
      </c>
      <c r="F18" s="60">
        <v>0</v>
      </c>
      <c r="G18" s="60">
        <v>2035.1847610473517</v>
      </c>
      <c r="H18" s="61">
        <v>28.242470854520846</v>
      </c>
      <c r="I18" s="59">
        <v>114.78590261141446</v>
      </c>
      <c r="J18" s="60">
        <v>311.45368723869342</v>
      </c>
      <c r="K18" s="60">
        <v>17.11961399763824</v>
      </c>
      <c r="L18" s="60">
        <v>0</v>
      </c>
      <c r="M18" s="60">
        <v>0</v>
      </c>
      <c r="N18" s="61">
        <v>0</v>
      </c>
      <c r="O18" s="49">
        <v>0</v>
      </c>
      <c r="P18" s="50">
        <v>0</v>
      </c>
      <c r="Q18" s="50">
        <v>0</v>
      </c>
      <c r="R18" s="50">
        <v>0</v>
      </c>
      <c r="S18" s="60">
        <v>0</v>
      </c>
      <c r="T18" s="64">
        <v>0</v>
      </c>
      <c r="U18" s="65">
        <v>262.73639023400278</v>
      </c>
      <c r="V18" s="62">
        <v>147.7845045795379</v>
      </c>
      <c r="W18" s="62">
        <v>29.949495642729421</v>
      </c>
      <c r="X18" s="62">
        <v>16.846053841364618</v>
      </c>
      <c r="Y18" s="66">
        <v>121.01303039020077</v>
      </c>
      <c r="Z18" s="66">
        <v>68.067657959205278</v>
      </c>
      <c r="AA18" s="67">
        <v>0</v>
      </c>
      <c r="AB18" s="68">
        <v>56.613200638028552</v>
      </c>
      <c r="AC18" s="69">
        <v>0</v>
      </c>
      <c r="AD18" s="410">
        <v>8.3921993055161153</v>
      </c>
      <c r="AE18" s="410">
        <v>4.4538596180189849</v>
      </c>
      <c r="AF18" s="69">
        <v>12.439046368334042</v>
      </c>
      <c r="AG18" s="68">
        <v>7.8748492297561494</v>
      </c>
      <c r="AH18" s="68">
        <v>4.4294613738948057</v>
      </c>
      <c r="AI18" s="68">
        <v>0.64000735054749924</v>
      </c>
      <c r="AJ18" s="69">
        <v>316.45662511189772</v>
      </c>
      <c r="AK18" s="69">
        <v>1066.6546726862589</v>
      </c>
      <c r="AL18" s="69">
        <v>2924.737660980225</v>
      </c>
      <c r="AM18" s="69">
        <v>602.82288468678792</v>
      </c>
      <c r="AN18" s="69">
        <v>4865.0768826802569</v>
      </c>
      <c r="AO18" s="69">
        <v>2680.5052120208738</v>
      </c>
      <c r="AP18" s="69">
        <v>612.29789409637442</v>
      </c>
      <c r="AQ18" s="69">
        <v>1829.6268210093183</v>
      </c>
      <c r="AR18" s="69">
        <v>331.97387015024816</v>
      </c>
      <c r="AS18" s="69">
        <v>570.36823266347244</v>
      </c>
    </row>
    <row r="19" spans="1:45" x14ac:dyDescent="0.25">
      <c r="A19" s="11">
        <v>43112</v>
      </c>
      <c r="B19" s="59"/>
      <c r="C19" s="60">
        <v>55.139677127202354</v>
      </c>
      <c r="D19" s="60">
        <v>748.68208961486789</v>
      </c>
      <c r="E19" s="60">
        <v>15.682380020618428</v>
      </c>
      <c r="F19" s="60">
        <v>0</v>
      </c>
      <c r="G19" s="60">
        <v>2035.7818575541085</v>
      </c>
      <c r="H19" s="61">
        <v>28.616410257419005</v>
      </c>
      <c r="I19" s="59">
        <v>113.36408243179321</v>
      </c>
      <c r="J19" s="60">
        <v>308.76054859161388</v>
      </c>
      <c r="K19" s="60">
        <v>16.99980025738477</v>
      </c>
      <c r="L19" s="60">
        <v>0</v>
      </c>
      <c r="M19" s="60">
        <v>0</v>
      </c>
      <c r="N19" s="61">
        <v>0</v>
      </c>
      <c r="O19" s="49">
        <v>0</v>
      </c>
      <c r="P19" s="50">
        <v>0</v>
      </c>
      <c r="Q19" s="50">
        <v>0</v>
      </c>
      <c r="R19" s="50">
        <v>0</v>
      </c>
      <c r="S19" s="60">
        <v>0</v>
      </c>
      <c r="T19" s="64">
        <v>0</v>
      </c>
      <c r="U19" s="65">
        <v>247.76242362445177</v>
      </c>
      <c r="V19" s="62">
        <v>137.36260918194498</v>
      </c>
      <c r="W19" s="62">
        <v>27.510003422632291</v>
      </c>
      <c r="X19" s="62">
        <v>15.251892492240186</v>
      </c>
      <c r="Y19" s="66">
        <v>110.76821970299201</v>
      </c>
      <c r="Z19" s="66">
        <v>61.411296556837101</v>
      </c>
      <c r="AA19" s="67">
        <v>0</v>
      </c>
      <c r="AB19" s="68">
        <v>55.963122905625283</v>
      </c>
      <c r="AC19" s="69">
        <v>0</v>
      </c>
      <c r="AD19" s="410">
        <v>8.3286856000703509</v>
      </c>
      <c r="AE19" s="410">
        <v>4.4664399087387547</v>
      </c>
      <c r="AF19" s="69">
        <v>11.452062244547754</v>
      </c>
      <c r="AG19" s="68">
        <v>7.2710184763949437</v>
      </c>
      <c r="AH19" s="68">
        <v>4.0311442498707093</v>
      </c>
      <c r="AI19" s="68">
        <v>0.64332983451896908</v>
      </c>
      <c r="AJ19" s="69">
        <v>316.08024581273389</v>
      </c>
      <c r="AK19" s="69">
        <v>1075.8046475728352</v>
      </c>
      <c r="AL19" s="69">
        <v>2910.9631614685063</v>
      </c>
      <c r="AM19" s="69">
        <v>583.50930080413821</v>
      </c>
      <c r="AN19" s="69">
        <v>4806.2878036499023</v>
      </c>
      <c r="AO19" s="69">
        <v>2725.3051623026527</v>
      </c>
      <c r="AP19" s="69">
        <v>546.05695729255672</v>
      </c>
      <c r="AQ19" s="69">
        <v>1875.7469228744508</v>
      </c>
      <c r="AR19" s="69">
        <v>330.43390970230098</v>
      </c>
      <c r="AS19" s="69">
        <v>541.81952886581416</v>
      </c>
    </row>
    <row r="20" spans="1:45" x14ac:dyDescent="0.25">
      <c r="A20" s="11">
        <v>43113</v>
      </c>
      <c r="B20" s="59"/>
      <c r="C20" s="60">
        <v>55.05406543215102</v>
      </c>
      <c r="D20" s="60">
        <v>739.97643836339205</v>
      </c>
      <c r="E20" s="60">
        <v>15.747430961330712</v>
      </c>
      <c r="F20" s="60">
        <v>0</v>
      </c>
      <c r="G20" s="60">
        <v>1977.2756165822284</v>
      </c>
      <c r="H20" s="61">
        <v>28.494825325409636</v>
      </c>
      <c r="I20" s="59">
        <v>113.68233944177618</v>
      </c>
      <c r="J20" s="60">
        <v>309.33332702318825</v>
      </c>
      <c r="K20" s="60">
        <v>17.031552799046025</v>
      </c>
      <c r="L20" s="60">
        <v>0</v>
      </c>
      <c r="M20" s="60">
        <v>0</v>
      </c>
      <c r="N20" s="61">
        <v>0</v>
      </c>
      <c r="O20" s="49">
        <v>0</v>
      </c>
      <c r="P20" s="50">
        <v>0</v>
      </c>
      <c r="Q20" s="50">
        <v>0</v>
      </c>
      <c r="R20" s="50">
        <v>0</v>
      </c>
      <c r="S20" s="60">
        <v>0</v>
      </c>
      <c r="T20" s="64">
        <v>0</v>
      </c>
      <c r="U20" s="65">
        <v>259.48157427427032</v>
      </c>
      <c r="V20" s="62">
        <v>145.87153035948083</v>
      </c>
      <c r="W20" s="62">
        <v>30.312724232331355</v>
      </c>
      <c r="X20" s="62">
        <v>17.040760930721497</v>
      </c>
      <c r="Y20" s="66">
        <v>118.73541102914962</v>
      </c>
      <c r="Z20" s="66">
        <v>66.74892490199241</v>
      </c>
      <c r="AA20" s="67">
        <v>0</v>
      </c>
      <c r="AB20" s="68">
        <v>56.162981128692962</v>
      </c>
      <c r="AC20" s="69">
        <v>0</v>
      </c>
      <c r="AD20" s="410">
        <v>8.3365715277226311</v>
      </c>
      <c r="AE20" s="410">
        <v>4.4536574896969352</v>
      </c>
      <c r="AF20" s="69">
        <v>12.288923499981552</v>
      </c>
      <c r="AG20" s="68">
        <v>7.7861095990052105</v>
      </c>
      <c r="AH20" s="68">
        <v>4.3770804379082042</v>
      </c>
      <c r="AI20" s="68">
        <v>0.64013713305272402</v>
      </c>
      <c r="AJ20" s="69">
        <v>314.27631174723297</v>
      </c>
      <c r="AK20" s="69">
        <v>1065.637036005656</v>
      </c>
      <c r="AL20" s="69">
        <v>2951.3288553873695</v>
      </c>
      <c r="AM20" s="69">
        <v>610.68905083338427</v>
      </c>
      <c r="AN20" s="69">
        <v>3872.2296374003095</v>
      </c>
      <c r="AO20" s="69">
        <v>2633.4629155476887</v>
      </c>
      <c r="AP20" s="69">
        <v>540.17390659650164</v>
      </c>
      <c r="AQ20" s="69">
        <v>1839.8397407531734</v>
      </c>
      <c r="AR20" s="69">
        <v>329.0356316248575</v>
      </c>
      <c r="AS20" s="69">
        <v>498.4022984186808</v>
      </c>
    </row>
    <row r="21" spans="1:45" x14ac:dyDescent="0.25">
      <c r="A21" s="11">
        <v>43114</v>
      </c>
      <c r="B21" s="59"/>
      <c r="C21" s="60">
        <v>54.983511026700313</v>
      </c>
      <c r="D21" s="60">
        <v>753.19686435063522</v>
      </c>
      <c r="E21" s="60">
        <v>15.746539855500048</v>
      </c>
      <c r="F21" s="60">
        <v>0</v>
      </c>
      <c r="G21" s="60">
        <v>2061.9272303263306</v>
      </c>
      <c r="H21" s="61">
        <v>28.371439148982468</v>
      </c>
      <c r="I21" s="59">
        <v>114.6514517943064</v>
      </c>
      <c r="J21" s="60">
        <v>312.49886186917627</v>
      </c>
      <c r="K21" s="60">
        <v>17.036685859163608</v>
      </c>
      <c r="L21" s="60">
        <v>0</v>
      </c>
      <c r="M21" s="60">
        <v>0</v>
      </c>
      <c r="N21" s="61">
        <v>0</v>
      </c>
      <c r="O21" s="49">
        <v>0</v>
      </c>
      <c r="P21" s="50">
        <v>0</v>
      </c>
      <c r="Q21" s="50">
        <v>0</v>
      </c>
      <c r="R21" s="50">
        <v>0</v>
      </c>
      <c r="S21" s="60">
        <v>0</v>
      </c>
      <c r="T21" s="64">
        <v>0</v>
      </c>
      <c r="U21" s="65">
        <v>265.33952672261245</v>
      </c>
      <c r="V21" s="62">
        <v>149.27778119466618</v>
      </c>
      <c r="W21" s="62">
        <v>30.471925375761547</v>
      </c>
      <c r="X21" s="62">
        <v>17.143248369393721</v>
      </c>
      <c r="Y21" s="66">
        <v>123.41707581175982</v>
      </c>
      <c r="Z21" s="66">
        <v>69.433406572603758</v>
      </c>
      <c r="AA21" s="67">
        <v>0</v>
      </c>
      <c r="AB21" s="68">
        <v>56.442004879315888</v>
      </c>
      <c r="AC21" s="69">
        <v>0</v>
      </c>
      <c r="AD21" s="410">
        <v>8.4224562443543274</v>
      </c>
      <c r="AE21" s="410">
        <v>4.4565928927082004</v>
      </c>
      <c r="AF21" s="69">
        <v>12.64723431997829</v>
      </c>
      <c r="AG21" s="68">
        <v>7.9998035217276033</v>
      </c>
      <c r="AH21" s="68">
        <v>4.5006220312030241</v>
      </c>
      <c r="AI21" s="68">
        <v>0.63996249470499922</v>
      </c>
      <c r="AJ21" s="69">
        <v>310.11319637298584</v>
      </c>
      <c r="AK21" s="69">
        <v>1049.8036644617714</v>
      </c>
      <c r="AL21" s="69">
        <v>2976.5684215545652</v>
      </c>
      <c r="AM21" s="69">
        <v>575.36242491404221</v>
      </c>
      <c r="AN21" s="69">
        <v>2958.9240033467604</v>
      </c>
      <c r="AO21" s="69">
        <v>2603.8311225891116</v>
      </c>
      <c r="AP21" s="69">
        <v>562.10673766136165</v>
      </c>
      <c r="AQ21" s="69">
        <v>1829.9359723409018</v>
      </c>
      <c r="AR21" s="69">
        <v>323.3621311823527</v>
      </c>
      <c r="AS21" s="69">
        <v>492.82293999989821</v>
      </c>
    </row>
    <row r="22" spans="1:45" x14ac:dyDescent="0.25">
      <c r="A22" s="11">
        <v>43115</v>
      </c>
      <c r="B22" s="59"/>
      <c r="C22" s="60">
        <v>55.24576434095674</v>
      </c>
      <c r="D22" s="60">
        <v>751.86167847315471</v>
      </c>
      <c r="E22" s="60">
        <v>15.58718834022681</v>
      </c>
      <c r="F22" s="60">
        <v>0</v>
      </c>
      <c r="G22" s="60">
        <v>2075.9092369079558</v>
      </c>
      <c r="H22" s="61">
        <v>28.46791132291159</v>
      </c>
      <c r="I22" s="59">
        <v>113.9840311447779</v>
      </c>
      <c r="J22" s="60">
        <v>309.19095697402969</v>
      </c>
      <c r="K22" s="60">
        <v>17.008455867568649</v>
      </c>
      <c r="L22" s="60">
        <v>0</v>
      </c>
      <c r="M22" s="60">
        <v>0</v>
      </c>
      <c r="N22" s="61">
        <v>0</v>
      </c>
      <c r="O22" s="49">
        <v>0</v>
      </c>
      <c r="P22" s="50">
        <v>0</v>
      </c>
      <c r="Q22" s="50">
        <v>0</v>
      </c>
      <c r="R22" s="50">
        <v>0</v>
      </c>
      <c r="S22" s="60">
        <v>0</v>
      </c>
      <c r="T22" s="64">
        <v>0</v>
      </c>
      <c r="U22" s="65">
        <v>263.99057915581687</v>
      </c>
      <c r="V22" s="62">
        <v>148.49206539153838</v>
      </c>
      <c r="W22" s="62">
        <v>29.561847463953704</v>
      </c>
      <c r="X22" s="62">
        <v>16.628244086396485</v>
      </c>
      <c r="Y22" s="66">
        <v>121.35260393444027</v>
      </c>
      <c r="Z22" s="66">
        <v>68.259628265864578</v>
      </c>
      <c r="AA22" s="67">
        <v>0</v>
      </c>
      <c r="AB22" s="68">
        <v>56.000393576092307</v>
      </c>
      <c r="AC22" s="69">
        <v>0</v>
      </c>
      <c r="AD22" s="410">
        <v>8.3335112675218301</v>
      </c>
      <c r="AE22" s="410">
        <v>4.4555744174420884</v>
      </c>
      <c r="AF22" s="69">
        <v>12.635876528422036</v>
      </c>
      <c r="AG22" s="68">
        <v>7.9992149493299651</v>
      </c>
      <c r="AH22" s="68">
        <v>4.4994785538759006</v>
      </c>
      <c r="AI22" s="68">
        <v>0.64000408900963912</v>
      </c>
      <c r="AJ22" s="69">
        <v>330.20851969718933</v>
      </c>
      <c r="AK22" s="69">
        <v>1121.1502523422241</v>
      </c>
      <c r="AL22" s="69">
        <v>2928.2954371134447</v>
      </c>
      <c r="AM22" s="69">
        <v>641.10040016174321</v>
      </c>
      <c r="AN22" s="69">
        <v>3655.8227764129638</v>
      </c>
      <c r="AO22" s="69">
        <v>2693.9952540079753</v>
      </c>
      <c r="AP22" s="69">
        <v>604.35302332242316</v>
      </c>
      <c r="AQ22" s="69">
        <v>1796.5159903208414</v>
      </c>
      <c r="AR22" s="69">
        <v>322.94032166798911</v>
      </c>
      <c r="AS22" s="69">
        <v>503.99331617355335</v>
      </c>
    </row>
    <row r="23" spans="1:45" x14ac:dyDescent="0.25">
      <c r="A23" s="11">
        <v>43116</v>
      </c>
      <c r="B23" s="59"/>
      <c r="C23" s="60">
        <v>55.099617753426337</v>
      </c>
      <c r="D23" s="60">
        <v>752.06648308436115</v>
      </c>
      <c r="E23" s="60">
        <v>15.491085163752238</v>
      </c>
      <c r="F23" s="60">
        <v>0</v>
      </c>
      <c r="G23" s="60">
        <v>2055.5429852803527</v>
      </c>
      <c r="H23" s="61">
        <v>28.37010143399247</v>
      </c>
      <c r="I23" s="59">
        <v>114.32347799142202</v>
      </c>
      <c r="J23" s="60">
        <v>309.68385947545391</v>
      </c>
      <c r="K23" s="60">
        <v>17.015206538140781</v>
      </c>
      <c r="L23" s="60">
        <v>0</v>
      </c>
      <c r="M23" s="60">
        <v>0</v>
      </c>
      <c r="N23" s="61">
        <v>0</v>
      </c>
      <c r="O23" s="49">
        <v>0</v>
      </c>
      <c r="P23" s="50">
        <v>0</v>
      </c>
      <c r="Q23" s="50">
        <v>0</v>
      </c>
      <c r="R23" s="50">
        <v>0</v>
      </c>
      <c r="S23" s="60">
        <v>0</v>
      </c>
      <c r="T23" s="64">
        <v>0</v>
      </c>
      <c r="U23" s="65">
        <v>267.92221167331365</v>
      </c>
      <c r="V23" s="62">
        <v>150.59307358550961</v>
      </c>
      <c r="W23" s="62">
        <v>29.976165373449135</v>
      </c>
      <c r="X23" s="62">
        <v>16.848931074813407</v>
      </c>
      <c r="Y23" s="66">
        <v>118.47635162300199</v>
      </c>
      <c r="Z23" s="66">
        <v>66.592903315759571</v>
      </c>
      <c r="AA23" s="67">
        <v>0</v>
      </c>
      <c r="AB23" s="68">
        <v>56.064103325207604</v>
      </c>
      <c r="AC23" s="69">
        <v>0</v>
      </c>
      <c r="AD23" s="410">
        <v>8.3451607297201491</v>
      </c>
      <c r="AE23" s="410">
        <v>4.4598151627603846</v>
      </c>
      <c r="AF23" s="69">
        <v>12.623643189668648</v>
      </c>
      <c r="AG23" s="68">
        <v>8.0013598314277452</v>
      </c>
      <c r="AH23" s="68">
        <v>4.4973851266485259</v>
      </c>
      <c r="AI23" s="68">
        <v>0.64017306203672342</v>
      </c>
      <c r="AJ23" s="69">
        <v>340.22782185872393</v>
      </c>
      <c r="AK23" s="69">
        <v>1136.5610166549684</v>
      </c>
      <c r="AL23" s="69">
        <v>2915.6541703542075</v>
      </c>
      <c r="AM23" s="69">
        <v>653.72526216506958</v>
      </c>
      <c r="AN23" s="69">
        <v>3881.9450813293456</v>
      </c>
      <c r="AO23" s="69">
        <v>2765.4385953267411</v>
      </c>
      <c r="AP23" s="69">
        <v>625.09362788200372</v>
      </c>
      <c r="AQ23" s="69">
        <v>1794.0589656829836</v>
      </c>
      <c r="AR23" s="69">
        <v>324.40325646400453</v>
      </c>
      <c r="AS23" s="69">
        <v>564.23012584050502</v>
      </c>
    </row>
    <row r="24" spans="1:45" x14ac:dyDescent="0.25">
      <c r="A24" s="11">
        <v>43117</v>
      </c>
      <c r="B24" s="59"/>
      <c r="C24" s="60">
        <v>55.22043929894776</v>
      </c>
      <c r="D24" s="60">
        <v>752.45226141611727</v>
      </c>
      <c r="E24" s="60">
        <v>15.580760384102664</v>
      </c>
      <c r="F24" s="60">
        <v>0</v>
      </c>
      <c r="G24" s="60">
        <v>2081.939108784989</v>
      </c>
      <c r="H24" s="61">
        <v>26.688015171885503</v>
      </c>
      <c r="I24" s="59">
        <v>113.95826307932529</v>
      </c>
      <c r="J24" s="60">
        <v>330.20685300827103</v>
      </c>
      <c r="K24" s="60">
        <v>18.152569817999996</v>
      </c>
      <c r="L24" s="60">
        <v>0</v>
      </c>
      <c r="M24" s="60">
        <v>0</v>
      </c>
      <c r="N24" s="61">
        <v>0</v>
      </c>
      <c r="O24" s="49">
        <v>0</v>
      </c>
      <c r="P24" s="50">
        <v>0</v>
      </c>
      <c r="Q24" s="50">
        <v>0</v>
      </c>
      <c r="R24" s="50">
        <v>0</v>
      </c>
      <c r="S24" s="60">
        <v>0</v>
      </c>
      <c r="T24" s="64">
        <v>0</v>
      </c>
      <c r="U24" s="65">
        <v>269.4073686947645</v>
      </c>
      <c r="V24" s="62">
        <v>151.56071958241006</v>
      </c>
      <c r="W24" s="62">
        <v>30.614095097180215</v>
      </c>
      <c r="X24" s="62">
        <v>17.222596043948275</v>
      </c>
      <c r="Y24" s="66">
        <v>114.55694285378017</v>
      </c>
      <c r="Z24" s="66">
        <v>64.446391263155377</v>
      </c>
      <c r="AA24" s="67">
        <v>0</v>
      </c>
      <c r="AB24" s="68">
        <v>56.067334585718974</v>
      </c>
      <c r="AC24" s="69">
        <v>0</v>
      </c>
      <c r="AD24" s="410">
        <v>8.3503880246054649</v>
      </c>
      <c r="AE24" s="410">
        <v>4.4581241285504687</v>
      </c>
      <c r="AF24" s="69">
        <v>12.458159431484015</v>
      </c>
      <c r="AG24" s="68">
        <v>7.8834113966177295</v>
      </c>
      <c r="AH24" s="68">
        <v>4.4349770751418012</v>
      </c>
      <c r="AI24" s="68">
        <v>0.63997100064597012</v>
      </c>
      <c r="AJ24" s="69">
        <v>315.27360547383626</v>
      </c>
      <c r="AK24" s="69">
        <v>1071.6548205057782</v>
      </c>
      <c r="AL24" s="69">
        <v>2897.8182573954264</v>
      </c>
      <c r="AM24" s="69">
        <v>607.69792531331382</v>
      </c>
      <c r="AN24" s="69">
        <v>3518.1391281127935</v>
      </c>
      <c r="AO24" s="69">
        <v>2678.2914075215654</v>
      </c>
      <c r="AP24" s="69">
        <v>552.41708768208821</v>
      </c>
      <c r="AQ24" s="69">
        <v>1822.7908859252927</v>
      </c>
      <c r="AR24" s="69">
        <v>327.68087498346966</v>
      </c>
      <c r="AS24" s="69">
        <v>563.49071938196812</v>
      </c>
    </row>
    <row r="25" spans="1:45" x14ac:dyDescent="0.25">
      <c r="A25" s="11">
        <v>43118</v>
      </c>
      <c r="B25" s="59"/>
      <c r="C25" s="60">
        <v>55.541013566653277</v>
      </c>
      <c r="D25" s="60">
        <v>747.56834122339853</v>
      </c>
      <c r="E25" s="60">
        <v>15.661097002029376</v>
      </c>
      <c r="F25" s="60">
        <v>0</v>
      </c>
      <c r="G25" s="60">
        <v>2081.4593165079714</v>
      </c>
      <c r="H25" s="61">
        <v>25.811523674925187</v>
      </c>
      <c r="I25" s="59">
        <v>114.93490815162646</v>
      </c>
      <c r="J25" s="60">
        <v>342.49286904335065</v>
      </c>
      <c r="K25" s="60">
        <v>18.911643100778289</v>
      </c>
      <c r="L25" s="60">
        <v>0</v>
      </c>
      <c r="M25" s="60">
        <v>0</v>
      </c>
      <c r="N25" s="61">
        <v>0</v>
      </c>
      <c r="O25" s="49">
        <v>0</v>
      </c>
      <c r="P25" s="50">
        <v>0</v>
      </c>
      <c r="Q25" s="50">
        <v>0</v>
      </c>
      <c r="R25" s="50">
        <v>0</v>
      </c>
      <c r="S25" s="60">
        <v>0</v>
      </c>
      <c r="T25" s="64">
        <v>0</v>
      </c>
      <c r="U25" s="65">
        <v>268.32941023048591</v>
      </c>
      <c r="V25" s="62">
        <v>150.80001965029018</v>
      </c>
      <c r="W25" s="62">
        <v>29.326059561370489</v>
      </c>
      <c r="X25" s="62">
        <v>16.481124280493827</v>
      </c>
      <c r="Y25" s="66">
        <v>115.76184500085371</v>
      </c>
      <c r="Z25" s="66">
        <v>65.057678492595002</v>
      </c>
      <c r="AA25" s="67">
        <v>0</v>
      </c>
      <c r="AB25" s="68">
        <v>56.452487471368826</v>
      </c>
      <c r="AC25" s="69">
        <v>0</v>
      </c>
      <c r="AD25" s="410">
        <v>8.4280788752778939</v>
      </c>
      <c r="AE25" s="410">
        <v>4.4563918740188475</v>
      </c>
      <c r="AF25" s="69">
        <v>12.342895618412211</v>
      </c>
      <c r="AG25" s="68">
        <v>7.8153045397573377</v>
      </c>
      <c r="AH25" s="68">
        <v>4.3921688537833976</v>
      </c>
      <c r="AI25" s="68">
        <v>0.64020655935999016</v>
      </c>
      <c r="AJ25" s="69">
        <v>297.40206187566122</v>
      </c>
      <c r="AK25" s="69">
        <v>1015.1301554361979</v>
      </c>
      <c r="AL25" s="69">
        <v>2953.8695382436122</v>
      </c>
      <c r="AM25" s="69">
        <v>559.58453264236448</v>
      </c>
      <c r="AN25" s="69">
        <v>3622.0431137084956</v>
      </c>
      <c r="AO25" s="69">
        <v>2594.8549231211341</v>
      </c>
      <c r="AP25" s="69">
        <v>509.26950531005855</v>
      </c>
      <c r="AQ25" s="69">
        <v>1819.9112199147544</v>
      </c>
      <c r="AR25" s="69">
        <v>321.44031534194943</v>
      </c>
      <c r="AS25" s="69">
        <v>537.35265525182092</v>
      </c>
    </row>
    <row r="26" spans="1:45" x14ac:dyDescent="0.25">
      <c r="A26" s="11">
        <v>43119</v>
      </c>
      <c r="B26" s="59"/>
      <c r="C26" s="60">
        <v>55.512228473027555</v>
      </c>
      <c r="D26" s="60">
        <v>746.22671680450344</v>
      </c>
      <c r="E26" s="60">
        <v>15.762930649518973</v>
      </c>
      <c r="F26" s="60">
        <v>0</v>
      </c>
      <c r="G26" s="60">
        <v>2040.0347296396906</v>
      </c>
      <c r="H26" s="61">
        <v>23.927769854664781</v>
      </c>
      <c r="I26" s="59">
        <v>114.09177267551419</v>
      </c>
      <c r="J26" s="60">
        <v>339.14027403195792</v>
      </c>
      <c r="K26" s="60">
        <v>18.647249117493608</v>
      </c>
      <c r="L26" s="60">
        <v>2.8324127197265628E-5</v>
      </c>
      <c r="M26" s="60">
        <v>0</v>
      </c>
      <c r="N26" s="61">
        <v>0</v>
      </c>
      <c r="O26" s="49">
        <v>0</v>
      </c>
      <c r="P26" s="50">
        <v>0</v>
      </c>
      <c r="Q26" s="50">
        <v>0</v>
      </c>
      <c r="R26" s="50">
        <v>0</v>
      </c>
      <c r="S26" s="60">
        <v>0</v>
      </c>
      <c r="T26" s="64">
        <v>0</v>
      </c>
      <c r="U26" s="65">
        <v>274.27400689891607</v>
      </c>
      <c r="V26" s="62">
        <v>154.32121017007611</v>
      </c>
      <c r="W26" s="62">
        <v>29.955243436509097</v>
      </c>
      <c r="X26" s="62">
        <v>16.85442040362587</v>
      </c>
      <c r="Y26" s="66">
        <v>118.74815935106018</v>
      </c>
      <c r="Z26" s="66">
        <v>66.814058917651906</v>
      </c>
      <c r="AA26" s="67">
        <v>0</v>
      </c>
      <c r="AB26" s="68">
        <v>56.076312994956851</v>
      </c>
      <c r="AC26" s="69">
        <v>0</v>
      </c>
      <c r="AD26" s="410">
        <v>8.3461750406350674</v>
      </c>
      <c r="AE26" s="410">
        <v>4.4561306682689574</v>
      </c>
      <c r="AF26" s="69">
        <v>12.468424306313212</v>
      </c>
      <c r="AG26" s="68">
        <v>7.8892743904260465</v>
      </c>
      <c r="AH26" s="68">
        <v>4.4389272795472774</v>
      </c>
      <c r="AI26" s="68">
        <v>0.63993716209568763</v>
      </c>
      <c r="AJ26" s="69">
        <v>281.86761878331504</v>
      </c>
      <c r="AK26" s="69">
        <v>969.53067391713478</v>
      </c>
      <c r="AL26" s="69">
        <v>2881.0867045084638</v>
      </c>
      <c r="AM26" s="69">
        <v>545.17240155537922</v>
      </c>
      <c r="AN26" s="69">
        <v>3803.4648757934574</v>
      </c>
      <c r="AO26" s="69">
        <v>2484.5699553171789</v>
      </c>
      <c r="AP26" s="69">
        <v>503.75453073183689</v>
      </c>
      <c r="AQ26" s="69">
        <v>1820.1015733083088</v>
      </c>
      <c r="AR26" s="69">
        <v>318.95400568644203</v>
      </c>
      <c r="AS26" s="69">
        <v>536.25827519098914</v>
      </c>
    </row>
    <row r="27" spans="1:45" x14ac:dyDescent="0.25">
      <c r="A27" s="11">
        <v>43120</v>
      </c>
      <c r="B27" s="59"/>
      <c r="C27" s="60">
        <v>55.063842743634815</v>
      </c>
      <c r="D27" s="60">
        <v>746.12274122237989</v>
      </c>
      <c r="E27" s="60">
        <v>15.835785222053486</v>
      </c>
      <c r="F27" s="60">
        <v>0</v>
      </c>
      <c r="G27" s="60">
        <v>2011.5872140248621</v>
      </c>
      <c r="H27" s="61">
        <v>22.965720915794378</v>
      </c>
      <c r="I27" s="59">
        <v>114.67353928089143</v>
      </c>
      <c r="J27" s="60">
        <v>341.34658611615538</v>
      </c>
      <c r="K27" s="60">
        <v>18.822367401421083</v>
      </c>
      <c r="L27" s="60">
        <v>9.4413757324218753E-6</v>
      </c>
      <c r="M27" s="60">
        <v>0</v>
      </c>
      <c r="N27" s="61">
        <v>0</v>
      </c>
      <c r="O27" s="49">
        <v>0</v>
      </c>
      <c r="P27" s="50">
        <v>0</v>
      </c>
      <c r="Q27" s="50">
        <v>0</v>
      </c>
      <c r="R27" s="50">
        <v>0</v>
      </c>
      <c r="S27" s="60">
        <v>0</v>
      </c>
      <c r="T27" s="64">
        <v>0</v>
      </c>
      <c r="U27" s="65">
        <v>273.75916324334503</v>
      </c>
      <c r="V27" s="62">
        <v>153.85436422417411</v>
      </c>
      <c r="W27" s="62">
        <v>29.967460663892954</v>
      </c>
      <c r="X27" s="62">
        <v>16.841900571407738</v>
      </c>
      <c r="Y27" s="62">
        <v>120.88890885349913</v>
      </c>
      <c r="Z27" s="62">
        <v>67.940323871008857</v>
      </c>
      <c r="AA27" s="72">
        <v>0</v>
      </c>
      <c r="AB27" s="69">
        <v>56.412800815370154</v>
      </c>
      <c r="AC27" s="69">
        <v>0</v>
      </c>
      <c r="AD27" s="410">
        <v>8.4012707569985388</v>
      </c>
      <c r="AE27" s="410">
        <v>4.4557787845664958</v>
      </c>
      <c r="AF27" s="69">
        <v>12.57034059067567</v>
      </c>
      <c r="AG27" s="69">
        <v>7.8999843477703511</v>
      </c>
      <c r="AH27" s="69">
        <v>4.439840678964674</v>
      </c>
      <c r="AI27" s="69">
        <v>0.64020229870800649</v>
      </c>
      <c r="AJ27" s="69">
        <v>288.62008622487394</v>
      </c>
      <c r="AK27" s="69">
        <v>986.19872735341403</v>
      </c>
      <c r="AL27" s="69">
        <v>2890.1874261220291</v>
      </c>
      <c r="AM27" s="69">
        <v>529.84442090988159</v>
      </c>
      <c r="AN27" s="69">
        <v>3695.6388865152994</v>
      </c>
      <c r="AO27" s="69">
        <v>2450.7744321187338</v>
      </c>
      <c r="AP27" s="69">
        <v>551.3429901281994</v>
      </c>
      <c r="AQ27" s="69">
        <v>1823.9799186070763</v>
      </c>
      <c r="AR27" s="69">
        <v>320.75806444485983</v>
      </c>
      <c r="AS27" s="69">
        <v>501.23629824320471</v>
      </c>
    </row>
    <row r="28" spans="1:45" x14ac:dyDescent="0.25">
      <c r="A28" s="11">
        <v>43121</v>
      </c>
      <c r="B28" s="59"/>
      <c r="C28" s="60">
        <v>55.056532146533364</v>
      </c>
      <c r="D28" s="60">
        <v>738.65743522643936</v>
      </c>
      <c r="E28" s="60">
        <v>15.485878812273349</v>
      </c>
      <c r="F28" s="60">
        <v>0</v>
      </c>
      <c r="G28" s="60">
        <v>2032.8069478352827</v>
      </c>
      <c r="H28" s="61">
        <v>23.024292513728128</v>
      </c>
      <c r="I28" s="59">
        <v>114.32934241294846</v>
      </c>
      <c r="J28" s="60">
        <v>340.87637165387497</v>
      </c>
      <c r="K28" s="60">
        <v>18.796570045252629</v>
      </c>
      <c r="L28" s="60">
        <v>0</v>
      </c>
      <c r="M28" s="60">
        <v>0</v>
      </c>
      <c r="N28" s="61">
        <v>0</v>
      </c>
      <c r="O28" s="49">
        <v>0</v>
      </c>
      <c r="P28" s="50">
        <v>0</v>
      </c>
      <c r="Q28" s="50">
        <v>0</v>
      </c>
      <c r="R28" s="50">
        <v>0</v>
      </c>
      <c r="S28" s="60">
        <v>0</v>
      </c>
      <c r="T28" s="64">
        <v>0</v>
      </c>
      <c r="U28" s="65">
        <v>276.95990616141387</v>
      </c>
      <c r="V28" s="62">
        <v>155.7728507711617</v>
      </c>
      <c r="W28" s="62">
        <v>30.22627388522692</v>
      </c>
      <c r="X28" s="62">
        <v>17.000413224243413</v>
      </c>
      <c r="Y28" s="66">
        <v>122.90628085282798</v>
      </c>
      <c r="Z28" s="66">
        <v>69.127196103857628</v>
      </c>
      <c r="AA28" s="67">
        <v>0</v>
      </c>
      <c r="AB28" s="68">
        <v>56.306659971342761</v>
      </c>
      <c r="AC28" s="69">
        <v>0</v>
      </c>
      <c r="AD28" s="410">
        <v>8.3874777081017591</v>
      </c>
      <c r="AE28" s="410">
        <v>4.4505671288464725</v>
      </c>
      <c r="AF28" s="69">
        <v>12.636237037844111</v>
      </c>
      <c r="AG28" s="68">
        <v>7.9994173827927302</v>
      </c>
      <c r="AH28" s="68">
        <v>4.4991784821727192</v>
      </c>
      <c r="AI28" s="68">
        <v>0.64002528517749169</v>
      </c>
      <c r="AJ28" s="69">
        <v>323.6802319367726</v>
      </c>
      <c r="AK28" s="69">
        <v>1097.2840814590452</v>
      </c>
      <c r="AL28" s="69">
        <v>2910.8155676523843</v>
      </c>
      <c r="AM28" s="69">
        <v>568.71628487904854</v>
      </c>
      <c r="AN28" s="69">
        <v>3702.5924324035641</v>
      </c>
      <c r="AO28" s="69">
        <v>2561.8170384724936</v>
      </c>
      <c r="AP28" s="69">
        <v>580.99454113642378</v>
      </c>
      <c r="AQ28" s="69">
        <v>1781.8322237650552</v>
      </c>
      <c r="AR28" s="69">
        <v>321.35463846524556</v>
      </c>
      <c r="AS28" s="69">
        <v>514.79988514582317</v>
      </c>
    </row>
    <row r="29" spans="1:45" x14ac:dyDescent="0.25">
      <c r="A29" s="11">
        <v>43122</v>
      </c>
      <c r="B29" s="59"/>
      <c r="C29" s="60">
        <v>55.190510100126389</v>
      </c>
      <c r="D29" s="60">
        <v>730.53846696217772</v>
      </c>
      <c r="E29" s="60">
        <v>15.457707606255992</v>
      </c>
      <c r="F29" s="60">
        <v>0</v>
      </c>
      <c r="G29" s="60">
        <v>2005.8888195037762</v>
      </c>
      <c r="H29" s="61">
        <v>23.096009560426069</v>
      </c>
      <c r="I29" s="59">
        <v>114.37998190720864</v>
      </c>
      <c r="J29" s="60">
        <v>341.19338795344112</v>
      </c>
      <c r="K29" s="60">
        <v>18.821555855373553</v>
      </c>
      <c r="L29" s="60">
        <v>0</v>
      </c>
      <c r="M29" s="60">
        <v>0</v>
      </c>
      <c r="N29" s="61">
        <v>0</v>
      </c>
      <c r="O29" s="49">
        <v>0</v>
      </c>
      <c r="P29" s="50">
        <v>0</v>
      </c>
      <c r="Q29" s="50">
        <v>0</v>
      </c>
      <c r="R29" s="50">
        <v>0</v>
      </c>
      <c r="S29" s="60">
        <v>0</v>
      </c>
      <c r="T29" s="64">
        <v>0</v>
      </c>
      <c r="U29" s="65">
        <v>274.36740822801562</v>
      </c>
      <c r="V29" s="62">
        <v>154.32414384938082</v>
      </c>
      <c r="W29" s="62">
        <v>29.043882239596421</v>
      </c>
      <c r="X29" s="62">
        <v>16.336387363338005</v>
      </c>
      <c r="Y29" s="66">
        <v>120.48513001927985</v>
      </c>
      <c r="Z29" s="66">
        <v>67.769581878887649</v>
      </c>
      <c r="AA29" s="67">
        <v>0</v>
      </c>
      <c r="AB29" s="68">
        <v>56.470341851976187</v>
      </c>
      <c r="AC29" s="69">
        <v>0</v>
      </c>
      <c r="AD29" s="410">
        <v>8.3958279647204908</v>
      </c>
      <c r="AE29" s="410">
        <v>4.4672755644839182</v>
      </c>
      <c r="AF29" s="69">
        <v>12.324262411726844</v>
      </c>
      <c r="AG29" s="68">
        <v>7.8067941052556558</v>
      </c>
      <c r="AH29" s="68">
        <v>4.3911076183681796</v>
      </c>
      <c r="AI29" s="68">
        <v>0.64001123161503548</v>
      </c>
      <c r="AJ29" s="69">
        <v>327.21115719477336</v>
      </c>
      <c r="AK29" s="69">
        <v>1102.8943042119345</v>
      </c>
      <c r="AL29" s="69">
        <v>2926.8981915791828</v>
      </c>
      <c r="AM29" s="69">
        <v>560.70080353418984</v>
      </c>
      <c r="AN29" s="69">
        <v>3865.9135063171384</v>
      </c>
      <c r="AO29" s="69">
        <v>2673.4723453521729</v>
      </c>
      <c r="AP29" s="69">
        <v>597.13077363967898</v>
      </c>
      <c r="AQ29" s="69">
        <v>1805.9759411493935</v>
      </c>
      <c r="AR29" s="69">
        <v>323.97070161501568</v>
      </c>
      <c r="AS29" s="69">
        <v>545.86941019694007</v>
      </c>
    </row>
    <row r="30" spans="1:45" x14ac:dyDescent="0.25">
      <c r="A30" s="11">
        <v>43123</v>
      </c>
      <c r="B30" s="59"/>
      <c r="C30" s="60">
        <v>54.981336581707154</v>
      </c>
      <c r="D30" s="60">
        <v>729.80930124918484</v>
      </c>
      <c r="E30" s="60">
        <v>15.559216902653375</v>
      </c>
      <c r="F30" s="60">
        <v>0</v>
      </c>
      <c r="G30" s="60">
        <v>2024.2540103912322</v>
      </c>
      <c r="H30" s="61">
        <v>23.07826293011501</v>
      </c>
      <c r="I30" s="59">
        <v>110.70433413585039</v>
      </c>
      <c r="J30" s="60">
        <v>339.69670178095572</v>
      </c>
      <c r="K30" s="60">
        <v>18.521028801798813</v>
      </c>
      <c r="L30" s="60">
        <v>9.4413757324218753E-6</v>
      </c>
      <c r="M30" s="60">
        <v>0</v>
      </c>
      <c r="N30" s="61">
        <v>0</v>
      </c>
      <c r="O30" s="49">
        <v>0</v>
      </c>
      <c r="P30" s="50">
        <v>0</v>
      </c>
      <c r="Q30" s="50">
        <v>0</v>
      </c>
      <c r="R30" s="50">
        <v>0</v>
      </c>
      <c r="S30" s="60">
        <v>0</v>
      </c>
      <c r="T30" s="64">
        <v>0</v>
      </c>
      <c r="U30" s="65">
        <v>277.69789245685689</v>
      </c>
      <c r="V30" s="62">
        <v>153.92925623496032</v>
      </c>
      <c r="W30" s="62">
        <v>29.048420171117257</v>
      </c>
      <c r="X30" s="62">
        <v>16.101676797692569</v>
      </c>
      <c r="Y30" s="66">
        <v>117.37493814837325</v>
      </c>
      <c r="Z30" s="66">
        <v>65.061483794337846</v>
      </c>
      <c r="AA30" s="67">
        <v>0</v>
      </c>
      <c r="AB30" s="68">
        <v>56.115065919027792</v>
      </c>
      <c r="AC30" s="69">
        <v>0</v>
      </c>
      <c r="AD30" s="410">
        <v>8.3575757146383438</v>
      </c>
      <c r="AE30" s="410">
        <v>4.4627368336116593</v>
      </c>
      <c r="AF30" s="69">
        <v>12.285598081350315</v>
      </c>
      <c r="AG30" s="68">
        <v>7.8139450412156872</v>
      </c>
      <c r="AH30" s="68">
        <v>4.3313067226178283</v>
      </c>
      <c r="AI30" s="68">
        <v>0.64337448026267186</v>
      </c>
      <c r="AJ30" s="69">
        <v>317.20870129267371</v>
      </c>
      <c r="AK30" s="69">
        <v>1067.3730428695678</v>
      </c>
      <c r="AL30" s="69">
        <v>2926.1943359375005</v>
      </c>
      <c r="AM30" s="69">
        <v>510.4352691332499</v>
      </c>
      <c r="AN30" s="69">
        <v>3721.3142270406088</v>
      </c>
      <c r="AO30" s="69">
        <v>2618.4679314931227</v>
      </c>
      <c r="AP30" s="69">
        <v>540.64335719744372</v>
      </c>
      <c r="AQ30" s="69">
        <v>1783.8885491053263</v>
      </c>
      <c r="AR30" s="69">
        <v>322.75791403452553</v>
      </c>
      <c r="AS30" s="69">
        <v>583.17158184051505</v>
      </c>
    </row>
    <row r="31" spans="1:45" x14ac:dyDescent="0.25">
      <c r="A31" s="11">
        <v>43124</v>
      </c>
      <c r="B31" s="59"/>
      <c r="C31" s="60">
        <v>55.268547660112461</v>
      </c>
      <c r="D31" s="60">
        <v>728.79652671813926</v>
      </c>
      <c r="E31" s="60">
        <v>15.570433575908323</v>
      </c>
      <c r="F31" s="60">
        <v>0</v>
      </c>
      <c r="G31" s="60">
        <v>2011.9900964101082</v>
      </c>
      <c r="H31" s="61">
        <v>23.057591169079139</v>
      </c>
      <c r="I31" s="59">
        <v>86.799847785631869</v>
      </c>
      <c r="J31" s="60">
        <v>364.67816708882725</v>
      </c>
      <c r="K31" s="60">
        <v>19.926160597801214</v>
      </c>
      <c r="L31" s="60">
        <v>0</v>
      </c>
      <c r="M31" s="60">
        <v>0</v>
      </c>
      <c r="N31" s="61">
        <v>0</v>
      </c>
      <c r="O31" s="49">
        <v>0</v>
      </c>
      <c r="P31" s="50">
        <v>0</v>
      </c>
      <c r="Q31" s="50">
        <v>0</v>
      </c>
      <c r="R31" s="50">
        <v>0</v>
      </c>
      <c r="S31" s="60">
        <v>0</v>
      </c>
      <c r="T31" s="64">
        <v>0</v>
      </c>
      <c r="U31" s="65">
        <v>295.1797847057631</v>
      </c>
      <c r="V31" s="62">
        <v>155.89221876476105</v>
      </c>
      <c r="W31" s="62">
        <v>33.183123050044678</v>
      </c>
      <c r="X31" s="62">
        <v>17.524881261675887</v>
      </c>
      <c r="Y31" s="66">
        <v>126.07219347433255</v>
      </c>
      <c r="Z31" s="66">
        <v>66.582045870264551</v>
      </c>
      <c r="AA31" s="67">
        <v>0</v>
      </c>
      <c r="AB31" s="68">
        <v>59.148478444416966</v>
      </c>
      <c r="AC31" s="69">
        <v>0</v>
      </c>
      <c r="AD31" s="410">
        <v>8.9763471616178521</v>
      </c>
      <c r="AE31" s="410">
        <v>4.456346173774504</v>
      </c>
      <c r="AF31" s="69">
        <v>12.84356338381769</v>
      </c>
      <c r="AG31" s="68">
        <v>8.3136742995265802</v>
      </c>
      <c r="AH31" s="68">
        <v>4.3906703635977866</v>
      </c>
      <c r="AI31" s="68">
        <v>0.65439615501442217</v>
      </c>
      <c r="AJ31" s="69">
        <v>310.46109797159835</v>
      </c>
      <c r="AK31" s="69">
        <v>1062.2188989003498</v>
      </c>
      <c r="AL31" s="69">
        <v>2957.3375178019201</v>
      </c>
      <c r="AM31" s="69">
        <v>528.68145958582556</v>
      </c>
      <c r="AN31" s="69">
        <v>3724.7008827209474</v>
      </c>
      <c r="AO31" s="69">
        <v>2642.2636816660561</v>
      </c>
      <c r="AP31" s="69">
        <v>542.72291916211452</v>
      </c>
      <c r="AQ31" s="69">
        <v>1834.692105738322</v>
      </c>
      <c r="AR31" s="69">
        <v>322.51510696411134</v>
      </c>
      <c r="AS31" s="69">
        <v>554.07491048177076</v>
      </c>
    </row>
    <row r="32" spans="1:45" x14ac:dyDescent="0.25">
      <c r="A32" s="11">
        <v>43125</v>
      </c>
      <c r="B32" s="59"/>
      <c r="C32" s="60">
        <v>57.237443536520054</v>
      </c>
      <c r="D32" s="60">
        <v>728.51966543197477</v>
      </c>
      <c r="E32" s="60">
        <v>15.711243346333498</v>
      </c>
      <c r="F32" s="60">
        <v>0</v>
      </c>
      <c r="G32" s="60">
        <v>2011.7759156545017</v>
      </c>
      <c r="H32" s="61">
        <v>23.106746301054962</v>
      </c>
      <c r="I32" s="59">
        <v>81.001914978027344</v>
      </c>
      <c r="J32" s="60">
        <v>340.3035516897844</v>
      </c>
      <c r="K32" s="60">
        <v>18.678013682365403</v>
      </c>
      <c r="L32" s="60">
        <v>0</v>
      </c>
      <c r="M32" s="60">
        <v>0</v>
      </c>
      <c r="N32" s="61">
        <v>0</v>
      </c>
      <c r="O32" s="49">
        <v>0</v>
      </c>
      <c r="P32" s="50">
        <v>0</v>
      </c>
      <c r="Q32" s="50">
        <v>0</v>
      </c>
      <c r="R32" s="50">
        <v>0</v>
      </c>
      <c r="S32" s="60">
        <v>0</v>
      </c>
      <c r="T32" s="64">
        <v>0</v>
      </c>
      <c r="U32" s="65">
        <v>276.55677241336679</v>
      </c>
      <c r="V32" s="62">
        <v>155.54002605956694</v>
      </c>
      <c r="W32" s="62">
        <v>30.717496083352906</v>
      </c>
      <c r="X32" s="62">
        <v>17.276019312765278</v>
      </c>
      <c r="Y32" s="66">
        <v>120.14416261584739</v>
      </c>
      <c r="Z32" s="66">
        <v>67.571030790893559</v>
      </c>
      <c r="AA32" s="67">
        <v>0</v>
      </c>
      <c r="AB32" s="68">
        <v>56.183291321330813</v>
      </c>
      <c r="AC32" s="69">
        <v>0</v>
      </c>
      <c r="AD32" s="410">
        <v>8.3731068370985149</v>
      </c>
      <c r="AE32" s="410">
        <v>4.4554633319831662</v>
      </c>
      <c r="AF32" s="69">
        <v>12.3123961382442</v>
      </c>
      <c r="AG32" s="68">
        <v>7.7985395450428454</v>
      </c>
      <c r="AH32" s="68">
        <v>4.386025456825517</v>
      </c>
      <c r="AI32" s="68">
        <v>0.64003430108888004</v>
      </c>
      <c r="AJ32" s="69">
        <v>298.13191835085547</v>
      </c>
      <c r="AK32" s="69">
        <v>1012.0101247151692</v>
      </c>
      <c r="AL32" s="69">
        <v>2887.9226937611902</v>
      </c>
      <c r="AM32" s="69">
        <v>544.48188921610506</v>
      </c>
      <c r="AN32" s="69">
        <v>3686.0891375223805</v>
      </c>
      <c r="AO32" s="69">
        <v>2559.7590685526534</v>
      </c>
      <c r="AP32" s="69">
        <v>510.51329285303746</v>
      </c>
      <c r="AQ32" s="69">
        <v>1799.8233516057335</v>
      </c>
      <c r="AR32" s="69">
        <v>322.49705659548442</v>
      </c>
      <c r="AS32" s="69">
        <v>579.47563101450601</v>
      </c>
    </row>
    <row r="33" spans="1:45" x14ac:dyDescent="0.25">
      <c r="A33" s="11">
        <v>43126</v>
      </c>
      <c r="B33" s="59"/>
      <c r="C33" s="60">
        <v>54.975913210710104</v>
      </c>
      <c r="D33" s="60">
        <v>728.23275988896478</v>
      </c>
      <c r="E33" s="60">
        <v>15.673628238836905</v>
      </c>
      <c r="F33" s="60">
        <v>0</v>
      </c>
      <c r="G33" s="60">
        <v>2011.7101497650085</v>
      </c>
      <c r="H33" s="61">
        <v>22.601322407523789</v>
      </c>
      <c r="I33" s="59">
        <v>113.72957155307144</v>
      </c>
      <c r="J33" s="60">
        <v>343.33048580487576</v>
      </c>
      <c r="K33" s="60">
        <v>18.828283390899522</v>
      </c>
      <c r="L33" s="60">
        <v>0</v>
      </c>
      <c r="M33" s="60">
        <v>0</v>
      </c>
      <c r="N33" s="61">
        <v>0</v>
      </c>
      <c r="O33" s="49">
        <v>0</v>
      </c>
      <c r="P33" s="50">
        <v>0</v>
      </c>
      <c r="Q33" s="50">
        <v>0</v>
      </c>
      <c r="R33" s="50">
        <v>0</v>
      </c>
      <c r="S33" s="60">
        <v>0</v>
      </c>
      <c r="T33" s="64">
        <v>0</v>
      </c>
      <c r="U33" s="65">
        <v>279.06655832452213</v>
      </c>
      <c r="V33" s="62">
        <v>156.80722917395065</v>
      </c>
      <c r="W33" s="62">
        <v>31.940738514054079</v>
      </c>
      <c r="X33" s="62">
        <v>17.947470073910321</v>
      </c>
      <c r="Y33" s="66">
        <v>124.08005270929085</v>
      </c>
      <c r="Z33" s="66">
        <v>69.720461591373535</v>
      </c>
      <c r="AA33" s="67">
        <v>0</v>
      </c>
      <c r="AB33" s="68">
        <v>58.171187265714074</v>
      </c>
      <c r="AC33" s="69">
        <v>0</v>
      </c>
      <c r="AD33" s="410">
        <v>8.4488764532866263</v>
      </c>
      <c r="AE33" s="410">
        <v>4.4533646926940893</v>
      </c>
      <c r="AF33" s="69">
        <v>12.553259702523555</v>
      </c>
      <c r="AG33" s="68">
        <v>7.9193202316536953</v>
      </c>
      <c r="AH33" s="68">
        <v>4.4498583775944498</v>
      </c>
      <c r="AI33" s="68">
        <v>0.64024625092992071</v>
      </c>
      <c r="AJ33" s="69">
        <v>313.63554390271503</v>
      </c>
      <c r="AK33" s="69">
        <v>1053.952829170227</v>
      </c>
      <c r="AL33" s="69">
        <v>2929.175814183553</v>
      </c>
      <c r="AM33" s="69">
        <v>540.03203315734868</v>
      </c>
      <c r="AN33" s="69">
        <v>3931.3871732076009</v>
      </c>
      <c r="AO33" s="69">
        <v>2599.0073286692304</v>
      </c>
      <c r="AP33" s="69">
        <v>539.93145260810854</v>
      </c>
      <c r="AQ33" s="69">
        <v>1779.3845803578693</v>
      </c>
      <c r="AR33" s="69">
        <v>323.82923156420389</v>
      </c>
      <c r="AS33" s="69">
        <v>574.31445226669314</v>
      </c>
    </row>
    <row r="34" spans="1:45" x14ac:dyDescent="0.25">
      <c r="A34" s="11">
        <v>43127</v>
      </c>
      <c r="B34" s="59"/>
      <c r="C34" s="60">
        <v>55.103221970796554</v>
      </c>
      <c r="D34" s="60">
        <v>728.44026050567584</v>
      </c>
      <c r="E34" s="60">
        <v>15.568066864212357</v>
      </c>
      <c r="F34" s="60">
        <v>0</v>
      </c>
      <c r="G34" s="60">
        <v>1990.6549064636195</v>
      </c>
      <c r="H34" s="61">
        <v>22.94369382162887</v>
      </c>
      <c r="I34" s="59">
        <v>123.44361601670596</v>
      </c>
      <c r="J34" s="60">
        <v>344.52500812212651</v>
      </c>
      <c r="K34" s="60">
        <v>18.998170507450894</v>
      </c>
      <c r="L34" s="60">
        <v>0</v>
      </c>
      <c r="M34" s="60">
        <v>0</v>
      </c>
      <c r="N34" s="61">
        <v>0</v>
      </c>
      <c r="O34" s="49">
        <v>0</v>
      </c>
      <c r="P34" s="50">
        <v>0</v>
      </c>
      <c r="Q34" s="50">
        <v>0</v>
      </c>
      <c r="R34" s="50">
        <v>0</v>
      </c>
      <c r="S34" s="60">
        <v>0</v>
      </c>
      <c r="T34" s="64">
        <v>0</v>
      </c>
      <c r="U34" s="65">
        <v>272.35691557568805</v>
      </c>
      <c r="V34" s="62">
        <v>153.24084858785403</v>
      </c>
      <c r="W34" s="62">
        <v>31.682393791105643</v>
      </c>
      <c r="X34" s="62">
        <v>17.826009299530238</v>
      </c>
      <c r="Y34" s="66">
        <v>124.03670670167627</v>
      </c>
      <c r="Z34" s="66">
        <v>69.788902370373066</v>
      </c>
      <c r="AA34" s="67">
        <v>0</v>
      </c>
      <c r="AB34" s="68">
        <v>60.498286430041141</v>
      </c>
      <c r="AC34" s="69">
        <v>0</v>
      </c>
      <c r="AD34" s="410">
        <v>8.4782849916636316</v>
      </c>
      <c r="AE34" s="410">
        <v>4.4536303525381218</v>
      </c>
      <c r="AF34" s="69">
        <v>12.601006015804058</v>
      </c>
      <c r="AG34" s="68">
        <v>7.9262067019163904</v>
      </c>
      <c r="AH34" s="68">
        <v>4.4596577932197237</v>
      </c>
      <c r="AI34" s="68">
        <v>0.639939723628414</v>
      </c>
      <c r="AJ34" s="69">
        <v>317.75356760025028</v>
      </c>
      <c r="AK34" s="69">
        <v>1075.2619160970055</v>
      </c>
      <c r="AL34" s="69">
        <v>2895.8564624786377</v>
      </c>
      <c r="AM34" s="69">
        <v>553.18610836664823</v>
      </c>
      <c r="AN34" s="69">
        <v>3874.4189862569169</v>
      </c>
      <c r="AO34" s="69">
        <v>2582.6027993520097</v>
      </c>
      <c r="AP34" s="69">
        <v>581.32596333821618</v>
      </c>
      <c r="AQ34" s="69">
        <v>1789.666841570536</v>
      </c>
      <c r="AR34" s="69">
        <v>320.22215442657478</v>
      </c>
      <c r="AS34" s="69">
        <v>492.64468886057534</v>
      </c>
    </row>
    <row r="35" spans="1:45" x14ac:dyDescent="0.25">
      <c r="A35" s="11">
        <v>43128</v>
      </c>
      <c r="B35" s="59"/>
      <c r="C35" s="60">
        <v>54.958041391770216</v>
      </c>
      <c r="D35" s="60">
        <v>728.002940241494</v>
      </c>
      <c r="E35" s="60">
        <v>15.577466167012838</v>
      </c>
      <c r="F35" s="60">
        <v>0</v>
      </c>
      <c r="G35" s="60">
        <v>1991.7845525105786</v>
      </c>
      <c r="H35" s="61">
        <v>22.748554967840505</v>
      </c>
      <c r="I35" s="59">
        <v>122.7274828195572</v>
      </c>
      <c r="J35" s="60">
        <v>342.53755920728133</v>
      </c>
      <c r="K35" s="60">
        <v>18.859756017724671</v>
      </c>
      <c r="L35" s="60">
        <v>0</v>
      </c>
      <c r="M35" s="60">
        <v>0</v>
      </c>
      <c r="N35" s="61">
        <v>0</v>
      </c>
      <c r="O35" s="49">
        <v>0</v>
      </c>
      <c r="P35" s="50">
        <v>0</v>
      </c>
      <c r="Q35" s="50">
        <v>0</v>
      </c>
      <c r="R35" s="50">
        <v>0</v>
      </c>
      <c r="S35" s="60">
        <v>0</v>
      </c>
      <c r="T35" s="64">
        <v>0</v>
      </c>
      <c r="U35" s="65">
        <v>274.07383670811635</v>
      </c>
      <c r="V35" s="62">
        <v>154.16653607681343</v>
      </c>
      <c r="W35" s="62">
        <v>32.112610693994291</v>
      </c>
      <c r="X35" s="62">
        <v>18.063343858497262</v>
      </c>
      <c r="Y35" s="66">
        <v>123.9443447792444</v>
      </c>
      <c r="Z35" s="66">
        <v>69.718695262678892</v>
      </c>
      <c r="AA35" s="67">
        <v>0</v>
      </c>
      <c r="AB35" s="68">
        <v>60.39073788060189</v>
      </c>
      <c r="AC35" s="69">
        <v>0</v>
      </c>
      <c r="AD35" s="410">
        <v>8.4292292469970427</v>
      </c>
      <c r="AE35" s="410">
        <v>4.4514347470466964</v>
      </c>
      <c r="AF35" s="69">
        <v>12.717254853248598</v>
      </c>
      <c r="AG35" s="68">
        <v>7.9994022255941442</v>
      </c>
      <c r="AH35" s="68">
        <v>4.4996638373708722</v>
      </c>
      <c r="AI35" s="68">
        <v>0.6399999956233956</v>
      </c>
      <c r="AJ35" s="69">
        <v>313.12055106163024</v>
      </c>
      <c r="AK35" s="69">
        <v>1050.6988891601563</v>
      </c>
      <c r="AL35" s="69">
        <v>2942.4273488362633</v>
      </c>
      <c r="AM35" s="69">
        <v>521.65751721064248</v>
      </c>
      <c r="AN35" s="69">
        <v>3846.9956433614093</v>
      </c>
      <c r="AO35" s="69">
        <v>2549.0239640553791</v>
      </c>
      <c r="AP35" s="69">
        <v>550.77896108627306</v>
      </c>
      <c r="AQ35" s="69">
        <v>1789.6429615020752</v>
      </c>
      <c r="AR35" s="69">
        <v>320.56249109903973</v>
      </c>
      <c r="AS35" s="69">
        <v>488.46504007975267</v>
      </c>
    </row>
    <row r="36" spans="1:45" x14ac:dyDescent="0.25">
      <c r="A36" s="11">
        <v>43129</v>
      </c>
      <c r="B36" s="59"/>
      <c r="C36" s="60">
        <v>55.121163288752051</v>
      </c>
      <c r="D36" s="60">
        <v>719.07450609207149</v>
      </c>
      <c r="E36" s="60">
        <v>15.619461718698334</v>
      </c>
      <c r="F36" s="60">
        <v>0</v>
      </c>
      <c r="G36" s="60">
        <v>1886.0447946548447</v>
      </c>
      <c r="H36" s="61">
        <v>23.077584653099414</v>
      </c>
      <c r="I36" s="59">
        <v>122.98354436556502</v>
      </c>
      <c r="J36" s="60">
        <v>343.32093954086389</v>
      </c>
      <c r="K36" s="60">
        <v>18.963357289632157</v>
      </c>
      <c r="L36" s="60">
        <v>9.4413757324218753E-6</v>
      </c>
      <c r="M36" s="60">
        <v>0</v>
      </c>
      <c r="N36" s="61">
        <v>0</v>
      </c>
      <c r="O36" s="49">
        <v>0</v>
      </c>
      <c r="P36" s="50">
        <v>0</v>
      </c>
      <c r="Q36" s="50">
        <v>0</v>
      </c>
      <c r="R36" s="50">
        <v>0</v>
      </c>
      <c r="S36" s="60">
        <v>0</v>
      </c>
      <c r="T36" s="64">
        <v>0</v>
      </c>
      <c r="U36" s="65">
        <v>264.72423169806268</v>
      </c>
      <c r="V36" s="62">
        <v>148.92947837053021</v>
      </c>
      <c r="W36" s="62">
        <v>30.764509684885798</v>
      </c>
      <c r="X36" s="62">
        <v>17.307604786708676</v>
      </c>
      <c r="Y36" s="66">
        <v>118.12116209333276</v>
      </c>
      <c r="Z36" s="66">
        <v>66.453013924110806</v>
      </c>
      <c r="AA36" s="67">
        <v>0</v>
      </c>
      <c r="AB36" s="68">
        <v>60.438498446677173</v>
      </c>
      <c r="AC36" s="69">
        <v>0</v>
      </c>
      <c r="AD36" s="410">
        <v>8.4470700222427233</v>
      </c>
      <c r="AE36" s="410">
        <v>4.451370834057423</v>
      </c>
      <c r="AF36" s="69">
        <v>12.283562609884454</v>
      </c>
      <c r="AG36" s="68">
        <v>7.7196243341058652</v>
      </c>
      <c r="AH36" s="68">
        <v>4.3429330889743847</v>
      </c>
      <c r="AI36" s="68">
        <v>0.63996581018012766</v>
      </c>
      <c r="AJ36" s="69">
        <v>303.34342897733057</v>
      </c>
      <c r="AK36" s="69">
        <v>1022.6150754292805</v>
      </c>
      <c r="AL36" s="69">
        <v>2975.5457762400306</v>
      </c>
      <c r="AM36" s="69">
        <v>543.20343716939294</v>
      </c>
      <c r="AN36" s="69">
        <v>3813.2736923217781</v>
      </c>
      <c r="AO36" s="69">
        <v>2606.0337318420407</v>
      </c>
      <c r="AP36" s="69">
        <v>518.73863441149388</v>
      </c>
      <c r="AQ36" s="69">
        <v>1819.0566190083819</v>
      </c>
      <c r="AR36" s="69">
        <v>316.37057485580448</v>
      </c>
      <c r="AS36" s="69">
        <v>519.72876462936404</v>
      </c>
    </row>
    <row r="37" spans="1:45" x14ac:dyDescent="0.25">
      <c r="A37" s="11">
        <v>43130</v>
      </c>
      <c r="B37" s="59"/>
      <c r="C37" s="60">
        <v>54.943166255951077</v>
      </c>
      <c r="D37" s="60">
        <v>728.12444067001354</v>
      </c>
      <c r="E37" s="60">
        <v>15.694235347211343</v>
      </c>
      <c r="F37" s="60">
        <v>0</v>
      </c>
      <c r="G37" s="60">
        <v>1896.4529357910108</v>
      </c>
      <c r="H37" s="61">
        <v>23.11992620130378</v>
      </c>
      <c r="I37" s="59">
        <v>124.07854624589282</v>
      </c>
      <c r="J37" s="60">
        <v>345.33085989952167</v>
      </c>
      <c r="K37" s="60">
        <v>19.013687386612105</v>
      </c>
      <c r="L37" s="60">
        <v>0</v>
      </c>
      <c r="M37" s="60">
        <v>0</v>
      </c>
      <c r="N37" s="61">
        <v>0</v>
      </c>
      <c r="O37" s="49">
        <v>0</v>
      </c>
      <c r="P37" s="50">
        <v>0</v>
      </c>
      <c r="Q37" s="50">
        <v>0</v>
      </c>
      <c r="R37" s="50">
        <v>0</v>
      </c>
      <c r="S37" s="60">
        <v>0</v>
      </c>
      <c r="T37" s="64">
        <v>0</v>
      </c>
      <c r="U37" s="65">
        <v>271.50844652546408</v>
      </c>
      <c r="V37" s="62">
        <v>152.62425068590738</v>
      </c>
      <c r="W37" s="62">
        <v>31.310986982202877</v>
      </c>
      <c r="X37" s="62">
        <v>17.60098438022893</v>
      </c>
      <c r="Y37" s="66">
        <v>118.4285557867149</v>
      </c>
      <c r="Z37" s="66">
        <v>66.572770821943209</v>
      </c>
      <c r="AA37" s="67">
        <v>0</v>
      </c>
      <c r="AB37" s="68">
        <v>60.720767895380888</v>
      </c>
      <c r="AC37" s="69">
        <v>0</v>
      </c>
      <c r="AD37" s="410">
        <v>8.4972389720589661</v>
      </c>
      <c r="AE37" s="410">
        <v>4.4522391983043406</v>
      </c>
      <c r="AF37" s="69">
        <v>12.591735162337601</v>
      </c>
      <c r="AG37" s="68">
        <v>7.9200627122939764</v>
      </c>
      <c r="AH37" s="68">
        <v>4.4521400800541713</v>
      </c>
      <c r="AI37" s="68">
        <v>0.64014976518104827</v>
      </c>
      <c r="AJ37" s="69">
        <v>290.98216673533125</v>
      </c>
      <c r="AK37" s="69">
        <v>1004.4233898798625</v>
      </c>
      <c r="AL37" s="69">
        <v>2920.1625825246174</v>
      </c>
      <c r="AM37" s="69">
        <v>503.89302523930871</v>
      </c>
      <c r="AN37" s="69">
        <v>3752.2540829976406</v>
      </c>
      <c r="AO37" s="69">
        <v>2535.1272396087647</v>
      </c>
      <c r="AP37" s="69">
        <v>492.39311203956606</v>
      </c>
      <c r="AQ37" s="69">
        <v>1801.9694875081379</v>
      </c>
      <c r="AR37" s="69">
        <v>324.74184532165532</v>
      </c>
      <c r="AS37" s="69">
        <v>536.64297418594356</v>
      </c>
    </row>
    <row r="38" spans="1:45" ht="15.75" thickBot="1" x14ac:dyDescent="0.3">
      <c r="A38" s="11">
        <v>43131</v>
      </c>
      <c r="B38" s="73"/>
      <c r="C38" s="74">
        <v>54.720115490754736</v>
      </c>
      <c r="D38" s="74">
        <v>728.28624734878565</v>
      </c>
      <c r="E38" s="74">
        <v>15.712475741902969</v>
      </c>
      <c r="F38" s="74">
        <v>0</v>
      </c>
      <c r="G38" s="74">
        <v>1916.6305361429859</v>
      </c>
      <c r="H38" s="75">
        <v>23.142256707946487</v>
      </c>
      <c r="I38" s="76">
        <v>124.05055209795644</v>
      </c>
      <c r="J38" s="74">
        <v>343.45402185122219</v>
      </c>
      <c r="K38" s="74">
        <v>18.889275593062216</v>
      </c>
      <c r="L38" s="60">
        <v>0</v>
      </c>
      <c r="M38" s="74">
        <v>0</v>
      </c>
      <c r="N38" s="75">
        <v>0</v>
      </c>
      <c r="O38" s="49">
        <v>0</v>
      </c>
      <c r="P38" s="74">
        <v>0</v>
      </c>
      <c r="Q38" s="50">
        <v>0</v>
      </c>
      <c r="R38" s="50">
        <v>0</v>
      </c>
      <c r="S38" s="74">
        <v>0</v>
      </c>
      <c r="T38" s="78">
        <v>0</v>
      </c>
      <c r="U38" s="79">
        <v>266.0507182586029</v>
      </c>
      <c r="V38" s="80">
        <v>149.64637015251415</v>
      </c>
      <c r="W38" s="81">
        <v>31.63188623395196</v>
      </c>
      <c r="X38" s="81">
        <v>17.792084858749028</v>
      </c>
      <c r="Y38" s="80">
        <v>113.84697834217965</v>
      </c>
      <c r="Z38" s="80">
        <v>64.035861933585238</v>
      </c>
      <c r="AA38" s="82">
        <v>0</v>
      </c>
      <c r="AB38" s="83">
        <v>60.28990827666447</v>
      </c>
      <c r="AC38" s="84">
        <v>0</v>
      </c>
      <c r="AD38" s="410">
        <v>8.4500678531037163</v>
      </c>
      <c r="AE38" s="410">
        <v>4.4533476021649889</v>
      </c>
      <c r="AF38" s="85">
        <v>12.347824919886088</v>
      </c>
      <c r="AG38" s="83">
        <v>7.7744427920098129</v>
      </c>
      <c r="AH38" s="83">
        <v>4.3729148765228931</v>
      </c>
      <c r="AI38" s="83">
        <v>0.64001102166845936</v>
      </c>
      <c r="AJ38" s="84">
        <v>300.98353578249606</v>
      </c>
      <c r="AK38" s="84">
        <v>1025.2701762517293</v>
      </c>
      <c r="AL38" s="84">
        <v>2932.9904579162603</v>
      </c>
      <c r="AM38" s="84">
        <v>512.58679555257163</v>
      </c>
      <c r="AN38" s="84">
        <v>3899.0898063659661</v>
      </c>
      <c r="AO38" s="84">
        <v>2577.2185145060225</v>
      </c>
      <c r="AP38" s="84">
        <v>522.8325451850892</v>
      </c>
      <c r="AQ38" s="84">
        <v>1810.0052231470743</v>
      </c>
      <c r="AR38" s="84">
        <v>332.00698587099714</v>
      </c>
      <c r="AS38" s="84">
        <v>542.79240395228067</v>
      </c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1710.8707008461176</v>
      </c>
      <c r="D39" s="30">
        <f t="shared" si="0"/>
        <v>22981.08673222857</v>
      </c>
      <c r="E39" s="30">
        <f t="shared" si="0"/>
        <v>485.43119078377856</v>
      </c>
      <c r="F39" s="30">
        <f t="shared" si="0"/>
        <v>0</v>
      </c>
      <c r="G39" s="30">
        <f t="shared" si="0"/>
        <v>62116.05822111755</v>
      </c>
      <c r="H39" s="31">
        <f t="shared" si="0"/>
        <v>807.96194931765478</v>
      </c>
      <c r="I39" s="29">
        <f t="shared" si="0"/>
        <v>3493.3260452191025</v>
      </c>
      <c r="J39" s="30">
        <f t="shared" si="0"/>
        <v>10140.432157580066</v>
      </c>
      <c r="K39" s="30">
        <f t="shared" si="0"/>
        <v>556.9949743116897</v>
      </c>
      <c r="L39" s="30">
        <f t="shared" si="0"/>
        <v>5.6648254394531249E-5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8348.2356673866343</v>
      </c>
      <c r="V39" s="262">
        <f t="shared" si="0"/>
        <v>4678.5889955000675</v>
      </c>
      <c r="W39" s="262">
        <f t="shared" si="0"/>
        <v>946.23558184512467</v>
      </c>
      <c r="X39" s="262">
        <f t="shared" si="0"/>
        <v>530.33486408185911</v>
      </c>
      <c r="Y39" s="262">
        <f t="shared" si="0"/>
        <v>3706.9495013355345</v>
      </c>
      <c r="Z39" s="262">
        <f t="shared" si="0"/>
        <v>2077.7336889863877</v>
      </c>
      <c r="AA39" s="270">
        <f t="shared" si="0"/>
        <v>0</v>
      </c>
      <c r="AB39" s="273">
        <f t="shared" si="0"/>
        <v>1773.933147210545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9604.9222985426604</v>
      </c>
      <c r="AK39" s="273">
        <f t="shared" si="1"/>
        <v>32617.463976542149</v>
      </c>
      <c r="AL39" s="273">
        <f t="shared" si="1"/>
        <v>90959.983693822243</v>
      </c>
      <c r="AM39" s="273">
        <f t="shared" si="1"/>
        <v>17880.735299682619</v>
      </c>
      <c r="AN39" s="273">
        <f t="shared" si="1"/>
        <v>125985.71740938825</v>
      </c>
      <c r="AO39" s="273">
        <f t="shared" si="1"/>
        <v>80930.665480931581</v>
      </c>
      <c r="AP39" s="273">
        <f t="shared" si="1"/>
        <v>17414.013144159318</v>
      </c>
      <c r="AQ39" s="273">
        <f t="shared" si="1"/>
        <v>56433.640475463886</v>
      </c>
      <c r="AR39" s="273">
        <f t="shared" si="1"/>
        <v>10186.68897878329</v>
      </c>
      <c r="AS39" s="273">
        <f t="shared" si="1"/>
        <v>16686.948891035714</v>
      </c>
    </row>
    <row r="40" spans="1:45" ht="15.75" thickBot="1" x14ac:dyDescent="0.3">
      <c r="A40" s="47" t="s">
        <v>172</v>
      </c>
      <c r="B40" s="32">
        <f>Projection!$AA$30</f>
        <v>0.82128400199999985</v>
      </c>
      <c r="C40" s="33">
        <f>Projection!$AA$28</f>
        <v>1.2667292399999999</v>
      </c>
      <c r="D40" s="33">
        <f>Projection!$AA$31</f>
        <v>2.6329379999999998</v>
      </c>
      <c r="E40" s="33">
        <f>Projection!$AA$26</f>
        <v>3.9898560000000005</v>
      </c>
      <c r="F40" s="33">
        <f>Projection!$AA$23</f>
        <v>0</v>
      </c>
      <c r="G40" s="33">
        <f>Projection!$AA$24</f>
        <v>5.5265000000000002E-2</v>
      </c>
      <c r="H40" s="34">
        <f>Projection!$AA$29</f>
        <v>3.5497125</v>
      </c>
      <c r="I40" s="32">
        <f>Projection!$AA$30</f>
        <v>0.82128400199999985</v>
      </c>
      <c r="J40" s="33">
        <f>Projection!$AA$28</f>
        <v>1.2667292399999999</v>
      </c>
      <c r="K40" s="33">
        <f>Projection!$AA$26</f>
        <v>3.9898560000000005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1.2667292399999999</v>
      </c>
      <c r="T40" s="38">
        <f>Projection!$AA$28</f>
        <v>1.2667292399999999</v>
      </c>
      <c r="U40" s="26">
        <f>Projection!$AA$27</f>
        <v>0.27460000000000001</v>
      </c>
      <c r="V40" s="27">
        <f>Projection!$AA$27</f>
        <v>0.27460000000000001</v>
      </c>
      <c r="W40" s="27">
        <f>Projection!$AA$22</f>
        <v>0.74349432000000004</v>
      </c>
      <c r="X40" s="27">
        <f>Projection!$AA$22</f>
        <v>0.74349432000000004</v>
      </c>
      <c r="Y40" s="27">
        <f>Projection!$AA$31</f>
        <v>2.6329379999999998</v>
      </c>
      <c r="Z40" s="27">
        <f>Projection!$AA$31</f>
        <v>2.6329379999999998</v>
      </c>
      <c r="AA40" s="28">
        <v>0</v>
      </c>
      <c r="AB40" s="41">
        <f>Projection!$AA$27</f>
        <v>0.27460000000000001</v>
      </c>
      <c r="AC40" s="41">
        <f>Projection!$AA$30</f>
        <v>0.82128400199999985</v>
      </c>
      <c r="AD40" s="404">
        <f>SUM(AD8:AD38)</f>
        <v>261.46293439824461</v>
      </c>
      <c r="AE40" s="404">
        <f>SUM(AE8:AE38)</f>
        <v>138.20513457987204</v>
      </c>
      <c r="AF40" s="277">
        <f>SUM(AF8:AF38)</f>
        <v>386.62300905783974</v>
      </c>
      <c r="AG40" s="277">
        <f>SUM(AG8:AG38)</f>
        <v>244.3727907501584</v>
      </c>
      <c r="AH40" s="277">
        <f>SUM(AH8:AH38)</f>
        <v>136.966741449517</v>
      </c>
      <c r="AI40" s="277">
        <f>IF(SUM(AG40:AH40)&gt;0, AG40/(AG40+AH40), 0)</f>
        <v>0.64082732084068572</v>
      </c>
      <c r="AJ40" s="313">
        <v>6.9000000000000006E-2</v>
      </c>
      <c r="AK40" s="313">
        <f t="shared" ref="AK40:AS40" si="2">$AJ$40</f>
        <v>6.9000000000000006E-2</v>
      </c>
      <c r="AL40" s="313">
        <f t="shared" si="2"/>
        <v>6.9000000000000006E-2</v>
      </c>
      <c r="AM40" s="313">
        <f t="shared" si="2"/>
        <v>6.9000000000000006E-2</v>
      </c>
      <c r="AN40" s="313">
        <f t="shared" si="2"/>
        <v>6.9000000000000006E-2</v>
      </c>
      <c r="AO40" s="313">
        <f t="shared" si="2"/>
        <v>6.9000000000000006E-2</v>
      </c>
      <c r="AP40" s="313">
        <f t="shared" si="2"/>
        <v>6.9000000000000006E-2</v>
      </c>
      <c r="AQ40" s="313">
        <f t="shared" si="2"/>
        <v>6.9000000000000006E-2</v>
      </c>
      <c r="AR40" s="313">
        <f t="shared" si="2"/>
        <v>6.9000000000000006E-2</v>
      </c>
      <c r="AS40" s="313">
        <f t="shared" si="2"/>
        <v>6.9000000000000006E-2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2167.2099426210698</v>
      </c>
      <c r="D41" s="36">
        <f t="shared" si="3"/>
        <v>60507.776538580423</v>
      </c>
      <c r="E41" s="36">
        <f t="shared" si="3"/>
        <v>1936.8005491358037</v>
      </c>
      <c r="F41" s="36">
        <f t="shared" si="3"/>
        <v>0</v>
      </c>
      <c r="G41" s="36">
        <f t="shared" si="3"/>
        <v>3432.8439575900616</v>
      </c>
      <c r="H41" s="37">
        <f t="shared" si="3"/>
        <v>2868.0326310172459</v>
      </c>
      <c r="I41" s="35">
        <f t="shared" si="3"/>
        <v>2869.012794708377</v>
      </c>
      <c r="J41" s="36">
        <f t="shared" si="3"/>
        <v>12845.181920242956</v>
      </c>
      <c r="K41" s="36">
        <f t="shared" si="3"/>
        <v>2222.3297402273415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2292.4255142643697</v>
      </c>
      <c r="V41" s="268">
        <f t="shared" si="3"/>
        <v>1284.7405381643187</v>
      </c>
      <c r="W41" s="268">
        <f t="shared" si="3"/>
        <v>703.5207804837454</v>
      </c>
      <c r="X41" s="268">
        <f t="shared" si="3"/>
        <v>394.3009591428343</v>
      </c>
      <c r="Y41" s="268">
        <f t="shared" si="3"/>
        <v>9760.1682061473784</v>
      </c>
      <c r="Z41" s="268">
        <f t="shared" si="3"/>
        <v>5470.5439836124415</v>
      </c>
      <c r="AA41" s="272">
        <f t="shared" si="3"/>
        <v>0</v>
      </c>
      <c r="AB41" s="275">
        <f t="shared" si="3"/>
        <v>487.12204222401567</v>
      </c>
      <c r="AC41" s="275">
        <f t="shared" si="3"/>
        <v>0</v>
      </c>
      <c r="AJ41" s="278">
        <f t="shared" ref="AJ41:AS41" si="4">AJ40*AJ39</f>
        <v>662.73963859944365</v>
      </c>
      <c r="AK41" s="278">
        <f t="shared" si="4"/>
        <v>2250.6050143814086</v>
      </c>
      <c r="AL41" s="278">
        <f t="shared" si="4"/>
        <v>6276.2388748737358</v>
      </c>
      <c r="AM41" s="278">
        <f t="shared" si="4"/>
        <v>1233.7707356781009</v>
      </c>
      <c r="AN41" s="278">
        <f t="shared" si="4"/>
        <v>8693.0145012477897</v>
      </c>
      <c r="AO41" s="278">
        <f t="shared" si="4"/>
        <v>5584.2159181842799</v>
      </c>
      <c r="AP41" s="278">
        <f t="shared" si="4"/>
        <v>1201.5669069469932</v>
      </c>
      <c r="AQ41" s="278">
        <f t="shared" si="4"/>
        <v>3893.9211928070085</v>
      </c>
      <c r="AR41" s="278">
        <f t="shared" si="4"/>
        <v>702.88153953604706</v>
      </c>
      <c r="AS41" s="278">
        <f t="shared" si="4"/>
        <v>1151.3994734814644</v>
      </c>
    </row>
    <row r="42" spans="1:45" ht="49.5" customHeight="1" thickTop="1" thickBot="1" x14ac:dyDescent="0.3">
      <c r="A42" s="637">
        <v>43101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1553.72</v>
      </c>
      <c r="AK42" s="278" t="s">
        <v>197</v>
      </c>
      <c r="AL42" s="278">
        <v>2752.6</v>
      </c>
      <c r="AM42" s="278">
        <v>821.78</v>
      </c>
      <c r="AN42" s="278">
        <v>1356.78</v>
      </c>
      <c r="AO42" s="278">
        <v>7565.05</v>
      </c>
      <c r="AP42" s="278">
        <v>1645.22</v>
      </c>
      <c r="AQ42" s="278" t="s">
        <v>197</v>
      </c>
      <c r="AR42" s="278">
        <v>263.64999999999998</v>
      </c>
      <c r="AS42" s="278">
        <v>604.6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109242.0100981624</v>
      </c>
      <c r="C44" s="12"/>
      <c r="D44" s="282" t="s">
        <v>135</v>
      </c>
      <c r="E44" s="283">
        <f>SUM(B41:H41)+P41+R41+T41+V41+X41+Z41</f>
        <v>78062.249099864202</v>
      </c>
      <c r="F44" s="12"/>
      <c r="G44" s="282" t="s">
        <v>135</v>
      </c>
      <c r="H44" s="283">
        <f>SUM(I41:N41)+O41+Q41+S41+U41+W41+Y41</f>
        <v>30692.638956074166</v>
      </c>
      <c r="I44" s="12"/>
      <c r="J44" s="282" t="s">
        <v>198</v>
      </c>
      <c r="K44" s="283">
        <v>139277.42000000001</v>
      </c>
      <c r="L44" s="12"/>
      <c r="M44" s="12"/>
      <c r="N44" s="12"/>
      <c r="O44" s="12"/>
      <c r="P44" s="12"/>
      <c r="Q44" s="12"/>
      <c r="R44" s="301" t="s">
        <v>135</v>
      </c>
      <c r="S44" s="302"/>
      <c r="T44" s="297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31650.353795736271</v>
      </c>
      <c r="C45" s="12"/>
      <c r="D45" s="284" t="s">
        <v>183</v>
      </c>
      <c r="E45" s="285">
        <f>AJ41*(1-$AI$40)+AK41+AL41*0.5+AN41+AO41*(1-$AI$40)+AP41*(1-$AI$40)+AQ41*(1-$AI$40)+AR41*0.5+AS41*0.5</f>
        <v>19082.775335907041</v>
      </c>
      <c r="F45" s="24"/>
      <c r="G45" s="284" t="s">
        <v>183</v>
      </c>
      <c r="H45" s="285">
        <f>AJ41*AI40+AL41*0.5+AM41+AO41*AI40+AP41*AI40+AQ41*AI40+AR41*0.5+AS41*0.5</f>
        <v>12567.578459829227</v>
      </c>
      <c r="I45" s="12"/>
      <c r="J45" s="12"/>
      <c r="K45" s="288"/>
      <c r="L45" s="12"/>
      <c r="M45" s="12"/>
      <c r="N45" s="12"/>
      <c r="O45" s="12"/>
      <c r="P45" s="12"/>
      <c r="Q45" s="12"/>
      <c r="R45" s="299" t="s">
        <v>141</v>
      </c>
      <c r="S45" s="300"/>
      <c r="T45" s="254">
        <f>$W$39+$X$39</f>
        <v>1476.5704459269837</v>
      </c>
      <c r="U45" s="256">
        <f>(T45*8.34*0.895)/27000</f>
        <v>0.40820610294565868</v>
      </c>
    </row>
    <row r="46" spans="1:45" ht="32.25" thickBot="1" x14ac:dyDescent="0.3">
      <c r="A46" s="286" t="s">
        <v>184</v>
      </c>
      <c r="B46" s="287">
        <f>SUM(AJ42:AS42)</f>
        <v>16563.399999999998</v>
      </c>
      <c r="C46" s="12"/>
      <c r="D46" s="286" t="s">
        <v>184</v>
      </c>
      <c r="E46" s="287">
        <f>AJ42*(1-$AI$40)+AL42*0.5+AN42+AO42*(1-$AI$40)+AP42*(1-$AI$40)+AR42*0.5+AS42*0.5</f>
        <v>7033.3361267440669</v>
      </c>
      <c r="F46" s="23"/>
      <c r="G46" s="286" t="s">
        <v>184</v>
      </c>
      <c r="H46" s="287">
        <f>AJ42*AI40+AL42*0.5+AM42+AO42*AI40+AP42*AI40+AR42*0.5+AS42*0.5</f>
        <v>9530.0638732559328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299" t="s">
        <v>145</v>
      </c>
      <c r="S46" s="300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139277.42000000001</v>
      </c>
      <c r="C47" s="12"/>
      <c r="D47" s="286" t="s">
        <v>187</v>
      </c>
      <c r="E47" s="287">
        <f>K44*0.5</f>
        <v>69638.710000000006</v>
      </c>
      <c r="F47" s="24"/>
      <c r="G47" s="286" t="s">
        <v>185</v>
      </c>
      <c r="H47" s="287">
        <f>K44*0.5</f>
        <v>69638.710000000006</v>
      </c>
      <c r="I47" s="12"/>
      <c r="J47" s="282" t="s">
        <v>198</v>
      </c>
      <c r="K47" s="283">
        <v>28241.94</v>
      </c>
      <c r="L47" s="12"/>
      <c r="M47" s="12"/>
      <c r="N47" s="12"/>
      <c r="O47" s="12"/>
      <c r="P47" s="12"/>
      <c r="Q47" s="12"/>
      <c r="R47" s="299" t="s">
        <v>148</v>
      </c>
      <c r="S47" s="300"/>
      <c r="T47" s="254">
        <f>$G$39</f>
        <v>62116.05822111755</v>
      </c>
      <c r="U47" s="256">
        <f>T47/40000</f>
        <v>1.5529014555279388</v>
      </c>
    </row>
    <row r="48" spans="1:45" ht="24" thickBot="1" x14ac:dyDescent="0.3">
      <c r="A48" s="286" t="s">
        <v>186</v>
      </c>
      <c r="B48" s="287">
        <f>K47</f>
        <v>28241.94</v>
      </c>
      <c r="C48" s="12"/>
      <c r="D48" s="286" t="s">
        <v>186</v>
      </c>
      <c r="E48" s="287">
        <f>K47*0.5</f>
        <v>14120.97</v>
      </c>
      <c r="F48" s="23"/>
      <c r="G48" s="286" t="s">
        <v>186</v>
      </c>
      <c r="H48" s="287">
        <f>K47*0.5</f>
        <v>14120.97</v>
      </c>
      <c r="I48" s="12"/>
      <c r="J48" s="12"/>
      <c r="K48" s="86"/>
      <c r="L48" s="12"/>
      <c r="M48" s="12"/>
      <c r="N48" s="12"/>
      <c r="O48" s="12"/>
      <c r="P48" s="12"/>
      <c r="Q48" s="12"/>
      <c r="R48" s="299" t="s">
        <v>150</v>
      </c>
      <c r="S48" s="300"/>
      <c r="T48" s="254">
        <f>$L$39</f>
        <v>5.6648254394531249E-5</v>
      </c>
      <c r="U48" s="256">
        <f>T48*9.34*0.107</f>
        <v>5.6613132476806633E-5</v>
      </c>
    </row>
    <row r="49" spans="1:25" ht="48" thickTop="1" thickBot="1" x14ac:dyDescent="0.3">
      <c r="A49" s="291" t="s">
        <v>194</v>
      </c>
      <c r="B49" s="292">
        <f>AF40</f>
        <v>386.62300905783974</v>
      </c>
      <c r="C49" s="12"/>
      <c r="D49" s="291" t="s">
        <v>195</v>
      </c>
      <c r="E49" s="292">
        <f>AH40</f>
        <v>136.966741449517</v>
      </c>
      <c r="F49" s="23"/>
      <c r="G49" s="291" t="s">
        <v>196</v>
      </c>
      <c r="H49" s="292">
        <f>AG40</f>
        <v>244.3727907501584</v>
      </c>
      <c r="I49" s="12"/>
      <c r="J49" s="12"/>
      <c r="K49" s="86"/>
      <c r="L49" s="12"/>
      <c r="M49" s="12"/>
      <c r="N49" s="12"/>
      <c r="O49" s="12"/>
      <c r="P49" s="12"/>
      <c r="Q49" s="12"/>
      <c r="R49" s="299" t="s">
        <v>152</v>
      </c>
      <c r="S49" s="300"/>
      <c r="T49" s="254">
        <f>$E$39+$K$39</f>
        <v>1042.4261650954681</v>
      </c>
      <c r="U49" s="256">
        <f>(T49*8.34*1.04)/45000</f>
        <v>0.20092416856826786</v>
      </c>
    </row>
    <row r="50" spans="1:25" ht="48" customHeight="1" thickTop="1" thickBot="1" x14ac:dyDescent="0.3">
      <c r="A50" s="291" t="s">
        <v>223</v>
      </c>
      <c r="B50" s="292">
        <f>SUM(E50,H50)</f>
        <v>399.66806897811665</v>
      </c>
      <c r="C50" s="12"/>
      <c r="D50" s="291" t="s">
        <v>224</v>
      </c>
      <c r="E50" s="292">
        <f>AE40</f>
        <v>138.20513457987204</v>
      </c>
      <c r="F50" s="23"/>
      <c r="G50" s="291" t="s">
        <v>225</v>
      </c>
      <c r="H50" s="292">
        <f>AD40</f>
        <v>261.46293439824461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813.11255293625243</v>
      </c>
      <c r="C51" s="12"/>
      <c r="D51" s="291" t="s">
        <v>188</v>
      </c>
      <c r="E51" s="293">
        <f>SUM(E44:E48)/E50</f>
        <v>1359.8484682484893</v>
      </c>
      <c r="F51" s="23"/>
      <c r="G51" s="291" t="s">
        <v>189</v>
      </c>
      <c r="H51" s="293">
        <f>SUM(H44:H48)/H50</f>
        <v>522.2536096882269</v>
      </c>
      <c r="I51" s="12"/>
      <c r="J51" s="12"/>
      <c r="K51" s="86"/>
      <c r="L51" s="12"/>
      <c r="M51" s="12"/>
      <c r="N51" s="12"/>
      <c r="O51" s="12"/>
      <c r="P51" s="12"/>
      <c r="Q51" s="12"/>
      <c r="R51" s="299" t="s">
        <v>153</v>
      </c>
      <c r="S51" s="300"/>
      <c r="T51" s="254">
        <f>$U$39+$V$39+$AB$39</f>
        <v>14800.757810097246</v>
      </c>
      <c r="U51" s="256">
        <f>T51/2000/8</f>
        <v>0.92504736313107783</v>
      </c>
    </row>
    <row r="52" spans="1:25" ht="47.25" customHeight="1" thickTop="1" thickBot="1" x14ac:dyDescent="0.3">
      <c r="A52" s="281" t="s">
        <v>191</v>
      </c>
      <c r="B52" s="294">
        <f>B51/1000</f>
        <v>0.8131125529362524</v>
      </c>
      <c r="C52" s="12"/>
      <c r="D52" s="281" t="s">
        <v>192</v>
      </c>
      <c r="E52" s="294">
        <f>E51/1000</f>
        <v>1.3598484682484893</v>
      </c>
      <c r="F52" s="374">
        <f>E44/E49</f>
        <v>569.9357980903435</v>
      </c>
      <c r="G52" s="281" t="s">
        <v>193</v>
      </c>
      <c r="H52" s="294">
        <f>H51/1000</f>
        <v>0.52225360968822687</v>
      </c>
      <c r="I52" s="374">
        <f>H44/H49</f>
        <v>125.59761200032156</v>
      </c>
      <c r="J52" s="12"/>
      <c r="K52" s="86"/>
      <c r="L52" s="12"/>
      <c r="M52" s="12"/>
      <c r="N52" s="12"/>
      <c r="O52" s="12"/>
      <c r="P52" s="12"/>
      <c r="Q52" s="12"/>
      <c r="R52" s="299" t="s">
        <v>154</v>
      </c>
      <c r="S52" s="300"/>
      <c r="T52" s="254">
        <f>$C$39+$J$39+$S$39+$T$39</f>
        <v>11851.302858426183</v>
      </c>
      <c r="U52" s="256">
        <f>(T52*8.34*1.4)/45000</f>
        <v>3.0750180483329803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9" t="s">
        <v>155</v>
      </c>
      <c r="S53" s="300"/>
      <c r="T53" s="254">
        <f>$H$39</f>
        <v>807.96194931765478</v>
      </c>
      <c r="U53" s="256">
        <f>(T53*8.34*1.135)/45000</f>
        <v>0.16995748924546641</v>
      </c>
    </row>
    <row r="54" spans="1:25" ht="48" customHeight="1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9" t="s">
        <v>156</v>
      </c>
      <c r="S54" s="300"/>
      <c r="T54" s="254">
        <f>$B$39+$I$39+$AC$39</f>
        <v>3493.3260452191025</v>
      </c>
      <c r="U54" s="256">
        <f>(T54*8.34*1.029*0.03)/3300</f>
        <v>0.27253850049476364</v>
      </c>
    </row>
    <row r="55" spans="1:25" ht="57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28765.769922550491</v>
      </c>
      <c r="U55" s="259">
        <f>(T55*1.54*8.34)/45000</f>
        <v>8.2101342794948771</v>
      </c>
    </row>
    <row r="56" spans="1:25" ht="15.75" thickTop="1" x14ac:dyDescent="0.25">
      <c r="A56" s="304"/>
      <c r="B56" s="304"/>
      <c r="C56" s="304"/>
      <c r="D56" s="304"/>
      <c r="E56" s="30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620"/>
      <c r="S56" s="620"/>
      <c r="T56" s="311"/>
      <c r="U56" s="312"/>
    </row>
    <row r="57" spans="1:25" x14ac:dyDescent="0.25">
      <c r="A57" s="315"/>
      <c r="B57" s="3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22"/>
      <c r="B58" s="31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16"/>
      <c r="B59" s="31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22"/>
      <c r="B60" s="31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316"/>
      <c r="B61" s="316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n389zz7OdQ+vN23GYhXkbc46lPm4krnMBk7LYhS78WbskuVCmaGvWCMLr9zL7UfKo8+4gplpBcIfVc61C5vsAQ==" saltValue="qAEInu79JOCDm4lRJ4/prA==" spinCount="100000" sheet="1" objects="1" scenarios="1" selectLockedCells="1" selectUnlockedCells="1"/>
  <mergeCells count="33">
    <mergeCell ref="R56:S56"/>
    <mergeCell ref="R43:U43"/>
    <mergeCell ref="A54:E54"/>
    <mergeCell ref="AD4:AD5"/>
    <mergeCell ref="A55:E55"/>
    <mergeCell ref="J43:K43"/>
    <mergeCell ref="J46:K46"/>
    <mergeCell ref="A43:B43"/>
    <mergeCell ref="D43:E43"/>
    <mergeCell ref="G43:H43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E4:AE5"/>
    <mergeCell ref="AP4:AP5"/>
    <mergeCell ref="AQ4:AQ5"/>
    <mergeCell ref="AR4:AR5"/>
    <mergeCell ref="AS4:AS5"/>
    <mergeCell ref="AJ4:AJ5"/>
    <mergeCell ref="AK4:AK5"/>
    <mergeCell ref="AL4:AL5"/>
    <mergeCell ref="AM4:AM5"/>
    <mergeCell ref="AO4:AO5"/>
    <mergeCell ref="AN4:AN5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W64"/>
  <sheetViews>
    <sheetView zoomScale="80" zoomScaleNormal="80" workbookViewId="0">
      <selection activeCell="AD36" sqref="AD36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42578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6" width="20.28515625" customWidth="1"/>
    <col min="47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</row>
    <row r="5" spans="1:49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  <c r="AV5" t="s">
        <v>169</v>
      </c>
      <c r="AW5" s="338" t="s">
        <v>207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6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43132</v>
      </c>
      <c r="B8" s="49"/>
      <c r="C8" s="50">
        <v>55.203062804540203</v>
      </c>
      <c r="D8" s="50">
        <v>715.15045064290155</v>
      </c>
      <c r="E8" s="50">
        <v>15.603270666797957</v>
      </c>
      <c r="F8" s="50">
        <v>0</v>
      </c>
      <c r="G8" s="50">
        <v>1931.6285630543994</v>
      </c>
      <c r="H8" s="51">
        <v>23.184277190764728</v>
      </c>
      <c r="I8" s="49">
        <v>122.52133261362724</v>
      </c>
      <c r="J8" s="50">
        <v>341.85699731508959</v>
      </c>
      <c r="K8" s="50">
        <v>18.655786961317055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265.75619904974252</v>
      </c>
      <c r="V8" s="54">
        <v>149.47272086958685</v>
      </c>
      <c r="W8" s="54">
        <v>31.468841752628222</v>
      </c>
      <c r="X8" s="54">
        <v>17.699430591643072</v>
      </c>
      <c r="Y8" s="54">
        <v>113.57540233088071</v>
      </c>
      <c r="Z8" s="54">
        <v>63.879693007940773</v>
      </c>
      <c r="AA8" s="55">
        <v>0</v>
      </c>
      <c r="AB8" s="56">
        <v>60.197597259945454</v>
      </c>
      <c r="AC8" s="57">
        <v>0</v>
      </c>
      <c r="AD8" s="411">
        <v>8.412138131127664</v>
      </c>
      <c r="AE8" s="411">
        <v>4.4600786079749115</v>
      </c>
      <c r="AF8" s="57">
        <v>12.510867716868704</v>
      </c>
      <c r="AG8" s="58">
        <v>7.8763144861107888</v>
      </c>
      <c r="AH8" s="58">
        <v>4.4299781561940641</v>
      </c>
      <c r="AI8" s="58">
        <v>0.64002333725062699</v>
      </c>
      <c r="AJ8" s="57">
        <v>314.50335407257074</v>
      </c>
      <c r="AK8" s="57">
        <v>1073.642001914978</v>
      </c>
      <c r="AL8" s="57">
        <v>2921.6726029713941</v>
      </c>
      <c r="AM8" s="57">
        <v>518.43643808364868</v>
      </c>
      <c r="AN8" s="57">
        <v>4053.4777570088704</v>
      </c>
      <c r="AO8" s="57">
        <v>2615.4638179779058</v>
      </c>
      <c r="AP8" s="57">
        <v>578.7290461858114</v>
      </c>
      <c r="AQ8" s="57">
        <v>1785.9068827946983</v>
      </c>
      <c r="AR8" s="57">
        <v>332.46247340838113</v>
      </c>
      <c r="AS8" s="57">
        <v>541.5202331860861</v>
      </c>
    </row>
    <row r="9" spans="1:49" x14ac:dyDescent="0.25">
      <c r="A9" s="11">
        <v>43133</v>
      </c>
      <c r="B9" s="59"/>
      <c r="C9" s="60">
        <v>55.165112225215253</v>
      </c>
      <c r="D9" s="60">
        <v>711.9121296246833</v>
      </c>
      <c r="E9" s="60">
        <v>15.540730328361199</v>
      </c>
      <c r="F9" s="60">
        <v>0</v>
      </c>
      <c r="G9" s="60">
        <v>1896.1966056823696</v>
      </c>
      <c r="H9" s="61">
        <v>23.179051248232483</v>
      </c>
      <c r="I9" s="59">
        <v>123.02138546307873</v>
      </c>
      <c r="J9" s="60">
        <v>342.44223082860401</v>
      </c>
      <c r="K9" s="60">
        <v>18.761289613942306</v>
      </c>
      <c r="L9" s="50">
        <v>2.8324127197265628E-5</v>
      </c>
      <c r="M9" s="60">
        <v>0</v>
      </c>
      <c r="N9" s="61">
        <v>0</v>
      </c>
      <c r="O9" s="49">
        <v>0</v>
      </c>
      <c r="P9" s="60">
        <v>0</v>
      </c>
      <c r="Q9" s="50">
        <v>0</v>
      </c>
      <c r="R9" s="50">
        <v>0</v>
      </c>
      <c r="S9" s="60">
        <v>0</v>
      </c>
      <c r="T9" s="64">
        <v>0</v>
      </c>
      <c r="U9" s="65">
        <v>258.07569724642019</v>
      </c>
      <c r="V9" s="62">
        <v>143.05266210314699</v>
      </c>
      <c r="W9" s="62">
        <v>30.181152936669296</v>
      </c>
      <c r="X9" s="62">
        <v>16.72956546857743</v>
      </c>
      <c r="Y9" s="66">
        <v>108.83373436190091</v>
      </c>
      <c r="Z9" s="66">
        <v>60.327088498499158</v>
      </c>
      <c r="AA9" s="67">
        <v>0</v>
      </c>
      <c r="AB9" s="68">
        <v>59.844834322400217</v>
      </c>
      <c r="AC9" s="69">
        <v>0</v>
      </c>
      <c r="AD9" s="412">
        <v>8.4257530899362258</v>
      </c>
      <c r="AE9" s="412">
        <v>4.4604066923573145</v>
      </c>
      <c r="AF9" s="69">
        <v>12.103003227379579</v>
      </c>
      <c r="AG9" s="68">
        <v>7.6861852656031733</v>
      </c>
      <c r="AH9" s="68">
        <v>4.2604913031103688</v>
      </c>
      <c r="AI9" s="68">
        <v>0.64337434945983873</v>
      </c>
      <c r="AJ9" s="69">
        <v>306.74862465858456</v>
      </c>
      <c r="AK9" s="69">
        <v>1047.7064601262412</v>
      </c>
      <c r="AL9" s="69">
        <v>2902.4312488555906</v>
      </c>
      <c r="AM9" s="69">
        <v>548.91444797515874</v>
      </c>
      <c r="AN9" s="69">
        <v>3912.0607312520347</v>
      </c>
      <c r="AO9" s="69">
        <v>2609.8146135965985</v>
      </c>
      <c r="AP9" s="69">
        <v>542.60422414143886</v>
      </c>
      <c r="AQ9" s="69">
        <v>1807.6088649113972</v>
      </c>
      <c r="AR9" s="69">
        <v>331.49082992871598</v>
      </c>
      <c r="AS9" s="69">
        <v>554.70861196517944</v>
      </c>
    </row>
    <row r="10" spans="1:49" x14ac:dyDescent="0.25">
      <c r="A10" s="11">
        <v>43134</v>
      </c>
      <c r="B10" s="59"/>
      <c r="C10" s="60">
        <v>54.817676691214146</v>
      </c>
      <c r="D10" s="60">
        <v>716.19214188257899</v>
      </c>
      <c r="E10" s="60">
        <v>15.602526967227451</v>
      </c>
      <c r="F10" s="60">
        <v>0</v>
      </c>
      <c r="G10" s="60">
        <v>1883.0177833557161</v>
      </c>
      <c r="H10" s="61">
        <v>23.163356303175295</v>
      </c>
      <c r="I10" s="59">
        <v>120.78095526695256</v>
      </c>
      <c r="J10" s="60">
        <v>339.35203235944169</v>
      </c>
      <c r="K10" s="60">
        <v>18.618567777176693</v>
      </c>
      <c r="L10" s="50">
        <v>9.4413757324218753E-6</v>
      </c>
      <c r="M10" s="60">
        <v>0</v>
      </c>
      <c r="N10" s="61">
        <v>0</v>
      </c>
      <c r="O10" s="49">
        <v>0</v>
      </c>
      <c r="P10" s="60">
        <v>0</v>
      </c>
      <c r="Q10" s="50">
        <v>0</v>
      </c>
      <c r="R10" s="50">
        <v>0</v>
      </c>
      <c r="S10" s="60">
        <v>0</v>
      </c>
      <c r="T10" s="64">
        <v>0</v>
      </c>
      <c r="U10" s="65">
        <v>264.5527991097934</v>
      </c>
      <c r="V10" s="62">
        <v>148.7848593908777</v>
      </c>
      <c r="W10" s="62">
        <v>31.044988796341052</v>
      </c>
      <c r="X10" s="62">
        <v>17.459744551551736</v>
      </c>
      <c r="Y10" s="66">
        <v>111.71087803900271</v>
      </c>
      <c r="Z10" s="66">
        <v>62.826352007587666</v>
      </c>
      <c r="AA10" s="67">
        <v>0</v>
      </c>
      <c r="AB10" s="68">
        <v>59.401928642061243</v>
      </c>
      <c r="AC10" s="69">
        <v>0</v>
      </c>
      <c r="AD10" s="412">
        <v>8.3484745654973</v>
      </c>
      <c r="AE10" s="412">
        <v>4.4575307436052833</v>
      </c>
      <c r="AF10" s="69">
        <v>12.486674957805219</v>
      </c>
      <c r="AG10" s="68">
        <v>7.9250290575263289</v>
      </c>
      <c r="AH10" s="68">
        <v>4.4570472811490474</v>
      </c>
      <c r="AI10" s="68">
        <v>0.64004039716445016</v>
      </c>
      <c r="AJ10" s="69">
        <v>300.110080464681</v>
      </c>
      <c r="AK10" s="69">
        <v>1007.3349758148191</v>
      </c>
      <c r="AL10" s="69">
        <v>3035.1980044047041</v>
      </c>
      <c r="AM10" s="69">
        <v>551.68409980138142</v>
      </c>
      <c r="AN10" s="69">
        <v>3937.9505264282225</v>
      </c>
      <c r="AO10" s="69">
        <v>2457.6193669637037</v>
      </c>
      <c r="AP10" s="69">
        <v>506.46692934036253</v>
      </c>
      <c r="AQ10" s="69">
        <v>1790.5750172932944</v>
      </c>
      <c r="AR10" s="69">
        <v>329.3094389120738</v>
      </c>
      <c r="AS10" s="69">
        <v>500.0512628237405</v>
      </c>
    </row>
    <row r="11" spans="1:49" x14ac:dyDescent="0.25">
      <c r="A11" s="11">
        <v>43135</v>
      </c>
      <c r="B11" s="59"/>
      <c r="C11" s="60">
        <v>54.756140180429036</v>
      </c>
      <c r="D11" s="60">
        <v>722.73337262471409</v>
      </c>
      <c r="E11" s="60">
        <v>15.567037730415658</v>
      </c>
      <c r="F11" s="60">
        <v>0</v>
      </c>
      <c r="G11" s="60">
        <v>1965.2611570994052</v>
      </c>
      <c r="H11" s="61">
        <v>23.182636417945226</v>
      </c>
      <c r="I11" s="59">
        <v>120.65938790639235</v>
      </c>
      <c r="J11" s="60">
        <v>339.10701405207379</v>
      </c>
      <c r="K11" s="60">
        <v>18.705831723908595</v>
      </c>
      <c r="L11" s="50">
        <v>1.9826889038085943E-4</v>
      </c>
      <c r="M11" s="60">
        <v>0</v>
      </c>
      <c r="N11" s="61">
        <v>0</v>
      </c>
      <c r="O11" s="49">
        <v>0</v>
      </c>
      <c r="P11" s="60">
        <v>0</v>
      </c>
      <c r="Q11" s="50">
        <v>0</v>
      </c>
      <c r="R11" s="50">
        <v>0</v>
      </c>
      <c r="S11" s="60">
        <v>0</v>
      </c>
      <c r="T11" s="64">
        <v>0</v>
      </c>
      <c r="U11" s="65">
        <v>267.19108853532589</v>
      </c>
      <c r="V11" s="62">
        <v>150.27623154659599</v>
      </c>
      <c r="W11" s="62">
        <v>31.935473440138285</v>
      </c>
      <c r="X11" s="62">
        <v>17.961462066523534</v>
      </c>
      <c r="Y11" s="66">
        <v>112.59039218002169</v>
      </c>
      <c r="Z11" s="66">
        <v>63.324192202353366</v>
      </c>
      <c r="AA11" s="67">
        <v>0</v>
      </c>
      <c r="AB11" s="68">
        <v>59.511129225625808</v>
      </c>
      <c r="AC11" s="69">
        <v>0</v>
      </c>
      <c r="AD11" s="412">
        <v>8.3433243028307427</v>
      </c>
      <c r="AE11" s="412">
        <v>4.4549888270788731</v>
      </c>
      <c r="AF11" s="69">
        <v>12.62949620617759</v>
      </c>
      <c r="AG11" s="68">
        <v>8.0009755392316571</v>
      </c>
      <c r="AH11" s="68">
        <v>4.4999871040731261</v>
      </c>
      <c r="AI11" s="68">
        <v>0.64002875358697187</v>
      </c>
      <c r="AJ11" s="69">
        <v>313.7146757761638</v>
      </c>
      <c r="AK11" s="69">
        <v>1071.077993075053</v>
      </c>
      <c r="AL11" s="69">
        <v>2955.1381704966229</v>
      </c>
      <c r="AM11" s="69">
        <v>536.5789497693379</v>
      </c>
      <c r="AN11" s="69">
        <v>3990.9125562032068</v>
      </c>
      <c r="AO11" s="69">
        <v>2530.3583583831787</v>
      </c>
      <c r="AP11" s="69">
        <v>554.61842513084423</v>
      </c>
      <c r="AQ11" s="69">
        <v>1777.6097323099775</v>
      </c>
      <c r="AR11" s="69">
        <v>330.89616800944009</v>
      </c>
      <c r="AS11" s="69">
        <v>517.85975233713793</v>
      </c>
    </row>
    <row r="12" spans="1:49" x14ac:dyDescent="0.25">
      <c r="A12" s="11">
        <v>43136</v>
      </c>
      <c r="B12" s="59"/>
      <c r="C12" s="60">
        <v>55.083357520898403</v>
      </c>
      <c r="D12" s="60">
        <v>723.05262975692676</v>
      </c>
      <c r="E12" s="60">
        <v>15.519973248740037</v>
      </c>
      <c r="F12" s="60">
        <v>0</v>
      </c>
      <c r="G12" s="60">
        <v>1965.1457213083852</v>
      </c>
      <c r="H12" s="61">
        <v>23.139384911457693</v>
      </c>
      <c r="I12" s="59">
        <v>150.33586565653485</v>
      </c>
      <c r="J12" s="60">
        <v>339.08274378776611</v>
      </c>
      <c r="K12" s="60">
        <v>18.680610559880737</v>
      </c>
      <c r="L12" s="50">
        <v>1.2368202209472664E-3</v>
      </c>
      <c r="M12" s="60">
        <v>0</v>
      </c>
      <c r="N12" s="61">
        <v>0</v>
      </c>
      <c r="O12" s="49">
        <v>0</v>
      </c>
      <c r="P12" s="60">
        <v>0</v>
      </c>
      <c r="Q12" s="50">
        <v>0</v>
      </c>
      <c r="R12" s="50">
        <v>0</v>
      </c>
      <c r="S12" s="60">
        <v>0</v>
      </c>
      <c r="T12" s="64">
        <v>0</v>
      </c>
      <c r="U12" s="65">
        <v>263.15519514338632</v>
      </c>
      <c r="V12" s="62">
        <v>147.9918707186315</v>
      </c>
      <c r="W12" s="62">
        <v>31.164119398974442</v>
      </c>
      <c r="X12" s="62">
        <v>17.52591783962329</v>
      </c>
      <c r="Y12" s="66">
        <v>111.3481329113045</v>
      </c>
      <c r="Z12" s="66">
        <v>62.619392642398765</v>
      </c>
      <c r="AA12" s="67">
        <v>0</v>
      </c>
      <c r="AB12" s="68">
        <v>59.423186503516476</v>
      </c>
      <c r="AC12" s="69">
        <v>0</v>
      </c>
      <c r="AD12" s="412">
        <v>8.3428721720423624</v>
      </c>
      <c r="AE12" s="412">
        <v>4.4575853702503334</v>
      </c>
      <c r="AF12" s="69">
        <v>12.441145600875236</v>
      </c>
      <c r="AG12" s="68">
        <v>7.8909039609018246</v>
      </c>
      <c r="AH12" s="68">
        <v>4.4376461509666285</v>
      </c>
      <c r="AI12" s="68">
        <v>0.64005125414588748</v>
      </c>
      <c r="AJ12" s="69">
        <v>313.76986249287927</v>
      </c>
      <c r="AK12" s="69">
        <v>1056.9321655909221</v>
      </c>
      <c r="AL12" s="69">
        <v>2950.6378622690827</v>
      </c>
      <c r="AM12" s="69">
        <v>531.1645557721456</v>
      </c>
      <c r="AN12" s="69">
        <v>4295.0701126098638</v>
      </c>
      <c r="AO12" s="69">
        <v>2583.8816767374669</v>
      </c>
      <c r="AP12" s="69">
        <v>540.92343098322567</v>
      </c>
      <c r="AQ12" s="69">
        <v>1798.6344680786133</v>
      </c>
      <c r="AR12" s="69">
        <v>332.3662618160248</v>
      </c>
      <c r="AS12" s="69">
        <v>553.34825528462716</v>
      </c>
    </row>
    <row r="13" spans="1:49" x14ac:dyDescent="0.25">
      <c r="A13" s="11">
        <v>43137</v>
      </c>
      <c r="B13" s="59"/>
      <c r="C13" s="60">
        <v>54.553815829753972</v>
      </c>
      <c r="D13" s="60">
        <v>722.89338092803791</v>
      </c>
      <c r="E13" s="60">
        <v>15.503354093432415</v>
      </c>
      <c r="F13" s="60">
        <v>0</v>
      </c>
      <c r="G13" s="60">
        <v>1990.0776847839306</v>
      </c>
      <c r="H13" s="61">
        <v>23.140490919351564</v>
      </c>
      <c r="I13" s="59">
        <v>167.54735976060221</v>
      </c>
      <c r="J13" s="60">
        <v>342.0571961879732</v>
      </c>
      <c r="K13" s="60">
        <v>18.77161093999942</v>
      </c>
      <c r="L13" s="50">
        <v>2.5491714477539069E-4</v>
      </c>
      <c r="M13" s="60">
        <v>0</v>
      </c>
      <c r="N13" s="61">
        <v>0</v>
      </c>
      <c r="O13" s="49">
        <v>0</v>
      </c>
      <c r="P13" s="60">
        <v>0</v>
      </c>
      <c r="Q13" s="50">
        <v>0</v>
      </c>
      <c r="R13" s="50">
        <v>0</v>
      </c>
      <c r="S13" s="60">
        <v>0</v>
      </c>
      <c r="T13" s="64">
        <v>0</v>
      </c>
      <c r="U13" s="65">
        <v>260.59004311873048</v>
      </c>
      <c r="V13" s="62">
        <v>146.5491837947186</v>
      </c>
      <c r="W13" s="62">
        <v>30.595733936336508</v>
      </c>
      <c r="X13" s="62">
        <v>17.206259235037543</v>
      </c>
      <c r="Y13" s="66">
        <v>109.98518077034983</v>
      </c>
      <c r="Z13" s="66">
        <v>61.852856227762807</v>
      </c>
      <c r="AA13" s="67">
        <v>0</v>
      </c>
      <c r="AB13" s="68">
        <v>60.158664030499011</v>
      </c>
      <c r="AC13" s="69">
        <v>0</v>
      </c>
      <c r="AD13" s="412">
        <v>8.4165010017734225</v>
      </c>
      <c r="AE13" s="412">
        <v>4.4563744195726205</v>
      </c>
      <c r="AF13" s="69">
        <v>12.342804924647009</v>
      </c>
      <c r="AG13" s="68">
        <v>7.8077396572145359</v>
      </c>
      <c r="AH13" s="68">
        <v>4.3908733440176597</v>
      </c>
      <c r="AI13" s="68">
        <v>0.64005142686515815</v>
      </c>
      <c r="AJ13" s="69">
        <v>313.72640436490371</v>
      </c>
      <c r="AK13" s="69">
        <v>1055.0021431605021</v>
      </c>
      <c r="AL13" s="69">
        <v>2946.5803029378258</v>
      </c>
      <c r="AM13" s="69">
        <v>511.05336545308427</v>
      </c>
      <c r="AN13" s="69">
        <v>3897.8877527872723</v>
      </c>
      <c r="AO13" s="69">
        <v>2615.6566219329834</v>
      </c>
      <c r="AP13" s="69">
        <v>567.59970978101092</v>
      </c>
      <c r="AQ13" s="69">
        <v>1794.7614160537719</v>
      </c>
      <c r="AR13" s="69">
        <v>341.32158745129902</v>
      </c>
      <c r="AS13" s="69">
        <v>591.74635613759369</v>
      </c>
    </row>
    <row r="14" spans="1:49" x14ac:dyDescent="0.25">
      <c r="A14" s="11">
        <v>43138</v>
      </c>
      <c r="B14" s="59"/>
      <c r="C14" s="60">
        <v>54.541828608513342</v>
      </c>
      <c r="D14" s="60">
        <v>723.10582148233993</v>
      </c>
      <c r="E14" s="60">
        <v>15.593783886233954</v>
      </c>
      <c r="F14" s="60">
        <v>0</v>
      </c>
      <c r="G14" s="60">
        <v>1975.8877466837585</v>
      </c>
      <c r="H14" s="61">
        <v>23.119676878054946</v>
      </c>
      <c r="I14" s="59">
        <v>153.7967162370681</v>
      </c>
      <c r="J14" s="60">
        <v>338.93301207224607</v>
      </c>
      <c r="K14" s="60">
        <v>18.46174710988997</v>
      </c>
      <c r="L14" s="50">
        <v>9.4413757324218753E-6</v>
      </c>
      <c r="M14" s="60">
        <v>0</v>
      </c>
      <c r="N14" s="61">
        <v>0</v>
      </c>
      <c r="O14" s="49">
        <v>0</v>
      </c>
      <c r="P14" s="60">
        <v>0</v>
      </c>
      <c r="Q14" s="50">
        <v>0</v>
      </c>
      <c r="R14" s="50">
        <v>0</v>
      </c>
      <c r="S14" s="60">
        <v>0</v>
      </c>
      <c r="T14" s="64">
        <v>0</v>
      </c>
      <c r="U14" s="65">
        <v>262.15482662602807</v>
      </c>
      <c r="V14" s="62">
        <v>147.44587574450776</v>
      </c>
      <c r="W14" s="62">
        <v>31.284711464373039</v>
      </c>
      <c r="X14" s="62">
        <v>17.595715244484239</v>
      </c>
      <c r="Y14" s="66">
        <v>110.55861654442228</v>
      </c>
      <c r="Z14" s="66">
        <v>62.182383774104743</v>
      </c>
      <c r="AA14" s="67">
        <v>0</v>
      </c>
      <c r="AB14" s="68">
        <v>59.840720245573884</v>
      </c>
      <c r="AC14" s="69">
        <v>0</v>
      </c>
      <c r="AD14" s="412">
        <v>8.3406383131970312</v>
      </c>
      <c r="AE14" s="412">
        <v>4.4579662252672518</v>
      </c>
      <c r="AF14" s="69">
        <v>12.456152560313553</v>
      </c>
      <c r="AG14" s="68">
        <v>7.8830929746923415</v>
      </c>
      <c r="AH14" s="68">
        <v>4.4337522302688246</v>
      </c>
      <c r="AI14" s="68">
        <v>0.64002533469504586</v>
      </c>
      <c r="AJ14" s="69">
        <v>311.38315240542101</v>
      </c>
      <c r="AK14" s="69">
        <v>1048.2358702977499</v>
      </c>
      <c r="AL14" s="69">
        <v>2936.6356302897134</v>
      </c>
      <c r="AM14" s="69">
        <v>536.71314792633063</v>
      </c>
      <c r="AN14" s="69">
        <v>3645.5509137471518</v>
      </c>
      <c r="AO14" s="69">
        <v>2588.225392405192</v>
      </c>
      <c r="AP14" s="69">
        <v>559.35601555506389</v>
      </c>
      <c r="AQ14" s="69">
        <v>1798.1541889826456</v>
      </c>
      <c r="AR14" s="69">
        <v>361.81940784454349</v>
      </c>
      <c r="AS14" s="69">
        <v>648.42551530202229</v>
      </c>
    </row>
    <row r="15" spans="1:49" x14ac:dyDescent="0.25">
      <c r="A15" s="11">
        <v>43139</v>
      </c>
      <c r="B15" s="59"/>
      <c r="C15" s="60">
        <v>54.982153787215587</v>
      </c>
      <c r="D15" s="60">
        <v>723.20200529098497</v>
      </c>
      <c r="E15" s="60">
        <v>15.681315323213736</v>
      </c>
      <c r="F15" s="60">
        <v>0</v>
      </c>
      <c r="G15" s="60">
        <v>1989.1181022644032</v>
      </c>
      <c r="H15" s="61">
        <v>23.057520459095613</v>
      </c>
      <c r="I15" s="59">
        <v>156.14013572533921</v>
      </c>
      <c r="J15" s="60">
        <v>344.04987146059699</v>
      </c>
      <c r="K15" s="60">
        <v>18.808867675066018</v>
      </c>
      <c r="L15" s="50">
        <v>8.4972381591796883E-5</v>
      </c>
      <c r="M15" s="60">
        <v>0</v>
      </c>
      <c r="N15" s="61">
        <v>0</v>
      </c>
      <c r="O15" s="49">
        <v>0</v>
      </c>
      <c r="P15" s="60">
        <v>0</v>
      </c>
      <c r="Q15" s="50">
        <v>0</v>
      </c>
      <c r="R15" s="50">
        <v>0</v>
      </c>
      <c r="S15" s="60">
        <v>0</v>
      </c>
      <c r="T15" s="64">
        <v>0</v>
      </c>
      <c r="U15" s="65">
        <v>258.68950097550527</v>
      </c>
      <c r="V15" s="62">
        <v>145.47522557851735</v>
      </c>
      <c r="W15" s="62">
        <v>30.657936579261015</v>
      </c>
      <c r="X15" s="62">
        <v>17.240631037678565</v>
      </c>
      <c r="Y15" s="66">
        <v>109.01601040439974</v>
      </c>
      <c r="Z15" s="66">
        <v>61.305652705061704</v>
      </c>
      <c r="AA15" s="67">
        <v>0</v>
      </c>
      <c r="AB15" s="68">
        <v>60.441153815057582</v>
      </c>
      <c r="AC15" s="69">
        <v>0</v>
      </c>
      <c r="AD15" s="412">
        <v>8.4662460944147071</v>
      </c>
      <c r="AE15" s="412">
        <v>4.4579599194673225</v>
      </c>
      <c r="AF15" s="69">
        <v>12.374024597141483</v>
      </c>
      <c r="AG15" s="68">
        <v>7.8314780253144427</v>
      </c>
      <c r="AH15" s="68">
        <v>4.4040675328903163</v>
      </c>
      <c r="AI15" s="68">
        <v>0.6400595697233058</v>
      </c>
      <c r="AJ15" s="69">
        <v>298.733057530721</v>
      </c>
      <c r="AK15" s="69">
        <v>1010.4106499989829</v>
      </c>
      <c r="AL15" s="69">
        <v>2947.1591108957932</v>
      </c>
      <c r="AM15" s="69">
        <v>519.33767162958782</v>
      </c>
      <c r="AN15" s="69">
        <v>3397.6274871826172</v>
      </c>
      <c r="AO15" s="69">
        <v>2527.0621588389076</v>
      </c>
      <c r="AP15" s="69">
        <v>504.16048558553069</v>
      </c>
      <c r="AQ15" s="69">
        <v>1806.4214575449623</v>
      </c>
      <c r="AR15" s="69">
        <v>350.91871396700543</v>
      </c>
      <c r="AS15" s="69">
        <v>704.45930411020925</v>
      </c>
    </row>
    <row r="16" spans="1:49" x14ac:dyDescent="0.25">
      <c r="A16" s="11">
        <v>43140</v>
      </c>
      <c r="B16" s="59"/>
      <c r="C16" s="60">
        <v>54.898967635631521</v>
      </c>
      <c r="D16" s="60">
        <v>723.00874023437405</v>
      </c>
      <c r="E16" s="60">
        <v>15.613092577954122</v>
      </c>
      <c r="F16" s="60">
        <v>0</v>
      </c>
      <c r="G16" s="60">
        <v>1988.7183830261197</v>
      </c>
      <c r="H16" s="61">
        <v>23.156560577948898</v>
      </c>
      <c r="I16" s="59">
        <v>153.64051947593691</v>
      </c>
      <c r="J16" s="60">
        <v>338.49400013287971</v>
      </c>
      <c r="K16" s="60">
        <v>18.488020591437817</v>
      </c>
      <c r="L16" s="50">
        <v>6.986618041992178E-4</v>
      </c>
      <c r="M16" s="60">
        <v>0</v>
      </c>
      <c r="N16" s="61">
        <v>0</v>
      </c>
      <c r="O16" s="49">
        <v>0</v>
      </c>
      <c r="P16" s="60">
        <v>0</v>
      </c>
      <c r="Q16" s="50">
        <v>0</v>
      </c>
      <c r="R16" s="50">
        <v>0</v>
      </c>
      <c r="S16" s="60">
        <v>0</v>
      </c>
      <c r="T16" s="64">
        <v>0</v>
      </c>
      <c r="U16" s="65">
        <v>263.74408073602018</v>
      </c>
      <c r="V16" s="62">
        <v>148.36549794762109</v>
      </c>
      <c r="W16" s="62">
        <v>31.154104231030789</v>
      </c>
      <c r="X16" s="62">
        <v>17.52530018664304</v>
      </c>
      <c r="Y16" s="66">
        <v>111.90945780467553</v>
      </c>
      <c r="Z16" s="66">
        <v>62.953080827081457</v>
      </c>
      <c r="AA16" s="67">
        <v>0</v>
      </c>
      <c r="AB16" s="68">
        <v>59.720642420980475</v>
      </c>
      <c r="AC16" s="69">
        <v>0</v>
      </c>
      <c r="AD16" s="412">
        <v>8.3309299027415964</v>
      </c>
      <c r="AE16" s="412">
        <v>4.4565319648991153</v>
      </c>
      <c r="AF16" s="69">
        <v>12.633624453014797</v>
      </c>
      <c r="AG16" s="68">
        <v>8.0000665955744363</v>
      </c>
      <c r="AH16" s="68">
        <v>4.5003241807520453</v>
      </c>
      <c r="AI16" s="68">
        <v>0.63998532035695566</v>
      </c>
      <c r="AJ16" s="69">
        <v>306.06228332519532</v>
      </c>
      <c r="AK16" s="69">
        <v>1032.8147303263347</v>
      </c>
      <c r="AL16" s="69">
        <v>2962.3240215301521</v>
      </c>
      <c r="AM16" s="69">
        <v>523.84441289901736</v>
      </c>
      <c r="AN16" s="69">
        <v>3572.9296887715659</v>
      </c>
      <c r="AO16" s="69">
        <v>2582.6229590098064</v>
      </c>
      <c r="AP16" s="69">
        <v>517.02919050852472</v>
      </c>
      <c r="AQ16" s="69">
        <v>1788.0978065490726</v>
      </c>
      <c r="AR16" s="69">
        <v>336.71579445203145</v>
      </c>
      <c r="AS16" s="69">
        <v>681.20574795405059</v>
      </c>
    </row>
    <row r="17" spans="1:45" x14ac:dyDescent="0.25">
      <c r="A17" s="11">
        <v>43141</v>
      </c>
      <c r="B17" s="49"/>
      <c r="C17" s="50">
        <v>54.708342711131074</v>
      </c>
      <c r="D17" s="50">
        <v>713.59668537775553</v>
      </c>
      <c r="E17" s="50">
        <v>15.411214399337769</v>
      </c>
      <c r="F17" s="50">
        <v>0</v>
      </c>
      <c r="G17" s="50">
        <v>1947.9138515472384</v>
      </c>
      <c r="H17" s="51">
        <v>23.166173788905155</v>
      </c>
      <c r="I17" s="49">
        <v>153.94640758832298</v>
      </c>
      <c r="J17" s="50">
        <v>339.07953395843583</v>
      </c>
      <c r="K17" s="50">
        <v>18.468528114259236</v>
      </c>
      <c r="L17" s="50">
        <v>1.2273788452148439E-4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50">
        <v>0</v>
      </c>
      <c r="S17" s="50">
        <v>0</v>
      </c>
      <c r="T17" s="52">
        <v>0</v>
      </c>
      <c r="U17" s="71">
        <v>264.46414199028607</v>
      </c>
      <c r="V17" s="62">
        <v>148.74787756978628</v>
      </c>
      <c r="W17" s="62">
        <v>31.491085998661337</v>
      </c>
      <c r="X17" s="62">
        <v>17.712163809491198</v>
      </c>
      <c r="Y17" s="66">
        <v>105.48968733403062</v>
      </c>
      <c r="Z17" s="66">
        <v>59.332682980567448</v>
      </c>
      <c r="AA17" s="67">
        <v>0</v>
      </c>
      <c r="AB17" s="68">
        <v>59.910717267460001</v>
      </c>
      <c r="AC17" s="69">
        <v>0</v>
      </c>
      <c r="AD17" s="412">
        <v>8.3435974791035257</v>
      </c>
      <c r="AE17" s="412">
        <v>4.4587394584608546</v>
      </c>
      <c r="AF17" s="69">
        <v>12.627553104692009</v>
      </c>
      <c r="AG17" s="68">
        <v>8.0004928645696829</v>
      </c>
      <c r="AH17" s="68">
        <v>4.4998778441603289</v>
      </c>
      <c r="AI17" s="68">
        <v>0.64002044827216975</v>
      </c>
      <c r="AJ17" s="69">
        <v>329.28818826675416</v>
      </c>
      <c r="AK17" s="69">
        <v>1129.7874549229941</v>
      </c>
      <c r="AL17" s="69">
        <v>2927.1473485310876</v>
      </c>
      <c r="AM17" s="69">
        <v>582.41380643844616</v>
      </c>
      <c r="AN17" s="69">
        <v>3633.6651858011883</v>
      </c>
      <c r="AO17" s="69">
        <v>2624.0684064229326</v>
      </c>
      <c r="AP17" s="69">
        <v>624.7672171433768</v>
      </c>
      <c r="AQ17" s="69">
        <v>1758.2506000518799</v>
      </c>
      <c r="AR17" s="69">
        <v>340.05984651247661</v>
      </c>
      <c r="AS17" s="69">
        <v>611.45890830357871</v>
      </c>
    </row>
    <row r="18" spans="1:45" x14ac:dyDescent="0.25">
      <c r="A18" s="11">
        <v>43142</v>
      </c>
      <c r="B18" s="59"/>
      <c r="C18" s="60">
        <v>54.865977219740479</v>
      </c>
      <c r="D18" s="60">
        <v>711.99452613194831</v>
      </c>
      <c r="E18" s="60">
        <v>15.308973520000782</v>
      </c>
      <c r="F18" s="60">
        <v>0</v>
      </c>
      <c r="G18" s="60">
        <v>1919.5861502329474</v>
      </c>
      <c r="H18" s="61">
        <v>23.150657606124838</v>
      </c>
      <c r="I18" s="59">
        <v>122.41247762044262</v>
      </c>
      <c r="J18" s="60">
        <v>339.17952591578216</v>
      </c>
      <c r="K18" s="60">
        <v>18.626526015500232</v>
      </c>
      <c r="L18" s="50">
        <v>0</v>
      </c>
      <c r="M18" s="60">
        <v>0</v>
      </c>
      <c r="N18" s="61">
        <v>0</v>
      </c>
      <c r="O18" s="49">
        <v>0</v>
      </c>
      <c r="P18" s="60">
        <v>0</v>
      </c>
      <c r="Q18" s="50">
        <v>0</v>
      </c>
      <c r="R18" s="50">
        <v>0</v>
      </c>
      <c r="S18" s="60">
        <v>0</v>
      </c>
      <c r="T18" s="64">
        <v>0</v>
      </c>
      <c r="U18" s="65">
        <v>261.98154011934753</v>
      </c>
      <c r="V18" s="62">
        <v>147.38185976773633</v>
      </c>
      <c r="W18" s="62">
        <v>31.233245651780503</v>
      </c>
      <c r="X18" s="62">
        <v>17.570756430567396</v>
      </c>
      <c r="Y18" s="66">
        <v>104.88912066886267</v>
      </c>
      <c r="Z18" s="66">
        <v>59.007034108346531</v>
      </c>
      <c r="AA18" s="67">
        <v>0</v>
      </c>
      <c r="AB18" s="68">
        <v>60.11108446386072</v>
      </c>
      <c r="AC18" s="69">
        <v>0</v>
      </c>
      <c r="AD18" s="412">
        <v>8.3466075228780525</v>
      </c>
      <c r="AE18" s="412">
        <v>4.4610539731330459</v>
      </c>
      <c r="AF18" s="69">
        <v>12.493568616443216</v>
      </c>
      <c r="AG18" s="68">
        <v>7.9116437649826548</v>
      </c>
      <c r="AH18" s="68">
        <v>4.4508203569295954</v>
      </c>
      <c r="AI18" s="68">
        <v>0.63997304153622625</v>
      </c>
      <c r="AJ18" s="69">
        <v>327.37443273862198</v>
      </c>
      <c r="AK18" s="69">
        <v>1125.5899559656782</v>
      </c>
      <c r="AL18" s="69">
        <v>2983.1013928731281</v>
      </c>
      <c r="AM18" s="69">
        <v>515.88858957290643</v>
      </c>
      <c r="AN18" s="69">
        <v>3684.7880739847815</v>
      </c>
      <c r="AO18" s="69">
        <v>2637.909936269124</v>
      </c>
      <c r="AP18" s="69">
        <v>630.40378289222713</v>
      </c>
      <c r="AQ18" s="69">
        <v>1776.9199393590293</v>
      </c>
      <c r="AR18" s="69">
        <v>340.37337964375808</v>
      </c>
      <c r="AS18" s="69">
        <v>612.51975720723465</v>
      </c>
    </row>
    <row r="19" spans="1:45" x14ac:dyDescent="0.25">
      <c r="A19" s="11">
        <v>43143</v>
      </c>
      <c r="B19" s="59"/>
      <c r="C19" s="60">
        <v>54.950045696894044</v>
      </c>
      <c r="D19" s="60">
        <v>713.215244865415</v>
      </c>
      <c r="E19" s="60">
        <v>15.573859751224518</v>
      </c>
      <c r="F19" s="60">
        <v>0</v>
      </c>
      <c r="G19" s="60">
        <v>1825.8124827067045</v>
      </c>
      <c r="H19" s="61">
        <v>23.20038291315241</v>
      </c>
      <c r="I19" s="59">
        <v>117.10624896685276</v>
      </c>
      <c r="J19" s="60">
        <v>341.95078488985763</v>
      </c>
      <c r="K19" s="60">
        <v>18.886527193586051</v>
      </c>
      <c r="L19" s="50">
        <v>0</v>
      </c>
      <c r="M19" s="60">
        <v>0</v>
      </c>
      <c r="N19" s="61">
        <v>0</v>
      </c>
      <c r="O19" s="49">
        <v>0</v>
      </c>
      <c r="P19" s="60">
        <v>0</v>
      </c>
      <c r="Q19" s="50">
        <v>0</v>
      </c>
      <c r="R19" s="50">
        <v>0</v>
      </c>
      <c r="S19" s="60">
        <v>0</v>
      </c>
      <c r="T19" s="64">
        <v>0</v>
      </c>
      <c r="U19" s="65">
        <v>255.55261277407345</v>
      </c>
      <c r="V19" s="62">
        <v>143.25476165033018</v>
      </c>
      <c r="W19" s="62">
        <v>30.350837490971969</v>
      </c>
      <c r="X19" s="62">
        <v>17.013725445651957</v>
      </c>
      <c r="Y19" s="66">
        <v>102.39978525754813</v>
      </c>
      <c r="Z19" s="66">
        <v>57.40210076851654</v>
      </c>
      <c r="AA19" s="67">
        <v>0</v>
      </c>
      <c r="AB19" s="68">
        <v>60.258172202110238</v>
      </c>
      <c r="AC19" s="69">
        <v>0</v>
      </c>
      <c r="AD19" s="412">
        <v>8.4151591594712229</v>
      </c>
      <c r="AE19" s="412">
        <v>4.4686515024115483</v>
      </c>
      <c r="AF19" s="69">
        <v>12.188798287841999</v>
      </c>
      <c r="AG19" s="68">
        <v>7.7180095976227889</v>
      </c>
      <c r="AH19" s="68">
        <v>4.3264735716080454</v>
      </c>
      <c r="AI19" s="68">
        <v>0.64079209453664454</v>
      </c>
      <c r="AJ19" s="69">
        <v>331.50513186454771</v>
      </c>
      <c r="AK19" s="69">
        <v>1129.9310078938804</v>
      </c>
      <c r="AL19" s="69">
        <v>2961.4201250712076</v>
      </c>
      <c r="AM19" s="69">
        <v>540.31760787963867</v>
      </c>
      <c r="AN19" s="69">
        <v>3960.7374715169267</v>
      </c>
      <c r="AO19" s="69">
        <v>2761.0337373097741</v>
      </c>
      <c r="AP19" s="69">
        <v>635.04447638193756</v>
      </c>
      <c r="AQ19" s="69">
        <v>1787.1629964192707</v>
      </c>
      <c r="AR19" s="69">
        <v>339.85744295120242</v>
      </c>
      <c r="AS19" s="69">
        <v>667.33976221084595</v>
      </c>
    </row>
    <row r="20" spans="1:45" x14ac:dyDescent="0.25">
      <c r="A20" s="11">
        <v>43144</v>
      </c>
      <c r="B20" s="59"/>
      <c r="C20" s="60">
        <v>56.580856744448482</v>
      </c>
      <c r="D20" s="60">
        <v>736.6136081695555</v>
      </c>
      <c r="E20" s="60">
        <v>15.775162297487221</v>
      </c>
      <c r="F20" s="60">
        <v>0</v>
      </c>
      <c r="G20" s="60">
        <v>1818.518960444133</v>
      </c>
      <c r="H20" s="61">
        <v>23.767944986621522</v>
      </c>
      <c r="I20" s="59">
        <v>116.38253894646968</v>
      </c>
      <c r="J20" s="60">
        <v>339.85084005991655</v>
      </c>
      <c r="K20" s="60">
        <v>18.756693368156764</v>
      </c>
      <c r="L20" s="50">
        <v>2.8324127197265628E-5</v>
      </c>
      <c r="M20" s="60">
        <v>0</v>
      </c>
      <c r="N20" s="61">
        <v>0</v>
      </c>
      <c r="O20" s="49">
        <v>0</v>
      </c>
      <c r="P20" s="60">
        <v>0</v>
      </c>
      <c r="Q20" s="50">
        <v>0</v>
      </c>
      <c r="R20" s="50">
        <v>0</v>
      </c>
      <c r="S20" s="60">
        <v>0</v>
      </c>
      <c r="T20" s="64">
        <v>0</v>
      </c>
      <c r="U20" s="65">
        <v>257.11840548643448</v>
      </c>
      <c r="V20" s="62">
        <v>142.606450360395</v>
      </c>
      <c r="W20" s="62">
        <v>30.556266277502349</v>
      </c>
      <c r="X20" s="62">
        <v>16.94752525342474</v>
      </c>
      <c r="Y20" s="66">
        <v>104.01038586840258</v>
      </c>
      <c r="Z20" s="66">
        <v>57.687631895688781</v>
      </c>
      <c r="AA20" s="67">
        <v>0</v>
      </c>
      <c r="AB20" s="68">
        <v>60.644202417797551</v>
      </c>
      <c r="AC20" s="69">
        <v>0</v>
      </c>
      <c r="AD20" s="412">
        <v>8.3617744780249232</v>
      </c>
      <c r="AE20" s="412">
        <v>4.5888800791660884</v>
      </c>
      <c r="AF20" s="69">
        <v>12.231844224532425</v>
      </c>
      <c r="AG20" s="68">
        <v>7.7853516697531813</v>
      </c>
      <c r="AH20" s="68">
        <v>4.3180159130593667</v>
      </c>
      <c r="AI20" s="68">
        <v>0.64323847197773376</v>
      </c>
      <c r="AJ20" s="69">
        <v>316.46519977251688</v>
      </c>
      <c r="AK20" s="69">
        <v>1076.6673796971638</v>
      </c>
      <c r="AL20" s="69">
        <v>2948.1541790008546</v>
      </c>
      <c r="AM20" s="69">
        <v>500.15545765558875</v>
      </c>
      <c r="AN20" s="69">
        <v>3768.694595591227</v>
      </c>
      <c r="AO20" s="69">
        <v>2704.5217451731369</v>
      </c>
      <c r="AP20" s="69">
        <v>579.25527537663777</v>
      </c>
      <c r="AQ20" s="69">
        <v>1797.8110605875652</v>
      </c>
      <c r="AR20" s="69">
        <v>338.79177320798232</v>
      </c>
      <c r="AS20" s="69">
        <v>669.23336356480911</v>
      </c>
    </row>
    <row r="21" spans="1:45" x14ac:dyDescent="0.25">
      <c r="A21" s="11">
        <v>43145</v>
      </c>
      <c r="B21" s="59"/>
      <c r="C21" s="60">
        <v>55.28714210589731</v>
      </c>
      <c r="D21" s="60">
        <v>725.80524743397814</v>
      </c>
      <c r="E21" s="60">
        <v>15.90014294832943</v>
      </c>
      <c r="F21" s="60">
        <v>0</v>
      </c>
      <c r="G21" s="60">
        <v>1825.7622419993063</v>
      </c>
      <c r="H21" s="61">
        <v>23.244632647434869</v>
      </c>
      <c r="I21" s="59">
        <v>134.56361543337496</v>
      </c>
      <c r="J21" s="60">
        <v>392.69760883649235</v>
      </c>
      <c r="K21" s="60">
        <v>21.634829907615991</v>
      </c>
      <c r="L21" s="60">
        <v>2.7382114982604979</v>
      </c>
      <c r="M21" s="60">
        <v>0</v>
      </c>
      <c r="N21" s="61">
        <v>0</v>
      </c>
      <c r="O21" s="49">
        <v>0</v>
      </c>
      <c r="P21" s="60">
        <v>0</v>
      </c>
      <c r="Q21" s="50">
        <v>0</v>
      </c>
      <c r="R21" s="50">
        <v>0</v>
      </c>
      <c r="S21" s="60">
        <v>0</v>
      </c>
      <c r="T21" s="64">
        <v>0</v>
      </c>
      <c r="U21" s="65">
        <v>293.20928525836439</v>
      </c>
      <c r="V21" s="62">
        <v>142.51963260526705</v>
      </c>
      <c r="W21" s="62">
        <v>36.056457218945319</v>
      </c>
      <c r="X21" s="62">
        <v>17.525887801825753</v>
      </c>
      <c r="Y21" s="66">
        <v>122.37200775825923</v>
      </c>
      <c r="Z21" s="66">
        <v>59.481109445453598</v>
      </c>
      <c r="AA21" s="67">
        <v>0</v>
      </c>
      <c r="AB21" s="68">
        <v>66.407990863587941</v>
      </c>
      <c r="AC21" s="69">
        <v>0</v>
      </c>
      <c r="AD21" s="412">
        <v>9.6643286908381825</v>
      </c>
      <c r="AE21" s="412">
        <v>4.4740563736294563</v>
      </c>
      <c r="AF21" s="69">
        <v>13.694715571403526</v>
      </c>
      <c r="AG21" s="68">
        <v>9.1254747614227849</v>
      </c>
      <c r="AH21" s="68">
        <v>4.4356006979813438</v>
      </c>
      <c r="AI21" s="68">
        <v>0.6729167453378182</v>
      </c>
      <c r="AJ21" s="69">
        <v>297.02518054644264</v>
      </c>
      <c r="AK21" s="69">
        <v>1004.0496541341145</v>
      </c>
      <c r="AL21" s="69">
        <v>2902.1099080403646</v>
      </c>
      <c r="AM21" s="69">
        <v>505.25570116043093</v>
      </c>
      <c r="AN21" s="69">
        <v>3477.4615763346351</v>
      </c>
      <c r="AO21" s="69">
        <v>2555.7255437215167</v>
      </c>
      <c r="AP21" s="69">
        <v>507.67539281845097</v>
      </c>
      <c r="AQ21" s="69">
        <v>1915.0351816177372</v>
      </c>
      <c r="AR21" s="69">
        <v>333.72874519030256</v>
      </c>
      <c r="AS21" s="69">
        <v>645.32166633605959</v>
      </c>
    </row>
    <row r="22" spans="1:45" x14ac:dyDescent="0.25">
      <c r="A22" s="11">
        <v>43146</v>
      </c>
      <c r="B22" s="59"/>
      <c r="C22" s="60">
        <v>54.923867533604387</v>
      </c>
      <c r="D22" s="60">
        <v>723.15106890996253</v>
      </c>
      <c r="E22" s="60">
        <v>15.997888819873276</v>
      </c>
      <c r="F22" s="60">
        <v>0</v>
      </c>
      <c r="G22" s="60">
        <v>1833.714353052771</v>
      </c>
      <c r="H22" s="61">
        <v>23.093280594547611</v>
      </c>
      <c r="I22" s="59">
        <v>116.00593885580695</v>
      </c>
      <c r="J22" s="60">
        <v>338.77223418553712</v>
      </c>
      <c r="K22" s="60">
        <v>18.639087510605663</v>
      </c>
      <c r="L22" s="60">
        <v>1.6050338745117191E-4</v>
      </c>
      <c r="M22" s="60">
        <v>0</v>
      </c>
      <c r="N22" s="61">
        <v>0</v>
      </c>
      <c r="O22" s="49">
        <v>0</v>
      </c>
      <c r="P22" s="60">
        <v>0</v>
      </c>
      <c r="Q22" s="50">
        <v>0</v>
      </c>
      <c r="R22" s="50">
        <v>0</v>
      </c>
      <c r="S22" s="60">
        <v>0</v>
      </c>
      <c r="T22" s="64">
        <v>0</v>
      </c>
      <c r="U22" s="65">
        <v>261.15209869868374</v>
      </c>
      <c r="V22" s="62">
        <v>146.89281147790734</v>
      </c>
      <c r="W22" s="62">
        <v>30.948938530864993</v>
      </c>
      <c r="X22" s="62">
        <v>17.408156456368573</v>
      </c>
      <c r="Y22" s="66">
        <v>105.49778329074192</v>
      </c>
      <c r="Z22" s="66">
        <v>59.34038466274896</v>
      </c>
      <c r="AA22" s="67">
        <v>0</v>
      </c>
      <c r="AB22" s="68">
        <v>59.776240576638131</v>
      </c>
      <c r="AC22" s="69">
        <v>0</v>
      </c>
      <c r="AD22" s="412">
        <v>8.3355920932489909</v>
      </c>
      <c r="AE22" s="412">
        <v>4.4580056064662887</v>
      </c>
      <c r="AF22" s="69">
        <v>12.504252025153916</v>
      </c>
      <c r="AG22" s="68">
        <v>7.9122427458771512</v>
      </c>
      <c r="AH22" s="68">
        <v>4.4504776635112311</v>
      </c>
      <c r="AI22" s="68">
        <v>0.64000822503989574</v>
      </c>
      <c r="AJ22" s="69">
        <v>303.96652661959331</v>
      </c>
      <c r="AK22" s="69">
        <v>1030.2037499109906</v>
      </c>
      <c r="AL22" s="69">
        <v>2948.4710653940842</v>
      </c>
      <c r="AM22" s="69">
        <v>525.31875410079965</v>
      </c>
      <c r="AN22" s="69">
        <v>3617.0634887695319</v>
      </c>
      <c r="AO22" s="69">
        <v>2564.3869008382162</v>
      </c>
      <c r="AP22" s="69">
        <v>525.12217782338473</v>
      </c>
      <c r="AQ22" s="69">
        <v>1787.5267506281536</v>
      </c>
      <c r="AR22" s="69">
        <v>334.85654002825419</v>
      </c>
      <c r="AS22" s="69">
        <v>620.91056969960539</v>
      </c>
    </row>
    <row r="23" spans="1:45" x14ac:dyDescent="0.25">
      <c r="A23" s="11">
        <v>43147</v>
      </c>
      <c r="B23" s="59"/>
      <c r="C23" s="60">
        <v>54.977978161970853</v>
      </c>
      <c r="D23" s="60">
        <v>723.48036594390771</v>
      </c>
      <c r="E23" s="60">
        <v>15.918964491784561</v>
      </c>
      <c r="F23" s="60">
        <v>0</v>
      </c>
      <c r="G23" s="60">
        <v>1895.9402708689352</v>
      </c>
      <c r="H23" s="61">
        <v>23.143630001942313</v>
      </c>
      <c r="I23" s="59">
        <v>116.25065621534995</v>
      </c>
      <c r="J23" s="60">
        <v>339.61935105323857</v>
      </c>
      <c r="K23" s="60">
        <v>18.642044718066852</v>
      </c>
      <c r="L23" s="60">
        <v>4.7206878662109375E-5</v>
      </c>
      <c r="M23" s="60">
        <v>0</v>
      </c>
      <c r="N23" s="61">
        <v>0</v>
      </c>
      <c r="O23" s="49">
        <v>0</v>
      </c>
      <c r="P23" s="60">
        <v>0</v>
      </c>
      <c r="Q23" s="50">
        <v>0</v>
      </c>
      <c r="R23" s="50">
        <v>0</v>
      </c>
      <c r="S23" s="60">
        <v>0</v>
      </c>
      <c r="T23" s="64">
        <v>0</v>
      </c>
      <c r="U23" s="65">
        <v>262.05383321529735</v>
      </c>
      <c r="V23" s="62">
        <v>147.38759878390687</v>
      </c>
      <c r="W23" s="62">
        <v>31.318980325992353</v>
      </c>
      <c r="X23" s="62">
        <v>17.614813147251358</v>
      </c>
      <c r="Y23" s="66">
        <v>105.85573219377893</v>
      </c>
      <c r="Z23" s="66">
        <v>59.536706615297966</v>
      </c>
      <c r="AA23" s="67">
        <v>0</v>
      </c>
      <c r="AB23" s="68">
        <v>59.922638824251074</v>
      </c>
      <c r="AC23" s="69">
        <v>0</v>
      </c>
      <c r="AD23" s="412">
        <v>8.3557951422418029</v>
      </c>
      <c r="AE23" s="412">
        <v>4.4601655547005992</v>
      </c>
      <c r="AF23" s="69">
        <v>12.498093287812324</v>
      </c>
      <c r="AG23" s="68">
        <v>7.9165475355272914</v>
      </c>
      <c r="AH23" s="68">
        <v>4.4525238101035773</v>
      </c>
      <c r="AI23" s="68">
        <v>0.64002763944955787</v>
      </c>
      <c r="AJ23" s="69">
        <v>315.81709893544519</v>
      </c>
      <c r="AK23" s="69">
        <v>1080.5572090148926</v>
      </c>
      <c r="AL23" s="69">
        <v>2949.0936049143479</v>
      </c>
      <c r="AM23" s="69">
        <v>530.71996974945068</v>
      </c>
      <c r="AN23" s="69">
        <v>3801.5340815226241</v>
      </c>
      <c r="AO23" s="69">
        <v>2630.7827205657959</v>
      </c>
      <c r="AP23" s="69">
        <v>588.68886857032771</v>
      </c>
      <c r="AQ23" s="69">
        <v>1798.0322837829588</v>
      </c>
      <c r="AR23" s="69">
        <v>334.54513325691227</v>
      </c>
      <c r="AS23" s="69">
        <v>640.1468001683553</v>
      </c>
    </row>
    <row r="24" spans="1:45" x14ac:dyDescent="0.25">
      <c r="A24" s="11">
        <v>43148</v>
      </c>
      <c r="B24" s="59"/>
      <c r="C24" s="60">
        <v>55.018294767538862</v>
      </c>
      <c r="D24" s="60">
        <v>723.34328107833824</v>
      </c>
      <c r="E24" s="60">
        <v>15.914634361863104</v>
      </c>
      <c r="F24" s="60">
        <v>0</v>
      </c>
      <c r="G24" s="60">
        <v>1896.0966911315875</v>
      </c>
      <c r="H24" s="61">
        <v>23.090195123354569</v>
      </c>
      <c r="I24" s="59">
        <v>116.09210563500716</v>
      </c>
      <c r="J24" s="60">
        <v>339.17353370984466</v>
      </c>
      <c r="K24" s="60">
        <v>18.701476278404421</v>
      </c>
      <c r="L24" s="60">
        <v>5.6648254394531249E-5</v>
      </c>
      <c r="M24" s="60">
        <v>0</v>
      </c>
      <c r="N24" s="61">
        <v>0</v>
      </c>
      <c r="O24" s="49">
        <v>0</v>
      </c>
      <c r="P24" s="60">
        <v>0</v>
      </c>
      <c r="Q24" s="50">
        <v>0</v>
      </c>
      <c r="R24" s="50">
        <v>0</v>
      </c>
      <c r="S24" s="60">
        <v>0</v>
      </c>
      <c r="T24" s="64">
        <v>0</v>
      </c>
      <c r="U24" s="65">
        <v>263.77531377328086</v>
      </c>
      <c r="V24" s="62">
        <v>148.38550250411814</v>
      </c>
      <c r="W24" s="62">
        <v>31.632567772669812</v>
      </c>
      <c r="X24" s="62">
        <v>17.7947450703351</v>
      </c>
      <c r="Y24" s="66">
        <v>106.93643628431467</v>
      </c>
      <c r="Z24" s="66">
        <v>60.156565097241398</v>
      </c>
      <c r="AA24" s="67">
        <v>0</v>
      </c>
      <c r="AB24" s="68">
        <v>59.88145560158668</v>
      </c>
      <c r="AC24" s="69">
        <v>0</v>
      </c>
      <c r="AD24" s="412">
        <v>8.345708307133318</v>
      </c>
      <c r="AE24" s="412">
        <v>4.459179777008786</v>
      </c>
      <c r="AF24" s="69">
        <v>12.633737199174039</v>
      </c>
      <c r="AG24" s="68">
        <v>7.9997736512166124</v>
      </c>
      <c r="AH24" s="68">
        <v>4.5002332332557478</v>
      </c>
      <c r="AI24" s="68">
        <v>0.63998153962251136</v>
      </c>
      <c r="AJ24" s="69">
        <v>306.05511954625445</v>
      </c>
      <c r="AK24" s="69">
        <v>1043.1400007883706</v>
      </c>
      <c r="AL24" s="69">
        <v>2965.9796451568604</v>
      </c>
      <c r="AM24" s="69">
        <v>525.97405672073364</v>
      </c>
      <c r="AN24" s="69">
        <v>3723.2130071004226</v>
      </c>
      <c r="AO24" s="69">
        <v>2528.3200964609782</v>
      </c>
      <c r="AP24" s="69">
        <v>545.75551846822088</v>
      </c>
      <c r="AQ24" s="69">
        <v>1820.600378036499</v>
      </c>
      <c r="AR24" s="69">
        <v>336.83044873873393</v>
      </c>
      <c r="AS24" s="69">
        <v>631.18491388956704</v>
      </c>
    </row>
    <row r="25" spans="1:45" x14ac:dyDescent="0.25">
      <c r="A25" s="11">
        <v>43149</v>
      </c>
      <c r="B25" s="59"/>
      <c r="C25" s="60">
        <v>55.564449717601264</v>
      </c>
      <c r="D25" s="60">
        <v>723.4274826685587</v>
      </c>
      <c r="E25" s="60">
        <v>15.941649874051398</v>
      </c>
      <c r="F25" s="60">
        <v>0</v>
      </c>
      <c r="G25" s="60">
        <v>1896.143232345577</v>
      </c>
      <c r="H25" s="61">
        <v>23.103036629160268</v>
      </c>
      <c r="I25" s="59">
        <v>117.40229005813586</v>
      </c>
      <c r="J25" s="60">
        <v>343.02331342697181</v>
      </c>
      <c r="K25" s="60">
        <v>18.736412583788205</v>
      </c>
      <c r="L25" s="60">
        <v>1.1329650878906252E-4</v>
      </c>
      <c r="M25" s="60">
        <v>0</v>
      </c>
      <c r="N25" s="61">
        <v>0</v>
      </c>
      <c r="O25" s="49">
        <v>0</v>
      </c>
      <c r="P25" s="60">
        <v>0</v>
      </c>
      <c r="Q25" s="50">
        <v>0</v>
      </c>
      <c r="R25" s="50">
        <v>0</v>
      </c>
      <c r="S25" s="60">
        <v>0</v>
      </c>
      <c r="T25" s="64">
        <v>0</v>
      </c>
      <c r="U25" s="65">
        <v>256.27805256415326</v>
      </c>
      <c r="V25" s="62">
        <v>144.01745084025109</v>
      </c>
      <c r="W25" s="62">
        <v>30.0842985903796</v>
      </c>
      <c r="X25" s="62">
        <v>16.906106277746307</v>
      </c>
      <c r="Y25" s="66">
        <v>103.92087320354474</v>
      </c>
      <c r="Z25" s="66">
        <v>58.399145374030724</v>
      </c>
      <c r="AA25" s="67">
        <v>0</v>
      </c>
      <c r="AB25" s="68">
        <v>60.318839491738572</v>
      </c>
      <c r="AC25" s="69">
        <v>0</v>
      </c>
      <c r="AD25" s="412">
        <v>8.4405773058335782</v>
      </c>
      <c r="AE25" s="412">
        <v>4.459723386102552</v>
      </c>
      <c r="AF25" s="69">
        <v>12.284743834866408</v>
      </c>
      <c r="AG25" s="68">
        <v>7.7743031662499016</v>
      </c>
      <c r="AH25" s="68">
        <v>4.3688303109074429</v>
      </c>
      <c r="AI25" s="68">
        <v>0.64022216183938652</v>
      </c>
      <c r="AJ25" s="69">
        <v>289.91921366055806</v>
      </c>
      <c r="AK25" s="69">
        <v>998.44522158304835</v>
      </c>
      <c r="AL25" s="69">
        <v>2966.8740502675378</v>
      </c>
      <c r="AM25" s="69">
        <v>507.12088473637903</v>
      </c>
      <c r="AN25" s="69">
        <v>3456.6513445536289</v>
      </c>
      <c r="AO25" s="69">
        <v>2456.4011132558185</v>
      </c>
      <c r="AP25" s="69">
        <v>501.31162861188255</v>
      </c>
      <c r="AQ25" s="69">
        <v>1844.6601047515869</v>
      </c>
      <c r="AR25" s="69">
        <v>332.48841520945234</v>
      </c>
      <c r="AS25" s="69">
        <v>684.69110730489103</v>
      </c>
    </row>
    <row r="26" spans="1:45" x14ac:dyDescent="0.25">
      <c r="A26" s="11">
        <v>43150</v>
      </c>
      <c r="B26" s="59"/>
      <c r="C26" s="60">
        <v>55.027458679676016</v>
      </c>
      <c r="D26" s="60">
        <v>700.84263022740629</v>
      </c>
      <c r="E26" s="60">
        <v>15.480660242338944</v>
      </c>
      <c r="F26" s="60">
        <v>0</v>
      </c>
      <c r="G26" s="60">
        <v>1941.2937159220351</v>
      </c>
      <c r="H26" s="61">
        <v>23.117143908143024</v>
      </c>
      <c r="I26" s="59">
        <v>115.61666843891138</v>
      </c>
      <c r="J26" s="60">
        <v>337.27644605636692</v>
      </c>
      <c r="K26" s="60">
        <v>18.405188779036187</v>
      </c>
      <c r="L26" s="60">
        <v>8.591651916503893E-4</v>
      </c>
      <c r="M26" s="60">
        <v>0</v>
      </c>
      <c r="N26" s="61">
        <v>0</v>
      </c>
      <c r="O26" s="49">
        <v>0</v>
      </c>
      <c r="P26" s="60">
        <v>0</v>
      </c>
      <c r="Q26" s="50">
        <v>0</v>
      </c>
      <c r="R26" s="50">
        <v>0</v>
      </c>
      <c r="S26" s="60">
        <v>0</v>
      </c>
      <c r="T26" s="64">
        <v>0</v>
      </c>
      <c r="U26" s="65">
        <v>264.39088816376085</v>
      </c>
      <c r="V26" s="62">
        <v>148.71808508503543</v>
      </c>
      <c r="W26" s="62">
        <v>31.908680920729179</v>
      </c>
      <c r="X26" s="62">
        <v>17.948417046736498</v>
      </c>
      <c r="Y26" s="62">
        <v>106.86002606606408</v>
      </c>
      <c r="Z26" s="62">
        <v>60.108041389227736</v>
      </c>
      <c r="AA26" s="72">
        <v>0</v>
      </c>
      <c r="AB26" s="69">
        <v>59.661198216013887</v>
      </c>
      <c r="AC26" s="69">
        <v>0</v>
      </c>
      <c r="AD26" s="412">
        <v>8.2992503324925941</v>
      </c>
      <c r="AE26" s="412">
        <v>4.4585488367418389</v>
      </c>
      <c r="AF26" s="69">
        <v>12.623633389340508</v>
      </c>
      <c r="AG26" s="69">
        <v>8.0006424656412722</v>
      </c>
      <c r="AH26" s="69">
        <v>4.5003072352599842</v>
      </c>
      <c r="AI26" s="69">
        <v>0.64000277235452485</v>
      </c>
      <c r="AJ26" s="69">
        <v>323.66166828473405</v>
      </c>
      <c r="AK26" s="69">
        <v>1111.8211489995319</v>
      </c>
      <c r="AL26" s="69">
        <v>2939.2778664906823</v>
      </c>
      <c r="AM26" s="69">
        <v>543.55307175318399</v>
      </c>
      <c r="AN26" s="69">
        <v>4014.784582265218</v>
      </c>
      <c r="AO26" s="69">
        <v>2628.9331282297771</v>
      </c>
      <c r="AP26" s="69">
        <v>701.5264068126678</v>
      </c>
      <c r="AQ26" s="69">
        <v>1780.6612988789875</v>
      </c>
      <c r="AR26" s="69">
        <v>337.31433291435241</v>
      </c>
      <c r="AS26" s="69">
        <v>634.14455963770536</v>
      </c>
    </row>
    <row r="27" spans="1:45" x14ac:dyDescent="0.25">
      <c r="A27" s="11">
        <v>43151</v>
      </c>
      <c r="B27" s="59"/>
      <c r="C27" s="60">
        <v>56.002147263288528</v>
      </c>
      <c r="D27" s="60">
        <v>685.08248510360715</v>
      </c>
      <c r="E27" s="60">
        <v>15.247110945483042</v>
      </c>
      <c r="F27" s="60">
        <v>0</v>
      </c>
      <c r="G27" s="60">
        <v>1941.9870018005363</v>
      </c>
      <c r="H27" s="61">
        <v>23.020386195182809</v>
      </c>
      <c r="I27" s="59">
        <v>116.23451888561259</v>
      </c>
      <c r="J27" s="60">
        <v>339.48412845929528</v>
      </c>
      <c r="K27" s="60">
        <v>18.676731310784788</v>
      </c>
      <c r="L27" s="60">
        <v>0</v>
      </c>
      <c r="M27" s="60">
        <v>0</v>
      </c>
      <c r="N27" s="61">
        <v>0</v>
      </c>
      <c r="O27" s="49">
        <v>0</v>
      </c>
      <c r="P27" s="60">
        <v>0</v>
      </c>
      <c r="Q27" s="50">
        <v>0</v>
      </c>
      <c r="R27" s="50">
        <v>0</v>
      </c>
      <c r="S27" s="60">
        <v>0</v>
      </c>
      <c r="T27" s="64">
        <v>0</v>
      </c>
      <c r="U27" s="65">
        <v>260.02939726443026</v>
      </c>
      <c r="V27" s="62">
        <v>146.26941113010201</v>
      </c>
      <c r="W27" s="62">
        <v>32.034484465486138</v>
      </c>
      <c r="X27" s="62">
        <v>18.019751720064519</v>
      </c>
      <c r="Y27" s="66">
        <v>105.20957277165539</v>
      </c>
      <c r="Z27" s="66">
        <v>59.181547995937763</v>
      </c>
      <c r="AA27" s="67">
        <v>0</v>
      </c>
      <c r="AB27" s="68">
        <v>59.874860519834009</v>
      </c>
      <c r="AC27" s="69">
        <v>0</v>
      </c>
      <c r="AD27" s="412">
        <v>8.3548460014694257</v>
      </c>
      <c r="AE27" s="412">
        <v>4.4600904890913879</v>
      </c>
      <c r="AF27" s="69">
        <v>12.436829389466155</v>
      </c>
      <c r="AG27" s="68">
        <v>7.8737669050824746</v>
      </c>
      <c r="AH27" s="68">
        <v>4.4290809450706696</v>
      </c>
      <c r="AI27" s="68">
        <v>0.63999547104733667</v>
      </c>
      <c r="AJ27" s="69">
        <v>337.74174962043764</v>
      </c>
      <c r="AK27" s="69">
        <v>1184.6299177169801</v>
      </c>
      <c r="AL27" s="69">
        <v>2985.4921386718752</v>
      </c>
      <c r="AM27" s="69">
        <v>595.37489808400471</v>
      </c>
      <c r="AN27" s="69">
        <v>4159.3489265441895</v>
      </c>
      <c r="AO27" s="69">
        <v>2738.707444763184</v>
      </c>
      <c r="AP27" s="69">
        <v>1141.2178120930989</v>
      </c>
      <c r="AQ27" s="69">
        <v>1793.3681221008301</v>
      </c>
      <c r="AR27" s="69">
        <v>340.13760763804117</v>
      </c>
      <c r="AS27" s="69">
        <v>650.13620599110925</v>
      </c>
    </row>
    <row r="28" spans="1:45" s="372" customFormat="1" ht="15" customHeight="1" x14ac:dyDescent="0.25">
      <c r="A28" s="405">
        <v>43152</v>
      </c>
      <c r="B28" s="366"/>
      <c r="C28" s="367">
        <v>55.131296656529145</v>
      </c>
      <c r="D28" s="367">
        <v>682.53872181574616</v>
      </c>
      <c r="E28" s="367">
        <v>15.201662390430762</v>
      </c>
      <c r="F28" s="367">
        <v>0</v>
      </c>
      <c r="G28" s="367">
        <v>1942.7256042480483</v>
      </c>
      <c r="H28" s="368">
        <v>23.028358865777633</v>
      </c>
      <c r="I28" s="366">
        <v>120.62009301980341</v>
      </c>
      <c r="J28" s="367">
        <v>352.13403348922725</v>
      </c>
      <c r="K28" s="367">
        <v>19.355059539278347</v>
      </c>
      <c r="L28" s="369">
        <v>0</v>
      </c>
      <c r="M28" s="367">
        <v>0</v>
      </c>
      <c r="N28" s="368">
        <v>0</v>
      </c>
      <c r="O28" s="49">
        <v>0</v>
      </c>
      <c r="P28" s="367">
        <v>0</v>
      </c>
      <c r="Q28" s="50">
        <v>0</v>
      </c>
      <c r="R28" s="50">
        <v>0</v>
      </c>
      <c r="S28" s="367">
        <v>0</v>
      </c>
      <c r="T28" s="368">
        <v>0</v>
      </c>
      <c r="U28" s="366">
        <v>256.78852426811812</v>
      </c>
      <c r="V28" s="367">
        <v>143.57836990284628</v>
      </c>
      <c r="W28" s="367">
        <v>30.233783620853082</v>
      </c>
      <c r="X28" s="367">
        <v>16.904639257730295</v>
      </c>
      <c r="Y28" s="367">
        <v>105.91706247003346</v>
      </c>
      <c r="Z28" s="367">
        <v>59.221490593041395</v>
      </c>
      <c r="AA28" s="368">
        <v>0</v>
      </c>
      <c r="AB28" s="370">
        <v>61.482225092251753</v>
      </c>
      <c r="AC28" s="371">
        <v>0</v>
      </c>
      <c r="AD28" s="412">
        <v>8.6653090271496698</v>
      </c>
      <c r="AE28" s="412">
        <v>4.4592369994195078</v>
      </c>
      <c r="AF28" s="371">
        <v>12.263500464624839</v>
      </c>
      <c r="AG28" s="371">
        <v>7.7510218621324389</v>
      </c>
      <c r="AH28" s="371">
        <v>4.3338349609592361</v>
      </c>
      <c r="AI28" s="371">
        <v>0.64138301144965415</v>
      </c>
      <c r="AJ28" s="371">
        <v>332.6088074207305</v>
      </c>
      <c r="AK28" s="371">
        <v>1155.3289928436279</v>
      </c>
      <c r="AL28" s="371">
        <v>2949.7095109303796</v>
      </c>
      <c r="AM28" s="371">
        <v>600.42960173288975</v>
      </c>
      <c r="AN28" s="371">
        <v>4371.6559158325199</v>
      </c>
      <c r="AO28" s="371">
        <v>2732.6784356435141</v>
      </c>
      <c r="AP28" s="371">
        <v>1149.6773926734922</v>
      </c>
      <c r="AQ28" s="371">
        <v>1808.0272553761802</v>
      </c>
      <c r="AR28" s="371">
        <v>335.10325584411618</v>
      </c>
      <c r="AS28" s="371">
        <v>631.02009439468384</v>
      </c>
    </row>
    <row r="29" spans="1:45" x14ac:dyDescent="0.25">
      <c r="A29" s="11">
        <v>43153</v>
      </c>
      <c r="B29" s="59"/>
      <c r="C29" s="60">
        <v>57.179206746816661</v>
      </c>
      <c r="D29" s="60">
        <v>682.42440862655531</v>
      </c>
      <c r="E29" s="60">
        <v>15.218147883812591</v>
      </c>
      <c r="F29" s="60">
        <v>0</v>
      </c>
      <c r="G29" s="60">
        <v>1942.4928526560443</v>
      </c>
      <c r="H29" s="61">
        <v>23.001623650391892</v>
      </c>
      <c r="I29" s="59">
        <v>125.50892736117034</v>
      </c>
      <c r="J29" s="60">
        <v>370.52729574839339</v>
      </c>
      <c r="K29" s="60">
        <v>20.327164113024871</v>
      </c>
      <c r="L29" s="60">
        <v>0</v>
      </c>
      <c r="M29" s="60">
        <v>0</v>
      </c>
      <c r="N29" s="61">
        <v>0</v>
      </c>
      <c r="O29" s="49">
        <v>0</v>
      </c>
      <c r="P29" s="60">
        <v>0</v>
      </c>
      <c r="Q29" s="50">
        <v>0</v>
      </c>
      <c r="R29" s="50">
        <v>0</v>
      </c>
      <c r="S29" s="60">
        <v>0</v>
      </c>
      <c r="T29" s="64">
        <v>0</v>
      </c>
      <c r="U29" s="65">
        <v>258.22475937085625</v>
      </c>
      <c r="V29" s="62">
        <v>145.25045397668686</v>
      </c>
      <c r="W29" s="62">
        <v>30.098669713967901</v>
      </c>
      <c r="X29" s="62">
        <v>16.930388281510425</v>
      </c>
      <c r="Y29" s="66">
        <v>107.28136406969973</v>
      </c>
      <c r="Z29" s="66">
        <v>60.345362978856159</v>
      </c>
      <c r="AA29" s="67">
        <v>0</v>
      </c>
      <c r="AB29" s="68">
        <v>63.645010455448784</v>
      </c>
      <c r="AC29" s="69">
        <v>0</v>
      </c>
      <c r="AD29" s="412">
        <v>9.1168481006663136</v>
      </c>
      <c r="AE29" s="412">
        <v>4.457980708109833</v>
      </c>
      <c r="AF29" s="69">
        <v>12.336455694834388</v>
      </c>
      <c r="AG29" s="68">
        <v>7.8119993258140816</v>
      </c>
      <c r="AH29" s="68">
        <v>4.3942201797560498</v>
      </c>
      <c r="AI29" s="68">
        <v>0.64000154365970463</v>
      </c>
      <c r="AJ29" s="69">
        <v>328.15614830652868</v>
      </c>
      <c r="AK29" s="69">
        <v>1127.332308896383</v>
      </c>
      <c r="AL29" s="69">
        <v>2978.8241185506186</v>
      </c>
      <c r="AM29" s="69">
        <v>590.96382449467978</v>
      </c>
      <c r="AN29" s="69">
        <v>4532.4762591044109</v>
      </c>
      <c r="AO29" s="69">
        <v>2713.3278015136716</v>
      </c>
      <c r="AP29" s="69">
        <v>939.28069245020561</v>
      </c>
      <c r="AQ29" s="69">
        <v>1795.3073152542115</v>
      </c>
      <c r="AR29" s="69">
        <v>335.16994751294453</v>
      </c>
      <c r="AS29" s="69">
        <v>699.64374739329014</v>
      </c>
    </row>
    <row r="30" spans="1:45" x14ac:dyDescent="0.25">
      <c r="A30" s="11">
        <v>43154</v>
      </c>
      <c r="B30" s="59"/>
      <c r="C30" s="60">
        <v>55.095767569542097</v>
      </c>
      <c r="D30" s="60">
        <v>683.40106929143212</v>
      </c>
      <c r="E30" s="60">
        <v>15.544241946935626</v>
      </c>
      <c r="F30" s="60">
        <v>0</v>
      </c>
      <c r="G30" s="60">
        <v>1887.196189244585</v>
      </c>
      <c r="H30" s="61">
        <v>23.065635108947731</v>
      </c>
      <c r="I30" s="59">
        <v>115.90286211967477</v>
      </c>
      <c r="J30" s="60">
        <v>338.67990447680222</v>
      </c>
      <c r="K30" s="60">
        <v>18.640355646610246</v>
      </c>
      <c r="L30" s="60">
        <v>9.4413757324218753E-6</v>
      </c>
      <c r="M30" s="60">
        <v>0</v>
      </c>
      <c r="N30" s="61">
        <v>0</v>
      </c>
      <c r="O30" s="49">
        <v>0</v>
      </c>
      <c r="P30" s="60">
        <v>0</v>
      </c>
      <c r="Q30" s="50">
        <v>0</v>
      </c>
      <c r="R30" s="50">
        <v>0</v>
      </c>
      <c r="S30" s="60">
        <v>0</v>
      </c>
      <c r="T30" s="64">
        <v>0</v>
      </c>
      <c r="U30" s="65">
        <v>263.90443794396731</v>
      </c>
      <c r="V30" s="62">
        <v>146.18714780873435</v>
      </c>
      <c r="W30" s="62">
        <v>29.627562259211686</v>
      </c>
      <c r="X30" s="62">
        <v>16.411883244341119</v>
      </c>
      <c r="Y30" s="66">
        <v>107.35553636161481</v>
      </c>
      <c r="Z30" s="66">
        <v>59.468494673490561</v>
      </c>
      <c r="AA30" s="67">
        <v>0</v>
      </c>
      <c r="AB30" s="68">
        <v>59.837301243675419</v>
      </c>
      <c r="AC30" s="69">
        <v>0</v>
      </c>
      <c r="AD30" s="412">
        <v>8.3342577029698006</v>
      </c>
      <c r="AE30" s="412">
        <v>4.4648135332336754</v>
      </c>
      <c r="AF30" s="69">
        <v>12.10996962454584</v>
      </c>
      <c r="AG30" s="68">
        <v>7.7120111496888288</v>
      </c>
      <c r="AH30" s="68">
        <v>4.2719892193762163</v>
      </c>
      <c r="AI30" s="68">
        <v>0.64352561016238485</v>
      </c>
      <c r="AJ30" s="69">
        <v>324.91710855166122</v>
      </c>
      <c r="AK30" s="69">
        <v>1115.4546230951944</v>
      </c>
      <c r="AL30" s="69">
        <v>3001.27307548523</v>
      </c>
      <c r="AM30" s="69">
        <v>593.99463383356726</v>
      </c>
      <c r="AN30" s="69">
        <v>4595.6525230407715</v>
      </c>
      <c r="AO30" s="69">
        <v>2700.0959225972492</v>
      </c>
      <c r="AP30" s="69">
        <v>663.54895517031343</v>
      </c>
      <c r="AQ30" s="69">
        <v>1802.1823622385657</v>
      </c>
      <c r="AR30" s="69">
        <v>333.36671867370609</v>
      </c>
      <c r="AS30" s="69">
        <v>687.99193458557147</v>
      </c>
    </row>
    <row r="31" spans="1:45" x14ac:dyDescent="0.25">
      <c r="A31" s="11">
        <v>43155</v>
      </c>
      <c r="B31" s="59"/>
      <c r="C31" s="60">
        <v>55.450301561752937</v>
      </c>
      <c r="D31" s="60">
        <v>683.09873981475869</v>
      </c>
      <c r="E31" s="60">
        <v>15.754508443176732</v>
      </c>
      <c r="F31" s="60">
        <v>0</v>
      </c>
      <c r="G31" s="60">
        <v>1896.9104085286428</v>
      </c>
      <c r="H31" s="61">
        <v>23.08218702375887</v>
      </c>
      <c r="I31" s="59">
        <v>112.74897257486967</v>
      </c>
      <c r="J31" s="60">
        <v>343.91854308446284</v>
      </c>
      <c r="K31" s="60">
        <v>18.88820183277128</v>
      </c>
      <c r="L31" s="60">
        <v>6.6089630126953122E-5</v>
      </c>
      <c r="M31" s="60">
        <v>0</v>
      </c>
      <c r="N31" s="61">
        <v>0</v>
      </c>
      <c r="O31" s="49">
        <v>0</v>
      </c>
      <c r="P31" s="60">
        <v>0</v>
      </c>
      <c r="Q31" s="50">
        <v>0</v>
      </c>
      <c r="R31" s="50">
        <v>0</v>
      </c>
      <c r="S31" s="60">
        <v>0</v>
      </c>
      <c r="T31" s="64">
        <v>0</v>
      </c>
      <c r="U31" s="65">
        <v>268.82207609903242</v>
      </c>
      <c r="V31" s="62">
        <v>150.4717667464611</v>
      </c>
      <c r="W31" s="62">
        <v>30.471463913454212</v>
      </c>
      <c r="X31" s="62">
        <v>17.056244326895861</v>
      </c>
      <c r="Y31" s="66">
        <v>109.65499848526478</v>
      </c>
      <c r="Z31" s="66">
        <v>61.378818265579547</v>
      </c>
      <c r="AA31" s="67">
        <v>0</v>
      </c>
      <c r="AB31" s="68">
        <v>60.52093322012098</v>
      </c>
      <c r="AC31" s="69">
        <v>0</v>
      </c>
      <c r="AD31" s="412">
        <v>8.4620781972614569</v>
      </c>
      <c r="AE31" s="412">
        <v>4.4624588989318603</v>
      </c>
      <c r="AF31" s="69">
        <v>12.495086655351853</v>
      </c>
      <c r="AG31" s="68">
        <v>7.9278820552984612</v>
      </c>
      <c r="AH31" s="68">
        <v>4.4375909773825981</v>
      </c>
      <c r="AI31" s="68">
        <v>0.64113051189757453</v>
      </c>
      <c r="AJ31" s="69">
        <v>326.04808354377747</v>
      </c>
      <c r="AK31" s="69">
        <v>1101.495359102885</v>
      </c>
      <c r="AL31" s="69">
        <v>2934.991865285238</v>
      </c>
      <c r="AM31" s="69">
        <v>598.90217157999678</v>
      </c>
      <c r="AN31" s="69">
        <v>4850.9790626525883</v>
      </c>
      <c r="AO31" s="69">
        <v>2611.4860880533856</v>
      </c>
      <c r="AP31" s="69">
        <v>678.64812065760293</v>
      </c>
      <c r="AQ31" s="69">
        <v>1796.9176106770835</v>
      </c>
      <c r="AR31" s="69">
        <v>332.0413365681967</v>
      </c>
      <c r="AS31" s="69">
        <v>643.88201338450119</v>
      </c>
    </row>
    <row r="32" spans="1:45" x14ac:dyDescent="0.25">
      <c r="A32" s="11">
        <v>43156</v>
      </c>
      <c r="B32" s="59"/>
      <c r="C32" s="60">
        <v>55.018183509508887</v>
      </c>
      <c r="D32" s="60">
        <v>683.23777586619019</v>
      </c>
      <c r="E32" s="60">
        <v>15.765456178784346</v>
      </c>
      <c r="F32" s="60">
        <v>0</v>
      </c>
      <c r="G32" s="60">
        <v>1955.1565088907844</v>
      </c>
      <c r="H32" s="61">
        <v>23.135175904631609</v>
      </c>
      <c r="I32" s="59">
        <v>117.29060963789634</v>
      </c>
      <c r="J32" s="60">
        <v>359.13586648305261</v>
      </c>
      <c r="K32" s="60">
        <v>19.709212695558854</v>
      </c>
      <c r="L32" s="60">
        <v>2.8324127197265628E-5</v>
      </c>
      <c r="M32" s="60">
        <v>0</v>
      </c>
      <c r="N32" s="61">
        <v>0</v>
      </c>
      <c r="O32" s="49">
        <v>0</v>
      </c>
      <c r="P32" s="60">
        <v>0</v>
      </c>
      <c r="Q32" s="50">
        <v>0</v>
      </c>
      <c r="R32" s="50">
        <v>0</v>
      </c>
      <c r="S32" s="60">
        <v>0</v>
      </c>
      <c r="T32" s="64">
        <v>0</v>
      </c>
      <c r="U32" s="65">
        <v>288.06506145311801</v>
      </c>
      <c r="V32" s="62">
        <v>152.49026748822214</v>
      </c>
      <c r="W32" s="62">
        <v>33.598479734161792</v>
      </c>
      <c r="X32" s="62">
        <v>17.785708325803935</v>
      </c>
      <c r="Y32" s="66">
        <v>120.4580223006046</v>
      </c>
      <c r="Z32" s="66">
        <v>63.765719969864818</v>
      </c>
      <c r="AA32" s="67">
        <v>0</v>
      </c>
      <c r="AB32" s="68">
        <v>62.415188439686794</v>
      </c>
      <c r="AC32" s="69">
        <v>0</v>
      </c>
      <c r="AD32" s="412">
        <v>8.8368554806984605</v>
      </c>
      <c r="AE32" s="412">
        <v>4.4635044875150891</v>
      </c>
      <c r="AF32" s="69">
        <v>13.133786959780553</v>
      </c>
      <c r="AG32" s="68">
        <v>8.5000249756597217</v>
      </c>
      <c r="AH32" s="68">
        <v>4.4995775456298066</v>
      </c>
      <c r="AI32" s="68">
        <v>0.65386806725353175</v>
      </c>
      <c r="AJ32" s="69">
        <v>325.68301049868262</v>
      </c>
      <c r="AK32" s="69">
        <v>1106.8328162511189</v>
      </c>
      <c r="AL32" s="69">
        <v>2965.6876258850098</v>
      </c>
      <c r="AM32" s="69">
        <v>606.50999600092564</v>
      </c>
      <c r="AN32" s="69">
        <v>4908.1500666300453</v>
      </c>
      <c r="AO32" s="69">
        <v>2590.0757233937579</v>
      </c>
      <c r="AP32" s="69">
        <v>579.08395387331632</v>
      </c>
      <c r="AQ32" s="69">
        <v>1843.674693552653</v>
      </c>
      <c r="AR32" s="69">
        <v>336.13553102811176</v>
      </c>
      <c r="AS32" s="69">
        <v>606.97138188680015</v>
      </c>
    </row>
    <row r="33" spans="1:45" x14ac:dyDescent="0.25">
      <c r="A33" s="11">
        <v>43157</v>
      </c>
      <c r="B33" s="59"/>
      <c r="C33" s="60">
        <v>55.037552605072868</v>
      </c>
      <c r="D33" s="60">
        <v>663.89334710439221</v>
      </c>
      <c r="E33" s="60">
        <v>15.810660358766693</v>
      </c>
      <c r="F33" s="60">
        <v>0</v>
      </c>
      <c r="G33" s="60">
        <v>1899.137386322016</v>
      </c>
      <c r="H33" s="61">
        <v>23.142184715469661</v>
      </c>
      <c r="I33" s="59">
        <v>118.93840115070338</v>
      </c>
      <c r="J33" s="60">
        <v>364.18115595181746</v>
      </c>
      <c r="K33" s="60">
        <v>20.094881201783828</v>
      </c>
      <c r="L33" s="60">
        <v>4.4374465942382776E-4</v>
      </c>
      <c r="M33" s="60">
        <v>0</v>
      </c>
      <c r="N33" s="61">
        <v>0</v>
      </c>
      <c r="O33" s="49">
        <v>0</v>
      </c>
      <c r="P33" s="60">
        <v>0</v>
      </c>
      <c r="Q33" s="50">
        <v>0</v>
      </c>
      <c r="R33" s="50">
        <v>0</v>
      </c>
      <c r="S33" s="60">
        <v>0</v>
      </c>
      <c r="T33" s="64">
        <v>0</v>
      </c>
      <c r="U33" s="65">
        <v>285.59037463261899</v>
      </c>
      <c r="V33" s="62">
        <v>149.32027735848501</v>
      </c>
      <c r="W33" s="62">
        <v>33.735694547094567</v>
      </c>
      <c r="X33" s="62">
        <v>17.638631109796293</v>
      </c>
      <c r="Y33" s="66">
        <v>116.97988289732579</v>
      </c>
      <c r="Z33" s="66">
        <v>61.162665520719273</v>
      </c>
      <c r="AA33" s="67">
        <v>0</v>
      </c>
      <c r="AB33" s="68">
        <v>62.985214413536617</v>
      </c>
      <c r="AC33" s="69">
        <v>0</v>
      </c>
      <c r="AD33" s="412">
        <v>8.9609721750089211</v>
      </c>
      <c r="AE33" s="412">
        <v>4.4677757055129907</v>
      </c>
      <c r="AF33" s="69">
        <v>13.031536375814003</v>
      </c>
      <c r="AG33" s="68">
        <v>8.4705514813001788</v>
      </c>
      <c r="AH33" s="68">
        <v>4.4288085625929403</v>
      </c>
      <c r="AI33" s="68">
        <v>0.65666447424346064</v>
      </c>
      <c r="AJ33" s="69">
        <v>307.23818120956417</v>
      </c>
      <c r="AK33" s="69">
        <v>1058.1853217442831</v>
      </c>
      <c r="AL33" s="69">
        <v>2955.314923858642</v>
      </c>
      <c r="AM33" s="69">
        <v>584.51059726079313</v>
      </c>
      <c r="AN33" s="69">
        <v>4876.5194554646814</v>
      </c>
      <c r="AO33" s="69">
        <v>2625.9243754069016</v>
      </c>
      <c r="AP33" s="69">
        <v>543.21856131553636</v>
      </c>
      <c r="AQ33" s="69">
        <v>1859.085883204142</v>
      </c>
      <c r="AR33" s="69">
        <v>347.03784681955972</v>
      </c>
      <c r="AS33" s="69">
        <v>652.95090122222882</v>
      </c>
    </row>
    <row r="34" spans="1:45" x14ac:dyDescent="0.25">
      <c r="A34" s="11">
        <v>43158</v>
      </c>
      <c r="B34" s="59"/>
      <c r="C34" s="60">
        <v>55.425260196129422</v>
      </c>
      <c r="D34" s="60">
        <v>661.05398877461755</v>
      </c>
      <c r="E34" s="60">
        <v>15.526174655059963</v>
      </c>
      <c r="F34" s="60">
        <v>0</v>
      </c>
      <c r="G34" s="60">
        <v>1780.1940077463714</v>
      </c>
      <c r="H34" s="61">
        <v>23.161483826239923</v>
      </c>
      <c r="I34" s="59">
        <v>124.78761649131781</v>
      </c>
      <c r="J34" s="60">
        <v>382.11896910667389</v>
      </c>
      <c r="K34" s="60">
        <v>20.92897427479425</v>
      </c>
      <c r="L34" s="60">
        <v>1.3595581054687519E-3</v>
      </c>
      <c r="M34" s="60">
        <v>0</v>
      </c>
      <c r="N34" s="61">
        <v>0</v>
      </c>
      <c r="O34" s="49">
        <v>0</v>
      </c>
      <c r="P34" s="60">
        <v>0</v>
      </c>
      <c r="Q34" s="50">
        <v>0</v>
      </c>
      <c r="R34" s="50">
        <v>0</v>
      </c>
      <c r="S34" s="60">
        <v>0</v>
      </c>
      <c r="T34" s="64">
        <v>0</v>
      </c>
      <c r="U34" s="65">
        <v>290.04736664685316</v>
      </c>
      <c r="V34" s="62">
        <v>144.7337731083949</v>
      </c>
      <c r="W34" s="62">
        <v>34.991878139893139</v>
      </c>
      <c r="X34" s="62">
        <v>17.460963738044143</v>
      </c>
      <c r="Y34" s="66">
        <v>123.77198831771157</v>
      </c>
      <c r="Z34" s="66">
        <v>61.762280697282542</v>
      </c>
      <c r="AA34" s="67">
        <v>0</v>
      </c>
      <c r="AB34" s="68">
        <v>65.158253100182705</v>
      </c>
      <c r="AC34" s="69">
        <v>0</v>
      </c>
      <c r="AD34" s="412">
        <v>9.4022931030726156</v>
      </c>
      <c r="AE34" s="412">
        <v>4.4718332713668199</v>
      </c>
      <c r="AF34" s="69">
        <v>13.359417157702994</v>
      </c>
      <c r="AG34" s="68">
        <v>8.8230866420237959</v>
      </c>
      <c r="AH34" s="68">
        <v>4.40272440644907</v>
      </c>
      <c r="AI34" s="68">
        <v>0.66711119716492284</v>
      </c>
      <c r="AJ34" s="69">
        <v>298.29479503631592</v>
      </c>
      <c r="AK34" s="69">
        <v>1021.346006457011</v>
      </c>
      <c r="AL34" s="69">
        <v>2931.7382733662921</v>
      </c>
      <c r="AM34" s="69">
        <v>552.77736603418987</v>
      </c>
      <c r="AN34" s="69">
        <v>4706.1972834269209</v>
      </c>
      <c r="AO34" s="69">
        <v>2605.0963550567631</v>
      </c>
      <c r="AP34" s="69">
        <v>554.35334993998197</v>
      </c>
      <c r="AQ34" s="69">
        <v>1895.4162261327106</v>
      </c>
      <c r="AR34" s="69">
        <v>371.72446722984307</v>
      </c>
      <c r="AS34" s="69">
        <v>642.36544427871706</v>
      </c>
    </row>
    <row r="35" spans="1:45" x14ac:dyDescent="0.25">
      <c r="A35" s="11">
        <v>43159</v>
      </c>
      <c r="B35" s="59"/>
      <c r="C35" s="60">
        <v>56.656804569562162</v>
      </c>
      <c r="D35" s="60">
        <v>680.00347989400132</v>
      </c>
      <c r="E35" s="60">
        <v>15.882330675919825</v>
      </c>
      <c r="F35" s="60">
        <v>0</v>
      </c>
      <c r="G35" s="60">
        <v>1779.6695316314647</v>
      </c>
      <c r="H35" s="61">
        <v>23.751626511414869</v>
      </c>
      <c r="I35" s="59">
        <v>124.97510304450974</v>
      </c>
      <c r="J35" s="60">
        <v>375.3747389475501</v>
      </c>
      <c r="K35" s="60">
        <v>20.689716008802247</v>
      </c>
      <c r="L35" s="60">
        <v>1.6994476318359379E-4</v>
      </c>
      <c r="M35" s="60">
        <v>0</v>
      </c>
      <c r="N35" s="61">
        <v>0</v>
      </c>
      <c r="O35" s="49">
        <v>0</v>
      </c>
      <c r="P35" s="60">
        <v>0</v>
      </c>
      <c r="Q35" s="50">
        <v>0</v>
      </c>
      <c r="R35" s="50">
        <v>0</v>
      </c>
      <c r="S35" s="60">
        <v>0</v>
      </c>
      <c r="T35" s="64">
        <v>0</v>
      </c>
      <c r="U35" s="65">
        <v>290.05916099585687</v>
      </c>
      <c r="V35" s="62">
        <v>151.31926937064884</v>
      </c>
      <c r="W35" s="62">
        <v>35.981404626097188</v>
      </c>
      <c r="X35" s="62">
        <v>18.77092880037835</v>
      </c>
      <c r="Y35" s="66">
        <v>126.8862728261675</v>
      </c>
      <c r="Z35" s="66">
        <v>66.194558486965803</v>
      </c>
      <c r="AA35" s="67">
        <v>0</v>
      </c>
      <c r="AB35" s="68">
        <v>64.724471057785777</v>
      </c>
      <c r="AC35" s="69">
        <v>0</v>
      </c>
      <c r="AD35" s="412">
        <v>9.2360333600911844</v>
      </c>
      <c r="AE35" s="412">
        <v>4.6003333827404536</v>
      </c>
      <c r="AF35" s="69">
        <v>13.638652378320675</v>
      </c>
      <c r="AG35" s="68">
        <v>8.8721597775949945</v>
      </c>
      <c r="AH35" s="68">
        <v>4.6284652092216092</v>
      </c>
      <c r="AI35" s="68">
        <v>0.65716659682486422</v>
      </c>
      <c r="AJ35" s="69">
        <v>301.42521751721699</v>
      </c>
      <c r="AK35" s="69">
        <v>1030.3451403935751</v>
      </c>
      <c r="AL35" s="69">
        <v>2919.7997595469155</v>
      </c>
      <c r="AM35" s="69">
        <v>527.27604198455811</v>
      </c>
      <c r="AN35" s="69">
        <v>4566.7079378763829</v>
      </c>
      <c r="AO35" s="69">
        <v>2594.8512741088862</v>
      </c>
      <c r="AP35" s="69">
        <v>533.53754553794863</v>
      </c>
      <c r="AQ35" s="69">
        <v>1870.2257934570314</v>
      </c>
      <c r="AR35" s="69">
        <v>389.45632573763532</v>
      </c>
      <c r="AS35" s="69">
        <v>636.38982588450108</v>
      </c>
    </row>
    <row r="36" spans="1:45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12"/>
      <c r="AE36" s="412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65"/>
      <c r="C37" s="386"/>
      <c r="D37" s="386"/>
      <c r="E37" s="386"/>
      <c r="F37" s="386"/>
      <c r="G37" s="386"/>
      <c r="H37" s="396"/>
      <c r="I37" s="385"/>
      <c r="J37" s="386"/>
      <c r="K37" s="386"/>
      <c r="L37" s="386"/>
      <c r="M37" s="386"/>
      <c r="N37" s="396"/>
      <c r="O37" s="385"/>
      <c r="P37" s="386"/>
      <c r="Q37" s="386"/>
      <c r="R37" s="397"/>
      <c r="S37" s="386"/>
      <c r="T37" s="398"/>
      <c r="U37" s="399"/>
      <c r="V37" s="81"/>
      <c r="W37" s="81"/>
      <c r="X37" s="81"/>
      <c r="Y37" s="80"/>
      <c r="Z37" s="80"/>
      <c r="AA37" s="82"/>
      <c r="AB37" s="400"/>
      <c r="AC37" s="394"/>
      <c r="AD37" s="412"/>
      <c r="AE37" s="412"/>
      <c r="AF37" s="394"/>
      <c r="AG37" s="400"/>
      <c r="AH37" s="400"/>
      <c r="AI37" s="400"/>
      <c r="AJ37" s="394"/>
      <c r="AK37" s="394"/>
      <c r="AL37" s="394"/>
      <c r="AM37" s="394"/>
      <c r="AN37" s="394"/>
      <c r="AO37" s="394"/>
      <c r="AP37" s="394"/>
      <c r="AQ37" s="394"/>
      <c r="AR37" s="394"/>
      <c r="AS37" s="394"/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12"/>
      <c r="AE38" s="412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>SUM(C8:C38)</f>
        <v>1546.9030493001171</v>
      </c>
      <c r="D39" s="30">
        <f t="shared" si="0"/>
        <v>19781.454829565664</v>
      </c>
      <c r="E39" s="30">
        <f t="shared" si="0"/>
        <v>437.39852900703721</v>
      </c>
      <c r="F39" s="30">
        <f t="shared" si="0"/>
        <v>0</v>
      </c>
      <c r="G39" s="30">
        <f t="shared" si="0"/>
        <v>53411.303188578218</v>
      </c>
      <c r="H39" s="31">
        <f t="shared" si="0"/>
        <v>648.78869490722786</v>
      </c>
      <c r="I39" s="29">
        <f t="shared" si="0"/>
        <v>3571.2297101497634</v>
      </c>
      <c r="J39" s="30">
        <f t="shared" si="0"/>
        <v>9741.5529060363897</v>
      </c>
      <c r="K39" s="30">
        <f t="shared" si="0"/>
        <v>534.75994404504695</v>
      </c>
      <c r="L39" s="30">
        <f t="shared" si="0"/>
        <v>2.744197330474853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7465.4167612594847</v>
      </c>
      <c r="V39" s="262">
        <f t="shared" si="0"/>
        <v>4116.9468952295192</v>
      </c>
      <c r="W39" s="262">
        <f t="shared" si="0"/>
        <v>885.84184233446956</v>
      </c>
      <c r="X39" s="262">
        <f t="shared" si="0"/>
        <v>488.3654617657262</v>
      </c>
      <c r="Y39" s="262">
        <f t="shared" si="0"/>
        <v>3091.2743437725831</v>
      </c>
      <c r="Z39" s="262">
        <f t="shared" si="0"/>
        <v>1704.2030334116482</v>
      </c>
      <c r="AA39" s="270">
        <f t="shared" si="0"/>
        <v>0</v>
      </c>
      <c r="AB39" s="273">
        <f t="shared" si="0"/>
        <v>1706.0758539332278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8801.9423570315048</v>
      </c>
      <c r="AK39" s="273">
        <f t="shared" si="1"/>
        <v>30034.300259717311</v>
      </c>
      <c r="AL39" s="273">
        <f t="shared" si="1"/>
        <v>82672.237431971254</v>
      </c>
      <c r="AM39" s="273">
        <f t="shared" si="1"/>
        <v>15305.184120082858</v>
      </c>
      <c r="AN39" s="273">
        <f t="shared" si="1"/>
        <v>113409.74836400352</v>
      </c>
      <c r="AO39" s="273">
        <f t="shared" si="1"/>
        <v>73115.031714630124</v>
      </c>
      <c r="AP39" s="273">
        <f t="shared" si="1"/>
        <v>17493.604585822421</v>
      </c>
      <c r="AQ39" s="273">
        <f t="shared" si="1"/>
        <v>50678.635690625502</v>
      </c>
      <c r="AR39" s="273">
        <f t="shared" si="1"/>
        <v>9536.3197704950962</v>
      </c>
      <c r="AS39" s="273">
        <f t="shared" si="1"/>
        <v>17561.627996444699</v>
      </c>
    </row>
    <row r="40" spans="1:45" ht="15.75" thickBot="1" x14ac:dyDescent="0.3">
      <c r="A40" s="47" t="s">
        <v>172</v>
      </c>
      <c r="B40" s="32">
        <f>Projection!$AA$30</f>
        <v>0.82128400199999985</v>
      </c>
      <c r="C40" s="33">
        <f>Projection!$AA$28</f>
        <v>1.2667292399999999</v>
      </c>
      <c r="D40" s="33">
        <f>Projection!$AA$31</f>
        <v>2.6329379999999998</v>
      </c>
      <c r="E40" s="33">
        <f>Projection!$AA$26</f>
        <v>3.9898560000000005</v>
      </c>
      <c r="F40" s="33">
        <f>Projection!$AA$23</f>
        <v>0</v>
      </c>
      <c r="G40" s="33">
        <f>Projection!$AA$24</f>
        <v>5.5265000000000002E-2</v>
      </c>
      <c r="H40" s="34">
        <f>Projection!$AA$29</f>
        <v>3.5497125</v>
      </c>
      <c r="I40" s="32">
        <f>Projection!$AA$30</f>
        <v>0.82128400199999985</v>
      </c>
      <c r="J40" s="33">
        <f>Projection!$AA$28</f>
        <v>1.2667292399999999</v>
      </c>
      <c r="K40" s="33">
        <f>Projection!$AA$26</f>
        <v>3.9898560000000005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1.2667292399999999</v>
      </c>
      <c r="T40" s="38">
        <f>Projection!$AA$28</f>
        <v>1.2667292399999999</v>
      </c>
      <c r="U40" s="26">
        <f>Projection!$AA$27</f>
        <v>0.27460000000000001</v>
      </c>
      <c r="V40" s="27">
        <f>Projection!$AA$27</f>
        <v>0.27460000000000001</v>
      </c>
      <c r="W40" s="27">
        <f>Projection!$AA$22</f>
        <v>0.74349432000000004</v>
      </c>
      <c r="X40" s="27">
        <f>Projection!$AA$22</f>
        <v>0.74349432000000004</v>
      </c>
      <c r="Y40" s="27">
        <f>Projection!$AA$31</f>
        <v>2.6329379999999998</v>
      </c>
      <c r="Z40" s="27">
        <f>Projection!$AA$31</f>
        <v>2.6329379999999998</v>
      </c>
      <c r="AA40" s="28">
        <v>0</v>
      </c>
      <c r="AB40" s="41">
        <f>Projection!$AA$27</f>
        <v>0.27460000000000001</v>
      </c>
      <c r="AC40" s="41">
        <f>Projection!$AA$30</f>
        <v>0.82128400199999985</v>
      </c>
      <c r="AD40" s="404">
        <f>SUM(AD8:AD38)</f>
        <v>239.70476123321509</v>
      </c>
      <c r="AE40" s="404">
        <f>SUM(AE8:AE38)</f>
        <v>125.17445479421571</v>
      </c>
      <c r="AF40" s="277">
        <f>SUM(AF8:AF38)</f>
        <v>352.56396848592487</v>
      </c>
      <c r="AG40" s="277">
        <f>SUM(AG8:AG38)</f>
        <v>224.78877195962778</v>
      </c>
      <c r="AH40" s="277">
        <f>SUM(AH8:AH38)</f>
        <v>123.9436199266369</v>
      </c>
      <c r="AI40" s="277">
        <f>IF(SUM(AG40:AH40)&gt;0, AG40/(AG40+AH40), 0)</f>
        <v>0.6445881632725996</v>
      </c>
      <c r="AJ40" s="313">
        <v>6.7000000000000004E-2</v>
      </c>
      <c r="AK40" s="313">
        <f t="shared" ref="AK40:AS40" si="2">$AJ$40</f>
        <v>6.7000000000000004E-2</v>
      </c>
      <c r="AL40" s="313">
        <f t="shared" si="2"/>
        <v>6.7000000000000004E-2</v>
      </c>
      <c r="AM40" s="313">
        <f t="shared" si="2"/>
        <v>6.7000000000000004E-2</v>
      </c>
      <c r="AN40" s="313">
        <f t="shared" si="2"/>
        <v>6.7000000000000004E-2</v>
      </c>
      <c r="AO40" s="313">
        <f t="shared" si="2"/>
        <v>6.7000000000000004E-2</v>
      </c>
      <c r="AP40" s="313">
        <f t="shared" si="2"/>
        <v>6.7000000000000004E-2</v>
      </c>
      <c r="AQ40" s="313">
        <f t="shared" si="2"/>
        <v>6.7000000000000004E-2</v>
      </c>
      <c r="AR40" s="313">
        <f t="shared" si="2"/>
        <v>6.7000000000000004E-2</v>
      </c>
      <c r="AS40" s="313">
        <f t="shared" si="2"/>
        <v>6.7000000000000004E-2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1959.5073239936196</v>
      </c>
      <c r="D41" s="36">
        <f t="shared" si="3"/>
        <v>52083.344116046959</v>
      </c>
      <c r="E41" s="36">
        <f t="shared" si="3"/>
        <v>1745.1571453499016</v>
      </c>
      <c r="F41" s="36">
        <f t="shared" si="3"/>
        <v>0</v>
      </c>
      <c r="G41" s="36">
        <f t="shared" si="3"/>
        <v>2951.7756707167755</v>
      </c>
      <c r="H41" s="37">
        <f t="shared" si="3"/>
        <v>2303.0133401708731</v>
      </c>
      <c r="I41" s="35">
        <f t="shared" si="3"/>
        <v>2932.9938284130972</v>
      </c>
      <c r="J41" s="36">
        <f t="shared" si="3"/>
        <v>12339.909909083266</v>
      </c>
      <c r="K41" s="36">
        <f t="shared" si="3"/>
        <v>2133.6151713077952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2050.0034426418547</v>
      </c>
      <c r="V41" s="268">
        <f t="shared" si="3"/>
        <v>1130.513617430026</v>
      </c>
      <c r="W41" s="268">
        <f t="shared" si="3"/>
        <v>658.61837819401364</v>
      </c>
      <c r="X41" s="268">
        <f t="shared" si="3"/>
        <v>363.09694690699462</v>
      </c>
      <c r="Y41" s="268">
        <f t="shared" si="3"/>
        <v>8139.1336881438965</v>
      </c>
      <c r="Z41" s="268">
        <f t="shared" si="3"/>
        <v>4487.0609263847982</v>
      </c>
      <c r="AA41" s="272">
        <f t="shared" si="3"/>
        <v>0</v>
      </c>
      <c r="AB41" s="275">
        <f t="shared" si="3"/>
        <v>468.48842949006439</v>
      </c>
      <c r="AC41" s="275">
        <f t="shared" si="3"/>
        <v>0</v>
      </c>
      <c r="AJ41" s="278">
        <f t="shared" ref="AJ41:AS41" si="4">AJ40*AJ39</f>
        <v>589.7301379211109</v>
      </c>
      <c r="AK41" s="278">
        <f t="shared" si="4"/>
        <v>2012.2981174010599</v>
      </c>
      <c r="AL41" s="278">
        <f t="shared" si="4"/>
        <v>5539.039907942074</v>
      </c>
      <c r="AM41" s="278">
        <f t="shared" si="4"/>
        <v>1025.4473360455515</v>
      </c>
      <c r="AN41" s="278">
        <f t="shared" si="4"/>
        <v>7598.4531403882365</v>
      </c>
      <c r="AO41" s="278">
        <f t="shared" si="4"/>
        <v>4898.7071248802185</v>
      </c>
      <c r="AP41" s="278">
        <f t="shared" si="4"/>
        <v>1172.0715072501023</v>
      </c>
      <c r="AQ41" s="278">
        <f t="shared" si="4"/>
        <v>3395.4685912719087</v>
      </c>
      <c r="AR41" s="278">
        <f t="shared" si="4"/>
        <v>638.9334246231715</v>
      </c>
      <c r="AS41" s="278">
        <f t="shared" si="4"/>
        <v>1176.6290757617949</v>
      </c>
    </row>
    <row r="42" spans="1:45" ht="49.5" customHeight="1" thickTop="1" thickBot="1" x14ac:dyDescent="0.3">
      <c r="A42" s="637">
        <f>JANUARY!$A$42+31</f>
        <v>43132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1488.77</v>
      </c>
      <c r="AK42" s="278" t="s">
        <v>197</v>
      </c>
      <c r="AL42" s="278">
        <v>2520.12</v>
      </c>
      <c r="AM42" s="278">
        <v>730.86</v>
      </c>
      <c r="AN42" s="278">
        <v>1260.32</v>
      </c>
      <c r="AO42" s="278">
        <v>7266.91</v>
      </c>
      <c r="AP42" s="278">
        <v>1890.5</v>
      </c>
      <c r="AQ42" s="278" t="s">
        <v>197</v>
      </c>
      <c r="AR42" s="278">
        <v>263.64999999999998</v>
      </c>
      <c r="AS42" s="278">
        <v>579.27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95746.23193427395</v>
      </c>
      <c r="C44" s="12"/>
      <c r="D44" s="282" t="s">
        <v>135</v>
      </c>
      <c r="E44" s="283">
        <f>SUM(B41:H41)+P41+R41+T41+V41+X41+Z41</f>
        <v>67023.469086999947</v>
      </c>
      <c r="F44" s="12"/>
      <c r="G44" s="282" t="s">
        <v>135</v>
      </c>
      <c r="H44" s="283">
        <f>SUM(I41:N41)+O41+Q41+S41+U41+W41+Y41</f>
        <v>28254.274417783919</v>
      </c>
      <c r="I44" s="12"/>
      <c r="J44" s="282" t="s">
        <v>198</v>
      </c>
      <c r="K44" s="283">
        <v>136286.26</v>
      </c>
      <c r="L44" s="12"/>
      <c r="M44" s="12"/>
      <c r="N44" s="12"/>
      <c r="O44" s="12"/>
      <c r="P44" s="12"/>
      <c r="Q44" s="12"/>
      <c r="R44" s="307" t="s">
        <v>135</v>
      </c>
      <c r="S44" s="308"/>
      <c r="T44" s="305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28046.778363485224</v>
      </c>
      <c r="C45" s="12"/>
      <c r="D45" s="284" t="s">
        <v>183</v>
      </c>
      <c r="E45" s="285">
        <f>AJ41*(1-$AI$40)+AK41+AL41*0.5+AN41+AO41*(1-$AI$40)+AP41*(1-$AI$40)+AQ41*(1-$AI$40)+AR41*0.5+AS41*0.5</f>
        <v>16862.065846029902</v>
      </c>
      <c r="F45" s="24"/>
      <c r="G45" s="284" t="s">
        <v>183</v>
      </c>
      <c r="H45" s="285">
        <f>AJ41*AI40+AL41*0.5+AM41+AO41*AI40+AP41*AI40+AQ41*AI40+AR41*0.5+AS41*0.5</f>
        <v>11184.712517455326</v>
      </c>
      <c r="I45" s="12"/>
      <c r="J45" s="12"/>
      <c r="K45" s="288"/>
      <c r="L45" s="12"/>
      <c r="M45" s="12"/>
      <c r="N45" s="12"/>
      <c r="O45" s="12"/>
      <c r="P45" s="12"/>
      <c r="Q45" s="12"/>
      <c r="R45" s="309" t="s">
        <v>141</v>
      </c>
      <c r="S45" s="310"/>
      <c r="T45" s="254">
        <f>$W$39+$X$39</f>
        <v>1374.2073041001959</v>
      </c>
      <c r="U45" s="256">
        <f>(T45*8.34*0.895)/27000</f>
        <v>0.37990724370352197</v>
      </c>
    </row>
    <row r="46" spans="1:45" ht="32.25" thickBot="1" x14ac:dyDescent="0.3">
      <c r="A46" s="286" t="s">
        <v>184</v>
      </c>
      <c r="B46" s="287">
        <f>SUM(AJ42:AS42)</f>
        <v>16000.4</v>
      </c>
      <c r="C46" s="12"/>
      <c r="D46" s="286" t="s">
        <v>184</v>
      </c>
      <c r="E46" s="287">
        <f>AJ42*(1-$AI$40)+AL42*0.5+AN42+AO42*(1-$AI$40)+AP42*(1-$AI$40)+AR42*0.5+AS42*0.5</f>
        <v>6725.6183879305154</v>
      </c>
      <c r="F46" s="23"/>
      <c r="G46" s="286" t="s">
        <v>184</v>
      </c>
      <c r="H46" s="287">
        <f>AJ42*AI40+AL42*0.5+AM42+AO42*AI40+AP42*AI40+AR42*0.5+AS42*0.5</f>
        <v>9274.7816120694843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09" t="s">
        <v>145</v>
      </c>
      <c r="S46" s="310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136286.26</v>
      </c>
      <c r="C47" s="12"/>
      <c r="D47" s="286" t="s">
        <v>187</v>
      </c>
      <c r="E47" s="287">
        <f>K44*0.5</f>
        <v>68143.13</v>
      </c>
      <c r="F47" s="24"/>
      <c r="G47" s="286" t="s">
        <v>185</v>
      </c>
      <c r="H47" s="287">
        <f>K44*0.5</f>
        <v>68143.13</v>
      </c>
      <c r="I47" s="12"/>
      <c r="J47" s="282" t="s">
        <v>198</v>
      </c>
      <c r="K47" s="283">
        <v>184887.07</v>
      </c>
      <c r="L47" s="12"/>
      <c r="M47" s="12"/>
      <c r="N47" s="12"/>
      <c r="O47" s="12"/>
      <c r="P47" s="12"/>
      <c r="Q47" s="12"/>
      <c r="R47" s="309" t="s">
        <v>148</v>
      </c>
      <c r="S47" s="310"/>
      <c r="T47" s="254">
        <f>$G$39</f>
        <v>53411.303188578218</v>
      </c>
      <c r="U47" s="256">
        <f>T47/40000</f>
        <v>1.3352825797144554</v>
      </c>
    </row>
    <row r="48" spans="1:45" ht="24" thickBot="1" x14ac:dyDescent="0.3">
      <c r="A48" s="286" t="s">
        <v>186</v>
      </c>
      <c r="B48" s="287">
        <f>K47</f>
        <v>184887.07</v>
      </c>
      <c r="C48" s="12"/>
      <c r="D48" s="286" t="s">
        <v>186</v>
      </c>
      <c r="E48" s="287">
        <f>K47*0.5</f>
        <v>92443.535000000003</v>
      </c>
      <c r="F48" s="23"/>
      <c r="G48" s="286" t="s">
        <v>186</v>
      </c>
      <c r="H48" s="287">
        <f>K47*0.5</f>
        <v>92443.535000000003</v>
      </c>
      <c r="I48" s="12"/>
      <c r="J48" s="12"/>
      <c r="K48" s="86"/>
      <c r="L48" s="12"/>
      <c r="M48" s="12"/>
      <c r="N48" s="12"/>
      <c r="O48" s="12"/>
      <c r="P48" s="12"/>
      <c r="Q48" s="12"/>
      <c r="R48" s="309" t="s">
        <v>150</v>
      </c>
      <c r="S48" s="310"/>
      <c r="T48" s="254">
        <f>$L$39</f>
        <v>2.744197330474853</v>
      </c>
      <c r="U48" s="256">
        <f>T48*9.34*0.107</f>
        <v>2.7424959281299586</v>
      </c>
    </row>
    <row r="49" spans="1:25" ht="48" thickTop="1" thickBot="1" x14ac:dyDescent="0.3">
      <c r="A49" s="291" t="s">
        <v>194</v>
      </c>
      <c r="B49" s="292">
        <f>AF40</f>
        <v>352.56396848592487</v>
      </c>
      <c r="C49" s="12"/>
      <c r="D49" s="291" t="s">
        <v>195</v>
      </c>
      <c r="E49" s="292">
        <f>AH40</f>
        <v>123.9436199266369</v>
      </c>
      <c r="F49" s="23"/>
      <c r="G49" s="291" t="s">
        <v>196</v>
      </c>
      <c r="H49" s="292">
        <f>AG40</f>
        <v>224.78877195962778</v>
      </c>
      <c r="I49" s="12"/>
      <c r="J49" s="12"/>
      <c r="K49" s="86"/>
      <c r="L49" s="12"/>
      <c r="M49" s="12"/>
      <c r="N49" s="12"/>
      <c r="O49" s="12"/>
      <c r="P49" s="12"/>
      <c r="Q49" s="12"/>
      <c r="R49" s="309" t="s">
        <v>152</v>
      </c>
      <c r="S49" s="310"/>
      <c r="T49" s="254">
        <f>$E$39+$K$39</f>
        <v>972.15847305208422</v>
      </c>
      <c r="U49" s="256">
        <f>(T49*8.34*1.04)/45000</f>
        <v>0.18738030515254572</v>
      </c>
    </row>
    <row r="50" spans="1:25" ht="48" customHeight="1" thickTop="1" thickBot="1" x14ac:dyDescent="0.3">
      <c r="A50" s="291" t="s">
        <v>223</v>
      </c>
      <c r="B50" s="292">
        <f>SUM(E50+H50)</f>
        <v>364.8792160274308</v>
      </c>
      <c r="C50" s="12"/>
      <c r="D50" s="291" t="s">
        <v>224</v>
      </c>
      <c r="E50" s="292">
        <f>AE40</f>
        <v>125.17445479421571</v>
      </c>
      <c r="F50" s="23"/>
      <c r="G50" s="291" t="s">
        <v>225</v>
      </c>
      <c r="H50" s="292">
        <f>AD40</f>
        <v>239.70476123321509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1263.3406345159017</v>
      </c>
      <c r="C51" s="12"/>
      <c r="D51" s="291" t="s">
        <v>188</v>
      </c>
      <c r="E51" s="403">
        <f>SUM(E44:E48)/E50</f>
        <v>2006.7818049131872</v>
      </c>
      <c r="F51" s="23"/>
      <c r="G51" s="291" t="s">
        <v>189</v>
      </c>
      <c r="H51" s="403">
        <f>SUM(H44:H48)/H50</f>
        <v>873.15926671842283</v>
      </c>
      <c r="I51" s="12"/>
      <c r="J51" s="12"/>
      <c r="K51" s="86"/>
      <c r="L51" s="12"/>
      <c r="M51" s="12"/>
      <c r="N51" s="12"/>
      <c r="O51" s="12"/>
      <c r="P51" s="12"/>
      <c r="Q51" s="12"/>
      <c r="R51" s="309" t="s">
        <v>153</v>
      </c>
      <c r="S51" s="310"/>
      <c r="T51" s="254">
        <f>$U$39+$V$39+$AB$39</f>
        <v>13288.439510422231</v>
      </c>
      <c r="U51" s="256">
        <f>T51/2000/8</f>
        <v>0.83052746940138944</v>
      </c>
    </row>
    <row r="52" spans="1:25" ht="47.25" customHeight="1" thickTop="1" thickBot="1" x14ac:dyDescent="0.3">
      <c r="A52" s="281" t="s">
        <v>191</v>
      </c>
      <c r="B52" s="294">
        <f>B51/1000</f>
        <v>1.2633406345159017</v>
      </c>
      <c r="C52" s="12"/>
      <c r="D52" s="281" t="s">
        <v>192</v>
      </c>
      <c r="E52" s="294">
        <f>E51/1000</f>
        <v>2.0067818049131874</v>
      </c>
      <c r="F52" s="374">
        <f>E44/E49</f>
        <v>540.7577181195096</v>
      </c>
      <c r="G52" s="281" t="s">
        <v>193</v>
      </c>
      <c r="H52" s="294">
        <f>H51/1000</f>
        <v>0.87315926671842281</v>
      </c>
      <c r="I52" s="374">
        <f>H44/H49</f>
        <v>125.69255204107084</v>
      </c>
      <c r="J52" s="12"/>
      <c r="K52" s="86"/>
      <c r="L52" s="12"/>
      <c r="M52" s="12"/>
      <c r="N52" s="12"/>
      <c r="O52" s="12"/>
      <c r="P52" s="12"/>
      <c r="Q52" s="12"/>
      <c r="R52" s="309" t="s">
        <v>154</v>
      </c>
      <c r="S52" s="310"/>
      <c r="T52" s="254">
        <f>$C$39+$J$39+$S$39+$T$39</f>
        <v>11288.455955336507</v>
      </c>
      <c r="U52" s="256">
        <f>(T52*8.34*1.4)/45000</f>
        <v>2.9289780385446456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9" t="s">
        <v>155</v>
      </c>
      <c r="S53" s="310"/>
      <c r="T53" s="254">
        <f>$H$39</f>
        <v>648.78869490722786</v>
      </c>
      <c r="U53" s="256">
        <f>(T53*8.34*1.135)/45000</f>
        <v>0.1364748646027184</v>
      </c>
    </row>
    <row r="54" spans="1:25" ht="48" customHeight="1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09" t="s">
        <v>156</v>
      </c>
      <c r="S54" s="310"/>
      <c r="T54" s="254">
        <f>$B$39+$I$39+$AC$39</f>
        <v>3571.2297101497634</v>
      </c>
      <c r="U54" s="256">
        <f>(T54*8.34*1.029*0.03)/3300</f>
        <v>0.27861630363950768</v>
      </c>
    </row>
    <row r="55" spans="1:25" ht="42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24576.932206749898</v>
      </c>
      <c r="U55" s="259">
        <f>(T55*1.54*8.34)/45000</f>
        <v>7.0145841442358439</v>
      </c>
    </row>
    <row r="56" spans="1:25" ht="24" thickTop="1" x14ac:dyDescent="0.25">
      <c r="A56" s="642"/>
      <c r="B56" s="64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4"/>
      <c r="B57" s="645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0"/>
      <c r="B58" s="64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1"/>
      <c r="B59" s="64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0"/>
      <c r="B60" s="64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1"/>
      <c r="B61" s="641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VDYQZux+SIAei/dRw2NsTobqHmcIUc+j9WHz3fJoH98jDOZeB8bppYSVLy5hSteuJOxObsu4yX4cYHUC47SRzg==" saltValue="re/pt/q6tzThkHFDueo8pA==" spinCount="100000" sheet="1" objects="1" scenarios="1" selectLockedCells="1" selectUnlockedCells="1"/>
  <mergeCells count="36">
    <mergeCell ref="A58:B59"/>
    <mergeCell ref="A60:B61"/>
    <mergeCell ref="A56:B56"/>
    <mergeCell ref="A57:B57"/>
    <mergeCell ref="AB4:AB5"/>
    <mergeCell ref="A54:E54"/>
    <mergeCell ref="A55:E55"/>
    <mergeCell ref="R55:S55"/>
    <mergeCell ref="U4:AA5"/>
    <mergeCell ref="J43:K43"/>
    <mergeCell ref="J46:K46"/>
    <mergeCell ref="A42:K42"/>
    <mergeCell ref="A43:B43"/>
    <mergeCell ref="D43:E43"/>
    <mergeCell ref="G43:H43"/>
    <mergeCell ref="B4:H5"/>
    <mergeCell ref="I4:N5"/>
    <mergeCell ref="AQ4:AQ5"/>
    <mergeCell ref="AP4:AP5"/>
    <mergeCell ref="R43:U43"/>
    <mergeCell ref="AF4:AF5"/>
    <mergeCell ref="AG4:AG5"/>
    <mergeCell ref="AH4:AH5"/>
    <mergeCell ref="AI4:AI5"/>
    <mergeCell ref="O4:T5"/>
    <mergeCell ref="AD4:AD5"/>
    <mergeCell ref="AE4:AE5"/>
    <mergeCell ref="AC4:AC5"/>
    <mergeCell ref="AR4:AR5"/>
    <mergeCell ref="AS4:AS5"/>
    <mergeCell ref="AJ4:AJ5"/>
    <mergeCell ref="AK4:AK5"/>
    <mergeCell ref="AL4:AL5"/>
    <mergeCell ref="AM4:AM5"/>
    <mergeCell ref="AN4:AN5"/>
    <mergeCell ref="AO4:AO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W64"/>
  <sheetViews>
    <sheetView zoomScale="75" zoomScaleNormal="75" workbookViewId="0">
      <selection activeCell="AJ47" sqref="AJ47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  <c r="AV4" t="s">
        <v>169</v>
      </c>
      <c r="AW4" s="338" t="s">
        <v>207</v>
      </c>
    </row>
    <row r="5" spans="1:49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49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43160</v>
      </c>
      <c r="B8" s="49"/>
      <c r="C8" s="50">
        <v>60.153063340982371</v>
      </c>
      <c r="D8" s="50">
        <v>722.31073160171468</v>
      </c>
      <c r="E8" s="50">
        <v>16.895064614216487</v>
      </c>
      <c r="F8" s="50">
        <v>0</v>
      </c>
      <c r="G8" s="50">
        <v>1894.1328830719006</v>
      </c>
      <c r="H8" s="51">
        <v>25.020714171727487</v>
      </c>
      <c r="I8" s="49">
        <v>121.82454894383733</v>
      </c>
      <c r="J8" s="50">
        <v>364.6313400904333</v>
      </c>
      <c r="K8" s="50">
        <v>20.044816871484102</v>
      </c>
      <c r="L8" s="50">
        <v>4.7206878662109375E-5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277.26213555464341</v>
      </c>
      <c r="V8" s="54">
        <v>156.76420317097606</v>
      </c>
      <c r="W8" s="54">
        <v>35.280372844550222</v>
      </c>
      <c r="X8" s="54">
        <v>19.947547202891883</v>
      </c>
      <c r="Y8" s="54">
        <v>118.90048761739635</v>
      </c>
      <c r="Z8" s="54">
        <v>67.226417919255198</v>
      </c>
      <c r="AA8" s="55">
        <v>0</v>
      </c>
      <c r="AB8" s="56">
        <v>64.682192447450987</v>
      </c>
      <c r="AC8" s="57">
        <v>0</v>
      </c>
      <c r="AD8" s="411">
        <v>8.9723978520072478</v>
      </c>
      <c r="AE8" s="411">
        <v>4.849519496171272</v>
      </c>
      <c r="AF8" s="57">
        <v>13.639052049981226</v>
      </c>
      <c r="AG8" s="58">
        <v>8.624036985678007</v>
      </c>
      <c r="AH8" s="58">
        <v>4.8760364752741197</v>
      </c>
      <c r="AI8" s="58">
        <v>0.63881407835463544</v>
      </c>
      <c r="AJ8" s="57">
        <v>305.07792277336125</v>
      </c>
      <c r="AK8" s="57">
        <v>1020.167790285746</v>
      </c>
      <c r="AL8" s="57">
        <v>2921.1529632568358</v>
      </c>
      <c r="AM8" s="57">
        <v>591.0165330568949</v>
      </c>
      <c r="AN8" s="57">
        <v>3208.1278447469076</v>
      </c>
      <c r="AO8" s="57">
        <v>2583.4838185628255</v>
      </c>
      <c r="AP8" s="57">
        <v>524.76567878723142</v>
      </c>
      <c r="AQ8" s="57">
        <v>1873.6469137827553</v>
      </c>
      <c r="AR8" s="57">
        <v>404.51719608306877</v>
      </c>
      <c r="AS8" s="57">
        <v>641.72246707280465</v>
      </c>
    </row>
    <row r="9" spans="1:49" x14ac:dyDescent="0.25">
      <c r="A9" s="11">
        <v>43161</v>
      </c>
      <c r="B9" s="59"/>
      <c r="C9" s="60">
        <v>63.477755304177506</v>
      </c>
      <c r="D9" s="60">
        <v>774.05670274098861</v>
      </c>
      <c r="E9" s="60">
        <v>17.928059635063018</v>
      </c>
      <c r="F9" s="60">
        <v>0</v>
      </c>
      <c r="G9" s="60">
        <v>2080.5506371815982</v>
      </c>
      <c r="H9" s="61">
        <v>26.486097983519254</v>
      </c>
      <c r="I9" s="59">
        <v>117.68497687180832</v>
      </c>
      <c r="J9" s="60">
        <v>352.72132331530275</v>
      </c>
      <c r="K9" s="60">
        <v>19.482442724208024</v>
      </c>
      <c r="L9" s="60">
        <v>1.1801719665527346E-3</v>
      </c>
      <c r="M9" s="60">
        <v>0</v>
      </c>
      <c r="N9" s="61">
        <v>0</v>
      </c>
      <c r="O9" s="49">
        <v>0</v>
      </c>
      <c r="P9" s="60">
        <v>0</v>
      </c>
      <c r="Q9" s="50">
        <v>0</v>
      </c>
      <c r="R9" s="50">
        <v>0</v>
      </c>
      <c r="S9" s="60">
        <v>0</v>
      </c>
      <c r="T9" s="64">
        <v>0</v>
      </c>
      <c r="U9" s="65">
        <v>260.45943955266023</v>
      </c>
      <c r="V9" s="62">
        <v>161.58081688400358</v>
      </c>
      <c r="W9" s="62">
        <v>33.255934967167086</v>
      </c>
      <c r="X9" s="62">
        <v>20.630932583841819</v>
      </c>
      <c r="Y9" s="66">
        <v>107.44840117570841</v>
      </c>
      <c r="Z9" s="66">
        <v>66.657597300638017</v>
      </c>
      <c r="AA9" s="67">
        <v>0</v>
      </c>
      <c r="AB9" s="68">
        <v>64.383740086024957</v>
      </c>
      <c r="AC9" s="69">
        <v>0</v>
      </c>
      <c r="AD9" s="412">
        <v>8.6792251197762713</v>
      </c>
      <c r="AE9" s="412">
        <v>5.1456510337029568</v>
      </c>
      <c r="AF9" s="69">
        <v>13.368114915821279</v>
      </c>
      <c r="AG9" s="68">
        <v>8.1620486660669265</v>
      </c>
      <c r="AH9" s="68">
        <v>5.0634774196519041</v>
      </c>
      <c r="AI9" s="68">
        <v>0.61714359135251773</v>
      </c>
      <c r="AJ9" s="69">
        <v>290.25509974161781</v>
      </c>
      <c r="AK9" s="69">
        <v>990.39839763641351</v>
      </c>
      <c r="AL9" s="69">
        <v>2955.5952560424803</v>
      </c>
      <c r="AM9" s="69">
        <v>603.89323425292969</v>
      </c>
      <c r="AN9" s="69">
        <v>3148.250244140625</v>
      </c>
      <c r="AO9" s="69">
        <v>2544.3105524698894</v>
      </c>
      <c r="AP9" s="69">
        <v>510.09542384147636</v>
      </c>
      <c r="AQ9" s="69">
        <v>1894.0461344401042</v>
      </c>
      <c r="AR9" s="69">
        <v>392.57860713005067</v>
      </c>
      <c r="AS9" s="69">
        <v>685.15871512095146</v>
      </c>
    </row>
    <row r="10" spans="1:49" x14ac:dyDescent="0.25">
      <c r="A10" s="11">
        <v>43162</v>
      </c>
      <c r="B10" s="59"/>
      <c r="C10" s="60">
        <v>64.692290620009018</v>
      </c>
      <c r="D10" s="60">
        <v>785.19615770181008</v>
      </c>
      <c r="E10" s="60">
        <v>18.230746555825089</v>
      </c>
      <c r="F10" s="60">
        <v>0</v>
      </c>
      <c r="G10" s="60">
        <v>2149.7187844594359</v>
      </c>
      <c r="H10" s="61">
        <v>26.893764418363627</v>
      </c>
      <c r="I10" s="59">
        <v>123.02241158485417</v>
      </c>
      <c r="J10" s="60">
        <v>353.277662642797</v>
      </c>
      <c r="K10" s="60">
        <v>19.382470992704224</v>
      </c>
      <c r="L10" s="60">
        <v>2.3981094360351674E-3</v>
      </c>
      <c r="M10" s="60">
        <v>0</v>
      </c>
      <c r="N10" s="61">
        <v>0</v>
      </c>
      <c r="O10" s="49">
        <v>0</v>
      </c>
      <c r="P10" s="60">
        <v>0</v>
      </c>
      <c r="Q10" s="50">
        <v>0</v>
      </c>
      <c r="R10" s="50">
        <v>0</v>
      </c>
      <c r="S10" s="60">
        <v>0</v>
      </c>
      <c r="T10" s="64">
        <v>0</v>
      </c>
      <c r="U10" s="65">
        <v>264.59098803839441</v>
      </c>
      <c r="V10" s="62">
        <v>167.73025353111868</v>
      </c>
      <c r="W10" s="62">
        <v>33.501014501594952</v>
      </c>
      <c r="X10" s="62">
        <v>21.237056097643134</v>
      </c>
      <c r="Y10" s="66">
        <v>107.20586742715996</v>
      </c>
      <c r="Z10" s="66">
        <v>67.960241038034681</v>
      </c>
      <c r="AA10" s="67">
        <v>0</v>
      </c>
      <c r="AB10" s="68">
        <v>64.847616712252204</v>
      </c>
      <c r="AC10" s="69">
        <v>0</v>
      </c>
      <c r="AD10" s="412">
        <v>8.6925036042400947</v>
      </c>
      <c r="AE10" s="412">
        <v>5.2378780126689648</v>
      </c>
      <c r="AF10" s="69">
        <v>13.431605594025706</v>
      </c>
      <c r="AG10" s="68">
        <v>8.134114739270105</v>
      </c>
      <c r="AH10" s="68">
        <v>5.1564005924155181</v>
      </c>
      <c r="AI10" s="68">
        <v>0.61202402888605401</v>
      </c>
      <c r="AJ10" s="69">
        <v>276.9503113746643</v>
      </c>
      <c r="AK10" s="69">
        <v>953.30562553405764</v>
      </c>
      <c r="AL10" s="69">
        <v>2858.2108943939211</v>
      </c>
      <c r="AM10" s="69">
        <v>603.89323425292969</v>
      </c>
      <c r="AN10" s="69">
        <v>3148.250244140625</v>
      </c>
      <c r="AO10" s="69">
        <v>2446.5770411173498</v>
      </c>
      <c r="AP10" s="69">
        <v>484.02428859074911</v>
      </c>
      <c r="AQ10" s="69">
        <v>1920.9787157694502</v>
      </c>
      <c r="AR10" s="69">
        <v>381.85988707542418</v>
      </c>
      <c r="AS10" s="69">
        <v>670.86058101654066</v>
      </c>
    </row>
    <row r="11" spans="1:49" x14ac:dyDescent="0.25">
      <c r="A11" s="11">
        <v>43163</v>
      </c>
      <c r="B11" s="59"/>
      <c r="C11" s="60">
        <v>65.325775214037094</v>
      </c>
      <c r="D11" s="60">
        <v>789.11061503092458</v>
      </c>
      <c r="E11" s="60">
        <v>18.234151407579571</v>
      </c>
      <c r="F11" s="60">
        <v>0</v>
      </c>
      <c r="G11" s="60">
        <v>2160.0350414276149</v>
      </c>
      <c r="H11" s="61">
        <v>26.995766037702598</v>
      </c>
      <c r="I11" s="59">
        <v>131.03038082122828</v>
      </c>
      <c r="J11" s="60">
        <v>350.2583065827688</v>
      </c>
      <c r="K11" s="60">
        <v>19.155237404008691</v>
      </c>
      <c r="L11" s="60">
        <v>9.819030761718734E-4</v>
      </c>
      <c r="M11" s="60">
        <v>0</v>
      </c>
      <c r="N11" s="61">
        <v>0</v>
      </c>
      <c r="O11" s="49">
        <v>0</v>
      </c>
      <c r="P11" s="60">
        <v>0</v>
      </c>
      <c r="Q11" s="50">
        <v>0</v>
      </c>
      <c r="R11" s="50">
        <v>0</v>
      </c>
      <c r="S11" s="60">
        <v>0</v>
      </c>
      <c r="T11" s="64">
        <v>0</v>
      </c>
      <c r="U11" s="65">
        <v>269.37219138172691</v>
      </c>
      <c r="V11" s="62">
        <v>171.40793109971941</v>
      </c>
      <c r="W11" s="62">
        <v>34.435535990984057</v>
      </c>
      <c r="X11" s="62">
        <v>21.912150434860759</v>
      </c>
      <c r="Y11" s="66">
        <v>109.87710796948988</v>
      </c>
      <c r="Z11" s="66">
        <v>69.917416700157418</v>
      </c>
      <c r="AA11" s="67">
        <v>0</v>
      </c>
      <c r="AB11" s="68">
        <v>64.453466873698389</v>
      </c>
      <c r="AC11" s="69">
        <v>0</v>
      </c>
      <c r="AD11" s="412">
        <v>8.6202252417137153</v>
      </c>
      <c r="AE11" s="412">
        <v>5.2452410627492476</v>
      </c>
      <c r="AF11" s="69">
        <v>13.650286485089197</v>
      </c>
      <c r="AG11" s="68">
        <v>8.2487415085706797</v>
      </c>
      <c r="AH11" s="68">
        <v>5.2488703785939181</v>
      </c>
      <c r="AI11" s="68">
        <v>0.61112599603006268</v>
      </c>
      <c r="AJ11" s="69">
        <v>282.5788474400839</v>
      </c>
      <c r="AK11" s="69">
        <v>959.73345476786312</v>
      </c>
      <c r="AL11" s="69">
        <v>2851.6356479644778</v>
      </c>
      <c r="AM11" s="69">
        <v>578.14434881210332</v>
      </c>
      <c r="AN11" s="69">
        <v>3148.250244140625</v>
      </c>
      <c r="AO11" s="69">
        <v>2366.8066420237219</v>
      </c>
      <c r="AP11" s="69">
        <v>477.85955149332682</v>
      </c>
      <c r="AQ11" s="69">
        <v>1916.1706665039062</v>
      </c>
      <c r="AR11" s="69">
        <v>381.573553832372</v>
      </c>
      <c r="AS11" s="69">
        <v>606.56998147964487</v>
      </c>
    </row>
    <row r="12" spans="1:49" x14ac:dyDescent="0.25">
      <c r="A12" s="11">
        <v>43164</v>
      </c>
      <c r="B12" s="59"/>
      <c r="C12" s="60">
        <v>64.963856077194052</v>
      </c>
      <c r="D12" s="60">
        <v>764.27564624150489</v>
      </c>
      <c r="E12" s="60">
        <v>18.039453609784456</v>
      </c>
      <c r="F12" s="60">
        <v>0</v>
      </c>
      <c r="G12" s="60">
        <v>2205.3730353037531</v>
      </c>
      <c r="H12" s="61">
        <v>26.991164523363164</v>
      </c>
      <c r="I12" s="59">
        <v>131.80549894968664</v>
      </c>
      <c r="J12" s="60">
        <v>352.93650666872708</v>
      </c>
      <c r="K12" s="60">
        <v>19.421844697992029</v>
      </c>
      <c r="L12" s="60">
        <v>0</v>
      </c>
      <c r="M12" s="60">
        <v>0</v>
      </c>
      <c r="N12" s="61">
        <v>0</v>
      </c>
      <c r="O12" s="49">
        <v>0</v>
      </c>
      <c r="P12" s="60">
        <v>0</v>
      </c>
      <c r="Q12" s="50">
        <v>0</v>
      </c>
      <c r="R12" s="50">
        <v>0</v>
      </c>
      <c r="S12" s="60">
        <v>0</v>
      </c>
      <c r="T12" s="64">
        <v>0</v>
      </c>
      <c r="U12" s="65">
        <v>254.00807272237424</v>
      </c>
      <c r="V12" s="62">
        <v>161.53672754855498</v>
      </c>
      <c r="W12" s="62">
        <v>32.257132625328239</v>
      </c>
      <c r="X12" s="62">
        <v>20.513960790885793</v>
      </c>
      <c r="Y12" s="66">
        <v>100.61089096718058</v>
      </c>
      <c r="Z12" s="66">
        <v>63.98361244347663</v>
      </c>
      <c r="AA12" s="67">
        <v>0</v>
      </c>
      <c r="AB12" s="68">
        <v>64.793241490258126</v>
      </c>
      <c r="AC12" s="69">
        <v>0</v>
      </c>
      <c r="AD12" s="412">
        <v>8.6836319573412784</v>
      </c>
      <c r="AE12" s="412">
        <v>5.2568731115620357</v>
      </c>
      <c r="AF12" s="69">
        <v>12.903813629680206</v>
      </c>
      <c r="AG12" s="68">
        <v>7.7873869102219508</v>
      </c>
      <c r="AH12" s="68">
        <v>4.9523977098421579</v>
      </c>
      <c r="AI12" s="68">
        <v>0.61126519344427999</v>
      </c>
      <c r="AJ12" s="69">
        <v>339.63009289105736</v>
      </c>
      <c r="AK12" s="69">
        <v>1065.1899794260662</v>
      </c>
      <c r="AL12" s="69">
        <v>2835.1052870432541</v>
      </c>
      <c r="AM12" s="69">
        <v>509.54617309570313</v>
      </c>
      <c r="AN12" s="69">
        <v>3148.250244140625</v>
      </c>
      <c r="AO12" s="69">
        <v>2642.9448294321692</v>
      </c>
      <c r="AP12" s="69">
        <v>599.70056072870887</v>
      </c>
      <c r="AQ12" s="69">
        <v>1914.4327276865647</v>
      </c>
      <c r="AR12" s="69">
        <v>424.50694257418309</v>
      </c>
      <c r="AS12" s="69">
        <v>661.98044729232788</v>
      </c>
    </row>
    <row r="13" spans="1:49" x14ac:dyDescent="0.25">
      <c r="A13" s="11">
        <v>43165</v>
      </c>
      <c r="B13" s="59"/>
      <c r="C13" s="60">
        <v>66.545819707711544</v>
      </c>
      <c r="D13" s="60">
        <v>758.09772774378393</v>
      </c>
      <c r="E13" s="60">
        <v>18.981738232076136</v>
      </c>
      <c r="F13" s="60">
        <v>0</v>
      </c>
      <c r="G13" s="60">
        <v>2111.1524728139198</v>
      </c>
      <c r="H13" s="61">
        <v>27.73888420263928</v>
      </c>
      <c r="I13" s="59">
        <v>132.76656477451345</v>
      </c>
      <c r="J13" s="60">
        <v>342.75997646649751</v>
      </c>
      <c r="K13" s="60">
        <v>18.858871338268095</v>
      </c>
      <c r="L13" s="60">
        <v>9.4413757324218753E-6</v>
      </c>
      <c r="M13" s="60">
        <v>0</v>
      </c>
      <c r="N13" s="61">
        <v>0</v>
      </c>
      <c r="O13" s="49">
        <v>0</v>
      </c>
      <c r="P13" s="60">
        <v>0</v>
      </c>
      <c r="Q13" s="50">
        <v>0</v>
      </c>
      <c r="R13" s="50">
        <v>0</v>
      </c>
      <c r="S13" s="60">
        <v>0</v>
      </c>
      <c r="T13" s="64">
        <v>0</v>
      </c>
      <c r="U13" s="65">
        <v>257.68175950613505</v>
      </c>
      <c r="V13" s="62">
        <v>170.32086447576759</v>
      </c>
      <c r="W13" s="62">
        <v>32.498748661978304</v>
      </c>
      <c r="X13" s="62">
        <v>21.480817955828392</v>
      </c>
      <c r="Y13" s="66">
        <v>100.86373008288983</v>
      </c>
      <c r="Z13" s="66">
        <v>66.668272270778502</v>
      </c>
      <c r="AA13" s="67">
        <v>0</v>
      </c>
      <c r="AB13" s="68">
        <v>64.284056716494732</v>
      </c>
      <c r="AC13" s="69">
        <v>0</v>
      </c>
      <c r="AD13" s="412">
        <v>8.434069461200119</v>
      </c>
      <c r="AE13" s="412">
        <v>5.4157116561995933</v>
      </c>
      <c r="AF13" s="69">
        <v>13.265401621328497</v>
      </c>
      <c r="AG13" s="68">
        <v>7.900101109360854</v>
      </c>
      <c r="AH13" s="68">
        <v>5.2217590137973087</v>
      </c>
      <c r="AI13" s="68">
        <v>0.60205649467473987</v>
      </c>
      <c r="AJ13" s="69">
        <v>320.51017832756042</v>
      </c>
      <c r="AK13" s="69">
        <v>1069.4007626851401</v>
      </c>
      <c r="AL13" s="69">
        <v>2869.0890083312984</v>
      </c>
      <c r="AM13" s="69">
        <v>509.54617309570313</v>
      </c>
      <c r="AN13" s="69">
        <v>3148.250244140625</v>
      </c>
      <c r="AO13" s="69">
        <v>2720.2055517832441</v>
      </c>
      <c r="AP13" s="69">
        <v>635.68480930328371</v>
      </c>
      <c r="AQ13" s="69">
        <v>1880.3210882822675</v>
      </c>
      <c r="AR13" s="69">
        <v>439.20703832308442</v>
      </c>
      <c r="AS13" s="69">
        <v>673.71887880961083</v>
      </c>
    </row>
    <row r="14" spans="1:49" x14ac:dyDescent="0.25">
      <c r="A14" s="11">
        <v>43166</v>
      </c>
      <c r="B14" s="59"/>
      <c r="C14" s="60">
        <v>67.086843538285137</v>
      </c>
      <c r="D14" s="60">
        <v>769.54371086756282</v>
      </c>
      <c r="E14" s="60">
        <v>19.363634796440579</v>
      </c>
      <c r="F14" s="60">
        <v>0</v>
      </c>
      <c r="G14" s="60">
        <v>2146.4583975474015</v>
      </c>
      <c r="H14" s="61">
        <v>28.120243022839269</v>
      </c>
      <c r="I14" s="59">
        <v>129.97459181944529</v>
      </c>
      <c r="J14" s="60">
        <v>339.2217744986221</v>
      </c>
      <c r="K14" s="60">
        <v>18.557654060423374</v>
      </c>
      <c r="L14" s="60">
        <v>1.8882751464843751E-5</v>
      </c>
      <c r="M14" s="60">
        <v>0</v>
      </c>
      <c r="N14" s="61">
        <v>0</v>
      </c>
      <c r="O14" s="49">
        <v>0</v>
      </c>
      <c r="P14" s="60">
        <v>0</v>
      </c>
      <c r="Q14" s="50">
        <v>0</v>
      </c>
      <c r="R14" s="50">
        <v>0</v>
      </c>
      <c r="S14" s="60">
        <v>0</v>
      </c>
      <c r="T14" s="64">
        <v>0</v>
      </c>
      <c r="U14" s="65">
        <v>258.37772441793317</v>
      </c>
      <c r="V14" s="62">
        <v>177.66205096421265</v>
      </c>
      <c r="W14" s="62">
        <v>32.971139355666381</v>
      </c>
      <c r="X14" s="62">
        <v>22.671150362325864</v>
      </c>
      <c r="Y14" s="66">
        <v>104.34482271930143</v>
      </c>
      <c r="Z14" s="66">
        <v>71.748117038999638</v>
      </c>
      <c r="AA14" s="67">
        <v>0</v>
      </c>
      <c r="AB14" s="68">
        <v>64.215934811698418</v>
      </c>
      <c r="AC14" s="69">
        <v>0</v>
      </c>
      <c r="AD14" s="412">
        <v>8.348230814855917</v>
      </c>
      <c r="AE14" s="412">
        <v>5.4977315742843871</v>
      </c>
      <c r="AF14" s="69">
        <v>13.613575035995913</v>
      </c>
      <c r="AG14" s="68">
        <v>7.9916974946140487</v>
      </c>
      <c r="AH14" s="68">
        <v>5.4951384480888557</v>
      </c>
      <c r="AI14" s="68">
        <v>0.59255540206507673</v>
      </c>
      <c r="AJ14" s="69">
        <v>306.71413971583053</v>
      </c>
      <c r="AK14" s="69">
        <v>1036.8251530965167</v>
      </c>
      <c r="AL14" s="69">
        <v>2896.5409622192383</v>
      </c>
      <c r="AM14" s="69">
        <v>509.54617309570313</v>
      </c>
      <c r="AN14" s="69">
        <v>3148.250244140625</v>
      </c>
      <c r="AO14" s="69">
        <v>2691.2893680572515</v>
      </c>
      <c r="AP14" s="69">
        <v>612.2979551633199</v>
      </c>
      <c r="AQ14" s="69">
        <v>1889.9972908020022</v>
      </c>
      <c r="AR14" s="69">
        <v>437.73429018656412</v>
      </c>
      <c r="AS14" s="69">
        <v>673.3631072680156</v>
      </c>
    </row>
    <row r="15" spans="1:49" x14ac:dyDescent="0.25">
      <c r="A15" s="11">
        <v>43167</v>
      </c>
      <c r="B15" s="59"/>
      <c r="C15" s="60">
        <v>70.490119651953634</v>
      </c>
      <c r="D15" s="60">
        <v>794.12758413950621</v>
      </c>
      <c r="E15" s="60">
        <v>19.726459685464679</v>
      </c>
      <c r="F15" s="60">
        <v>0</v>
      </c>
      <c r="G15" s="60">
        <v>2151.0159954071046</v>
      </c>
      <c r="H15" s="61">
        <v>28.683400704463374</v>
      </c>
      <c r="I15" s="59">
        <v>127.25744075775157</v>
      </c>
      <c r="J15" s="60">
        <v>332.3227625528973</v>
      </c>
      <c r="K15" s="60">
        <v>18.380996661881625</v>
      </c>
      <c r="L15" s="60">
        <v>1.2273788452148439E-4</v>
      </c>
      <c r="M15" s="60">
        <v>0</v>
      </c>
      <c r="N15" s="61">
        <v>0</v>
      </c>
      <c r="O15" s="49">
        <v>0</v>
      </c>
      <c r="P15" s="60">
        <v>0</v>
      </c>
      <c r="Q15" s="50">
        <v>0</v>
      </c>
      <c r="R15" s="50">
        <v>0</v>
      </c>
      <c r="S15" s="60">
        <v>0</v>
      </c>
      <c r="T15" s="64">
        <v>0</v>
      </c>
      <c r="U15" s="65">
        <v>270.29440740784293</v>
      </c>
      <c r="V15" s="62">
        <v>195.5859506735529</v>
      </c>
      <c r="W15" s="62">
        <v>32.292942438601614</v>
      </c>
      <c r="X15" s="62">
        <v>23.36728276205152</v>
      </c>
      <c r="Y15" s="66">
        <v>101.79406803777371</v>
      </c>
      <c r="Z15" s="66">
        <v>73.658533156607945</v>
      </c>
      <c r="AA15" s="67">
        <v>0</v>
      </c>
      <c r="AB15" s="68">
        <v>64.172174098756784</v>
      </c>
      <c r="AC15" s="69">
        <v>0</v>
      </c>
      <c r="AD15" s="412">
        <v>8.1775149475441502</v>
      </c>
      <c r="AE15" s="412">
        <v>5.6735293924788097</v>
      </c>
      <c r="AF15" s="69">
        <v>13.632856495512877</v>
      </c>
      <c r="AG15" s="68">
        <v>7.8327206501614732</v>
      </c>
      <c r="AH15" s="68">
        <v>5.6677832494352574</v>
      </c>
      <c r="AI15" s="68">
        <v>0.58017987390792447</v>
      </c>
      <c r="AJ15" s="69">
        <v>292.17918798128761</v>
      </c>
      <c r="AK15" s="69">
        <v>1001.2448807398478</v>
      </c>
      <c r="AL15" s="69">
        <v>2891.0879282633459</v>
      </c>
      <c r="AM15" s="69">
        <v>509.54617309570313</v>
      </c>
      <c r="AN15" s="69">
        <v>3148.250244140625</v>
      </c>
      <c r="AO15" s="69">
        <v>2569.9999539693204</v>
      </c>
      <c r="AP15" s="69">
        <v>593.78249460856125</v>
      </c>
      <c r="AQ15" s="69">
        <v>1905.9988766988122</v>
      </c>
      <c r="AR15" s="69">
        <v>463.17364842096958</v>
      </c>
      <c r="AS15" s="69">
        <v>679.95915215810146</v>
      </c>
    </row>
    <row r="16" spans="1:49" x14ac:dyDescent="0.25">
      <c r="A16" s="11">
        <v>43168</v>
      </c>
      <c r="B16" s="59"/>
      <c r="C16" s="60">
        <v>71.814685539405104</v>
      </c>
      <c r="D16" s="60">
        <v>805.36906445821205</v>
      </c>
      <c r="E16" s="60">
        <v>19.968553861478906</v>
      </c>
      <c r="F16" s="60">
        <v>0</v>
      </c>
      <c r="G16" s="60">
        <v>2150.3214747111019</v>
      </c>
      <c r="H16" s="61">
        <v>29.17880106170972</v>
      </c>
      <c r="I16" s="59">
        <v>126.43172420660659</v>
      </c>
      <c r="J16" s="60">
        <v>330.87213368415854</v>
      </c>
      <c r="K16" s="60">
        <v>18.309301402171435</v>
      </c>
      <c r="L16" s="60">
        <v>1.1329650878906248E-3</v>
      </c>
      <c r="M16" s="60">
        <v>0</v>
      </c>
      <c r="N16" s="61">
        <v>0</v>
      </c>
      <c r="O16" s="49">
        <v>0</v>
      </c>
      <c r="P16" s="60">
        <v>0</v>
      </c>
      <c r="Q16" s="50">
        <v>0</v>
      </c>
      <c r="R16" s="50">
        <v>0</v>
      </c>
      <c r="S16" s="60">
        <v>0</v>
      </c>
      <c r="T16" s="64">
        <v>0</v>
      </c>
      <c r="U16" s="65">
        <v>251.20261710531861</v>
      </c>
      <c r="V16" s="62">
        <v>186.29642527851723</v>
      </c>
      <c r="W16" s="62">
        <v>31.750175444457646</v>
      </c>
      <c r="X16" s="62">
        <v>23.546507020618861</v>
      </c>
      <c r="Y16" s="66">
        <v>99.212442321974251</v>
      </c>
      <c r="Z16" s="66">
        <v>73.577749948304771</v>
      </c>
      <c r="AA16" s="67">
        <v>0</v>
      </c>
      <c r="AB16" s="68">
        <v>64.232754569583562</v>
      </c>
      <c r="AC16" s="69">
        <v>0</v>
      </c>
      <c r="AD16" s="412">
        <v>8.1420581498285856</v>
      </c>
      <c r="AE16" s="412">
        <v>5.7529093059501513</v>
      </c>
      <c r="AF16" s="69">
        <v>13.296465979019811</v>
      </c>
      <c r="AG16" s="68">
        <v>7.5555477457903404</v>
      </c>
      <c r="AH16" s="68">
        <v>5.6033314950367892</v>
      </c>
      <c r="AI16" s="68">
        <v>0.57417866730992351</v>
      </c>
      <c r="AJ16" s="69">
        <v>281.14863727887473</v>
      </c>
      <c r="AK16" s="69">
        <v>970.53354053497321</v>
      </c>
      <c r="AL16" s="69">
        <v>2909.6169347127279</v>
      </c>
      <c r="AM16" s="69">
        <v>509.54617309570313</v>
      </c>
      <c r="AN16" s="69">
        <v>3148.250244140625</v>
      </c>
      <c r="AO16" s="69">
        <v>2524.9852446238197</v>
      </c>
      <c r="AP16" s="69">
        <v>483.87202064196271</v>
      </c>
      <c r="AQ16" s="69">
        <v>1928.4033837636316</v>
      </c>
      <c r="AR16" s="69">
        <v>488.43568296432494</v>
      </c>
      <c r="AS16" s="69">
        <v>601.48634506861367</v>
      </c>
    </row>
    <row r="17" spans="1:45" x14ac:dyDescent="0.25">
      <c r="A17" s="11">
        <v>43169</v>
      </c>
      <c r="B17" s="49"/>
      <c r="C17" s="50">
        <v>71.515316526095447</v>
      </c>
      <c r="D17" s="50">
        <v>838.77844721476401</v>
      </c>
      <c r="E17" s="50">
        <v>19.984477420151215</v>
      </c>
      <c r="F17" s="50">
        <v>0</v>
      </c>
      <c r="G17" s="50">
        <v>2175.7841058095305</v>
      </c>
      <c r="H17" s="51">
        <v>29.048066008091041</v>
      </c>
      <c r="I17" s="49">
        <v>126.20336017608643</v>
      </c>
      <c r="J17" s="50">
        <v>329.69764121373527</v>
      </c>
      <c r="K17" s="50">
        <v>17.989578093091648</v>
      </c>
      <c r="L17" s="60">
        <v>3.3894538879394734E-3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50">
        <v>0</v>
      </c>
      <c r="S17" s="50">
        <v>0</v>
      </c>
      <c r="T17" s="52">
        <v>0</v>
      </c>
      <c r="U17" s="71">
        <v>254.74853259526176</v>
      </c>
      <c r="V17" s="66">
        <v>189.00057294300112</v>
      </c>
      <c r="W17" s="62">
        <v>32.602716540010846</v>
      </c>
      <c r="X17" s="62">
        <v>24.18829283444877</v>
      </c>
      <c r="Y17" s="66">
        <v>100.27569633170265</v>
      </c>
      <c r="Z17" s="66">
        <v>74.395576947487001</v>
      </c>
      <c r="AA17" s="67">
        <v>0</v>
      </c>
      <c r="AB17" s="68">
        <v>64.266591082679298</v>
      </c>
      <c r="AC17" s="69">
        <v>0</v>
      </c>
      <c r="AD17" s="412">
        <v>8.1128050621849219</v>
      </c>
      <c r="AE17" s="412">
        <v>5.7371687918917376</v>
      </c>
      <c r="AF17" s="69">
        <v>13.51871763732699</v>
      </c>
      <c r="AG17" s="68">
        <v>7.6801882332696207</v>
      </c>
      <c r="AH17" s="68">
        <v>5.6980111391034276</v>
      </c>
      <c r="AI17" s="68">
        <v>0.57408235738583524</v>
      </c>
      <c r="AJ17" s="69">
        <v>291.65790003140762</v>
      </c>
      <c r="AK17" s="69">
        <v>978.82625586191818</v>
      </c>
      <c r="AL17" s="69">
        <v>2860.3740276336671</v>
      </c>
      <c r="AM17" s="69">
        <v>509.54617309570313</v>
      </c>
      <c r="AN17" s="69">
        <v>3148.250244140625</v>
      </c>
      <c r="AO17" s="69">
        <v>2472.2220083872476</v>
      </c>
      <c r="AP17" s="69">
        <v>494.55759097735091</v>
      </c>
      <c r="AQ17" s="69">
        <v>1908.3408252716065</v>
      </c>
      <c r="AR17" s="69">
        <v>419.60799087683358</v>
      </c>
      <c r="AS17" s="69">
        <v>558.39290351867669</v>
      </c>
    </row>
    <row r="18" spans="1:45" x14ac:dyDescent="0.25">
      <c r="A18" s="11">
        <v>43170</v>
      </c>
      <c r="B18" s="59"/>
      <c r="C18" s="60">
        <v>71.074049576124281</v>
      </c>
      <c r="D18" s="60">
        <v>861.08611761729298</v>
      </c>
      <c r="E18" s="60">
        <v>19.907709687451433</v>
      </c>
      <c r="F18" s="60">
        <v>0</v>
      </c>
      <c r="G18" s="60">
        <v>2347.1486838022915</v>
      </c>
      <c r="H18" s="61">
        <v>29.108189137776677</v>
      </c>
      <c r="I18" s="59">
        <v>125.86382959683738</v>
      </c>
      <c r="J18" s="60">
        <v>328.71149724324545</v>
      </c>
      <c r="K18" s="60">
        <v>18.023693919181849</v>
      </c>
      <c r="L18" s="60">
        <v>1.8882751464843751E-5</v>
      </c>
      <c r="M18" s="60">
        <v>0</v>
      </c>
      <c r="N18" s="61">
        <v>0</v>
      </c>
      <c r="O18" s="49">
        <v>0</v>
      </c>
      <c r="P18" s="60">
        <v>0</v>
      </c>
      <c r="Q18" s="50">
        <v>0</v>
      </c>
      <c r="R18" s="50">
        <v>0</v>
      </c>
      <c r="S18" s="60">
        <v>0</v>
      </c>
      <c r="T18" s="64">
        <v>0</v>
      </c>
      <c r="U18" s="65">
        <v>250.31865062528249</v>
      </c>
      <c r="V18" s="62">
        <v>185.63808926661005</v>
      </c>
      <c r="W18" s="62">
        <v>32.221903536081065</v>
      </c>
      <c r="X18" s="62">
        <v>23.895992528041241</v>
      </c>
      <c r="Y18" s="66">
        <v>100.26920746884529</v>
      </c>
      <c r="Z18" s="66">
        <v>74.360356450857822</v>
      </c>
      <c r="AA18" s="67">
        <v>0</v>
      </c>
      <c r="AB18" s="68">
        <v>64.11200736098867</v>
      </c>
      <c r="AC18" s="69">
        <v>0</v>
      </c>
      <c r="AD18" s="412">
        <v>8.0868958601388989</v>
      </c>
      <c r="AE18" s="412">
        <v>5.734365287485911</v>
      </c>
      <c r="AF18" s="69">
        <v>13.487861702177295</v>
      </c>
      <c r="AG18" s="68">
        <v>7.6563880253130332</v>
      </c>
      <c r="AH18" s="68">
        <v>5.678031741352437</v>
      </c>
      <c r="AI18" s="68">
        <v>0.57418231608795833</v>
      </c>
      <c r="AJ18" s="69">
        <v>300.33378982543945</v>
      </c>
      <c r="AK18" s="69">
        <v>1012.0810231526692</v>
      </c>
      <c r="AL18" s="69">
        <v>2861.8847553253172</v>
      </c>
      <c r="AM18" s="69">
        <v>509.54617309570313</v>
      </c>
      <c r="AN18" s="69">
        <v>3148.250244140625</v>
      </c>
      <c r="AO18" s="69">
        <v>2570.056259155273</v>
      </c>
      <c r="AP18" s="69">
        <v>532.76733614603677</v>
      </c>
      <c r="AQ18" s="69">
        <v>1912.215821838379</v>
      </c>
      <c r="AR18" s="69">
        <v>438.34637638727827</v>
      </c>
      <c r="AS18" s="69">
        <v>586.31998599370309</v>
      </c>
    </row>
    <row r="19" spans="1:45" x14ac:dyDescent="0.25">
      <c r="A19" s="11">
        <v>43171</v>
      </c>
      <c r="B19" s="59"/>
      <c r="C19" s="60">
        <v>72.854398059845579</v>
      </c>
      <c r="D19" s="60">
        <v>892.3012585957855</v>
      </c>
      <c r="E19" s="60">
        <v>20.257436052958141</v>
      </c>
      <c r="F19" s="60">
        <v>0</v>
      </c>
      <c r="G19" s="60">
        <v>2469.1649748484469</v>
      </c>
      <c r="H19" s="61">
        <v>29.821611817677859</v>
      </c>
      <c r="I19" s="59">
        <v>123.89705312252049</v>
      </c>
      <c r="J19" s="60">
        <v>323.99092694918329</v>
      </c>
      <c r="K19" s="60">
        <v>17.80678336073953</v>
      </c>
      <c r="L19" s="60">
        <v>1.0385513305664064E-4</v>
      </c>
      <c r="M19" s="60">
        <v>0</v>
      </c>
      <c r="N19" s="61">
        <v>0</v>
      </c>
      <c r="O19" s="49">
        <v>0</v>
      </c>
      <c r="P19" s="60">
        <v>0</v>
      </c>
      <c r="Q19" s="50">
        <v>0</v>
      </c>
      <c r="R19" s="50">
        <v>0</v>
      </c>
      <c r="S19" s="60">
        <v>0</v>
      </c>
      <c r="T19" s="64">
        <v>0</v>
      </c>
      <c r="U19" s="65">
        <v>247.52530429234901</v>
      </c>
      <c r="V19" s="62">
        <v>193.48231541708304</v>
      </c>
      <c r="W19" s="62">
        <v>31.888678647595931</v>
      </c>
      <c r="X19" s="62">
        <v>24.926321767252418</v>
      </c>
      <c r="Y19" s="66">
        <v>98.406258509704514</v>
      </c>
      <c r="Z19" s="66">
        <v>76.920906338941052</v>
      </c>
      <c r="AA19" s="67">
        <v>0</v>
      </c>
      <c r="AB19" s="68">
        <v>64.242513351969933</v>
      </c>
      <c r="AC19" s="69">
        <v>0</v>
      </c>
      <c r="AD19" s="412">
        <v>7.9732550806799187</v>
      </c>
      <c r="AE19" s="412">
        <v>5.9074231559758816</v>
      </c>
      <c r="AF19" s="69">
        <v>13.712437303198717</v>
      </c>
      <c r="AG19" s="68">
        <v>7.5762927998697611</v>
      </c>
      <c r="AH19" s="68">
        <v>5.9221366372516222</v>
      </c>
      <c r="AI19" s="68">
        <v>0.56127217134124963</v>
      </c>
      <c r="AJ19" s="69">
        <v>298.77957706451417</v>
      </c>
      <c r="AK19" s="69">
        <v>1014.8019648869833</v>
      </c>
      <c r="AL19" s="69">
        <v>2865.6022099812826</v>
      </c>
      <c r="AM19" s="69">
        <v>509.54617309570313</v>
      </c>
      <c r="AN19" s="69">
        <v>3148.250244140625</v>
      </c>
      <c r="AO19" s="69">
        <v>2588.4506459554032</v>
      </c>
      <c r="AP19" s="69">
        <v>504.40410391489655</v>
      </c>
      <c r="AQ19" s="69">
        <v>1912.9464698791501</v>
      </c>
      <c r="AR19" s="69">
        <v>425.93975226084393</v>
      </c>
      <c r="AS19" s="69">
        <v>645.11194245020533</v>
      </c>
    </row>
    <row r="20" spans="1:45" x14ac:dyDescent="0.25">
      <c r="A20" s="11">
        <v>43172</v>
      </c>
      <c r="B20" s="59"/>
      <c r="C20" s="60">
        <v>73.693055037657942</v>
      </c>
      <c r="D20" s="60">
        <v>908.76331411997626</v>
      </c>
      <c r="E20" s="60">
        <v>20.411540497839439</v>
      </c>
      <c r="F20" s="60">
        <v>0</v>
      </c>
      <c r="G20" s="60">
        <v>2595.1524117787635</v>
      </c>
      <c r="H20" s="61">
        <v>30.089644312858667</v>
      </c>
      <c r="I20" s="59">
        <v>122.79584430853522</v>
      </c>
      <c r="J20" s="60">
        <v>320.9571866671248</v>
      </c>
      <c r="K20" s="60">
        <v>17.66114728401103</v>
      </c>
      <c r="L20" s="60">
        <v>8.4972381591796883E-5</v>
      </c>
      <c r="M20" s="60">
        <v>0</v>
      </c>
      <c r="N20" s="61">
        <v>0</v>
      </c>
      <c r="O20" s="49">
        <v>0</v>
      </c>
      <c r="P20" s="60">
        <v>0</v>
      </c>
      <c r="Q20" s="50">
        <v>0</v>
      </c>
      <c r="R20" s="50">
        <v>0</v>
      </c>
      <c r="S20" s="60">
        <v>0</v>
      </c>
      <c r="T20" s="64">
        <v>0</v>
      </c>
      <c r="U20" s="65">
        <v>239.90926791650816</v>
      </c>
      <c r="V20" s="62">
        <v>191.92959115416448</v>
      </c>
      <c r="W20" s="62">
        <v>30.621171833931367</v>
      </c>
      <c r="X20" s="62">
        <v>24.497215308885782</v>
      </c>
      <c r="Y20" s="66">
        <v>96.029887585528442</v>
      </c>
      <c r="Z20" s="66">
        <v>76.824781397295126</v>
      </c>
      <c r="AA20" s="67">
        <v>0</v>
      </c>
      <c r="AB20" s="68">
        <v>64.123450009028673</v>
      </c>
      <c r="AC20" s="69">
        <v>0</v>
      </c>
      <c r="AD20" s="412">
        <v>7.8966311392012543</v>
      </c>
      <c r="AE20" s="412">
        <v>5.9882543875621108</v>
      </c>
      <c r="AF20" s="69">
        <v>13.444290953212297</v>
      </c>
      <c r="AG20" s="68">
        <v>7.3448012313254107</v>
      </c>
      <c r="AH20" s="68">
        <v>5.8759076282433584</v>
      </c>
      <c r="AI20" s="68">
        <v>0.55555275510128599</v>
      </c>
      <c r="AJ20" s="69">
        <v>294.25955788294476</v>
      </c>
      <c r="AK20" s="69">
        <v>1006.759471321106</v>
      </c>
      <c r="AL20" s="69">
        <v>2932.1741600036621</v>
      </c>
      <c r="AM20" s="69">
        <v>509.54617309570313</v>
      </c>
      <c r="AN20" s="69">
        <v>3148.250244140625</v>
      </c>
      <c r="AO20" s="69">
        <v>2608.8924032847085</v>
      </c>
      <c r="AP20" s="69">
        <v>542.41122810045874</v>
      </c>
      <c r="AQ20" s="69">
        <v>1932.7786773681637</v>
      </c>
      <c r="AR20" s="69">
        <v>420.19418064753222</v>
      </c>
      <c r="AS20" s="69">
        <v>631.84289375940966</v>
      </c>
    </row>
    <row r="21" spans="1:45" x14ac:dyDescent="0.25">
      <c r="A21" s="11">
        <v>43173</v>
      </c>
      <c r="B21" s="59"/>
      <c r="C21" s="60">
        <v>75.974409496784673</v>
      </c>
      <c r="D21" s="60">
        <v>933.51782989501692</v>
      </c>
      <c r="E21" s="60">
        <v>21.330027731259698</v>
      </c>
      <c r="F21" s="60">
        <v>0</v>
      </c>
      <c r="G21" s="60">
        <v>2596.841909535734</v>
      </c>
      <c r="H21" s="61">
        <v>31.058007095257498</v>
      </c>
      <c r="I21" s="59">
        <v>119.7654848178228</v>
      </c>
      <c r="J21" s="60">
        <v>313.67922012011218</v>
      </c>
      <c r="K21" s="60">
        <v>17.421412684023387</v>
      </c>
      <c r="L21" s="60">
        <v>1.0385513305664064E-4</v>
      </c>
      <c r="M21" s="60">
        <v>0</v>
      </c>
      <c r="N21" s="61">
        <v>0</v>
      </c>
      <c r="O21" s="49">
        <v>0</v>
      </c>
      <c r="P21" s="60">
        <v>0</v>
      </c>
      <c r="Q21" s="50">
        <v>0</v>
      </c>
      <c r="R21" s="50">
        <v>0</v>
      </c>
      <c r="S21" s="60">
        <v>0</v>
      </c>
      <c r="T21" s="64">
        <v>0</v>
      </c>
      <c r="U21" s="65">
        <v>236.98786600097978</v>
      </c>
      <c r="V21" s="62">
        <v>190.61214944854427</v>
      </c>
      <c r="W21" s="62">
        <v>29.328592525828693</v>
      </c>
      <c r="X21" s="62">
        <v>23.589334576419223</v>
      </c>
      <c r="Y21" s="66">
        <v>107.63396871774677</v>
      </c>
      <c r="Z21" s="66">
        <v>86.571276737359483</v>
      </c>
      <c r="AA21" s="67">
        <v>0</v>
      </c>
      <c r="AB21" s="68">
        <v>64.090759293237682</v>
      </c>
      <c r="AC21" s="69">
        <v>0</v>
      </c>
      <c r="AD21" s="412">
        <v>7.7195607771046522</v>
      </c>
      <c r="AE21" s="412">
        <v>6.1510579839584549</v>
      </c>
      <c r="AF21" s="69">
        <v>13.159670227766032</v>
      </c>
      <c r="AG21" s="68">
        <v>7.1754232601780927</v>
      </c>
      <c r="AH21" s="68">
        <v>5.7712779726029213</v>
      </c>
      <c r="AI21" s="68">
        <v>0.55422791730220355</v>
      </c>
      <c r="AJ21" s="69">
        <v>283.062024084727</v>
      </c>
      <c r="AK21" s="69">
        <v>962.12504863739036</v>
      </c>
      <c r="AL21" s="69">
        <v>2873.3607872009275</v>
      </c>
      <c r="AM21" s="69">
        <v>509.54617309570313</v>
      </c>
      <c r="AN21" s="69">
        <v>3148.250244140625</v>
      </c>
      <c r="AO21" s="69">
        <v>2529.4702172597254</v>
      </c>
      <c r="AP21" s="69">
        <v>491.27451073328643</v>
      </c>
      <c r="AQ21" s="69">
        <v>1910.3092774073284</v>
      </c>
      <c r="AR21" s="69">
        <v>403.18629859288535</v>
      </c>
      <c r="AS21" s="69">
        <v>692.50204757054655</v>
      </c>
    </row>
    <row r="22" spans="1:45" x14ac:dyDescent="0.25">
      <c r="A22" s="11">
        <v>43174</v>
      </c>
      <c r="B22" s="59"/>
      <c r="C22" s="60">
        <v>79.730317223072419</v>
      </c>
      <c r="D22" s="60">
        <v>983.1967432657882</v>
      </c>
      <c r="E22" s="60">
        <v>22.547265676657378</v>
      </c>
      <c r="F22" s="60">
        <v>0</v>
      </c>
      <c r="G22" s="60">
        <v>2675.2352038065542</v>
      </c>
      <c r="H22" s="61">
        <v>32.469117925564511</v>
      </c>
      <c r="I22" s="59">
        <v>119.02662242253606</v>
      </c>
      <c r="J22" s="60">
        <v>311.56065719922395</v>
      </c>
      <c r="K22" s="60">
        <v>17.160491339862332</v>
      </c>
      <c r="L22" s="60">
        <v>2.5491714477539069E-4</v>
      </c>
      <c r="M22" s="60">
        <v>0</v>
      </c>
      <c r="N22" s="61">
        <v>0</v>
      </c>
      <c r="O22" s="49">
        <v>0</v>
      </c>
      <c r="P22" s="60">
        <v>0</v>
      </c>
      <c r="Q22" s="50">
        <v>0</v>
      </c>
      <c r="R22" s="50">
        <v>0</v>
      </c>
      <c r="S22" s="60">
        <v>0</v>
      </c>
      <c r="T22" s="64">
        <v>0</v>
      </c>
      <c r="U22" s="65">
        <v>233.3757408351089</v>
      </c>
      <c r="V22" s="62">
        <v>211.10342042740376</v>
      </c>
      <c r="W22" s="62">
        <v>29.94038392207684</v>
      </c>
      <c r="X22" s="62">
        <v>27.08300970890464</v>
      </c>
      <c r="Y22" s="66">
        <v>101.39497977463535</v>
      </c>
      <c r="Z22" s="66">
        <v>91.718303573448452</v>
      </c>
      <c r="AA22" s="67">
        <v>0</v>
      </c>
      <c r="AB22" s="68">
        <v>64.959220674302799</v>
      </c>
      <c r="AC22" s="69">
        <v>0</v>
      </c>
      <c r="AD22" s="412">
        <v>7.6646665994777319</v>
      </c>
      <c r="AE22" s="412">
        <v>6.4786612284935865</v>
      </c>
      <c r="AF22" s="69">
        <v>13.667906037966434</v>
      </c>
      <c r="AG22" s="68">
        <v>7.0590732507671028</v>
      </c>
      <c r="AH22" s="68">
        <v>6.3853873712496165</v>
      </c>
      <c r="AI22" s="68">
        <v>0.52505440338804876</v>
      </c>
      <c r="AJ22" s="69">
        <v>278.74453031222021</v>
      </c>
      <c r="AK22" s="69">
        <v>946.91510620117162</v>
      </c>
      <c r="AL22" s="69">
        <v>2942.0412527720136</v>
      </c>
      <c r="AM22" s="69">
        <v>509.54617309570313</v>
      </c>
      <c r="AN22" s="69">
        <v>3148.250244140625</v>
      </c>
      <c r="AO22" s="69">
        <v>2486.8850644429531</v>
      </c>
      <c r="AP22" s="69">
        <v>480.29226179122924</v>
      </c>
      <c r="AQ22" s="69">
        <v>1948.8870653788249</v>
      </c>
      <c r="AR22" s="69">
        <v>403.98976723353064</v>
      </c>
      <c r="AS22" s="69">
        <v>602.99410619735715</v>
      </c>
    </row>
    <row r="23" spans="1:45" x14ac:dyDescent="0.25">
      <c r="A23" s="11">
        <v>43175</v>
      </c>
      <c r="B23" s="59"/>
      <c r="C23" s="60">
        <v>83.385632979867992</v>
      </c>
      <c r="D23" s="60">
        <v>1035.0123712539676</v>
      </c>
      <c r="E23" s="60">
        <v>23.482732462883035</v>
      </c>
      <c r="F23" s="60">
        <v>0</v>
      </c>
      <c r="G23" s="60">
        <v>2904.4455324808832</v>
      </c>
      <c r="H23" s="61">
        <v>33.680686455965059</v>
      </c>
      <c r="I23" s="59">
        <v>113.5543533802032</v>
      </c>
      <c r="J23" s="60">
        <v>296.98464220364895</v>
      </c>
      <c r="K23" s="60">
        <v>16.383578916390761</v>
      </c>
      <c r="L23" s="60">
        <v>2.5491714477539069E-4</v>
      </c>
      <c r="M23" s="60">
        <v>0</v>
      </c>
      <c r="N23" s="61">
        <v>0</v>
      </c>
      <c r="O23" s="49">
        <v>0</v>
      </c>
      <c r="P23" s="60">
        <v>0</v>
      </c>
      <c r="Q23" s="50">
        <v>0</v>
      </c>
      <c r="R23" s="50">
        <v>0</v>
      </c>
      <c r="S23" s="60">
        <v>0</v>
      </c>
      <c r="T23" s="64">
        <v>0</v>
      </c>
      <c r="U23" s="65">
        <v>224.36527254280114</v>
      </c>
      <c r="V23" s="62">
        <v>214.55388016207363</v>
      </c>
      <c r="W23" s="62">
        <v>29.893740014653204</v>
      </c>
      <c r="X23" s="62">
        <v>28.586500219086062</v>
      </c>
      <c r="Y23" s="66">
        <v>91.352080929684675</v>
      </c>
      <c r="Z23" s="66">
        <v>87.357295548510635</v>
      </c>
      <c r="AA23" s="67">
        <v>0</v>
      </c>
      <c r="AB23" s="68">
        <v>64.448787834909609</v>
      </c>
      <c r="AC23" s="69">
        <v>0</v>
      </c>
      <c r="AD23" s="412">
        <v>7.3081463103406028</v>
      </c>
      <c r="AE23" s="412">
        <v>6.770434604281883</v>
      </c>
      <c r="AF23" s="69">
        <v>13.591587820980273</v>
      </c>
      <c r="AG23" s="68">
        <v>6.8269959853390452</v>
      </c>
      <c r="AH23" s="68">
        <v>6.5284545237541867</v>
      </c>
      <c r="AI23" s="68">
        <v>0.51117676492386355</v>
      </c>
      <c r="AJ23" s="69">
        <v>298.19090021451314</v>
      </c>
      <c r="AK23" s="69">
        <v>990.25005658467603</v>
      </c>
      <c r="AL23" s="69">
        <v>2935.0678705851237</v>
      </c>
      <c r="AM23" s="69">
        <v>509.54617309570313</v>
      </c>
      <c r="AN23" s="69">
        <v>3148.250244140625</v>
      </c>
      <c r="AO23" s="69">
        <v>2545.5731107076012</v>
      </c>
      <c r="AP23" s="69">
        <v>506.7797356764475</v>
      </c>
      <c r="AQ23" s="69">
        <v>1963.3279998143516</v>
      </c>
      <c r="AR23" s="69">
        <v>408.57408059438075</v>
      </c>
      <c r="AS23" s="69">
        <v>594.09947614669795</v>
      </c>
    </row>
    <row r="24" spans="1:45" x14ac:dyDescent="0.25">
      <c r="A24" s="11">
        <v>43176</v>
      </c>
      <c r="B24" s="59"/>
      <c r="C24" s="60">
        <v>83.834458005429184</v>
      </c>
      <c r="D24" s="60">
        <v>1045.8437992095942</v>
      </c>
      <c r="E24" s="60">
        <v>23.516864302754424</v>
      </c>
      <c r="F24" s="60">
        <v>0</v>
      </c>
      <c r="G24" s="60">
        <v>3056.5796065012787</v>
      </c>
      <c r="H24" s="61">
        <v>33.844131141900988</v>
      </c>
      <c r="I24" s="59">
        <v>115.73134282429997</v>
      </c>
      <c r="J24" s="60">
        <v>302.79892808596321</v>
      </c>
      <c r="K24" s="60">
        <v>16.524936224023499</v>
      </c>
      <c r="L24" s="60">
        <v>1.8882751464843751E-5</v>
      </c>
      <c r="M24" s="60">
        <v>0</v>
      </c>
      <c r="N24" s="61">
        <v>0</v>
      </c>
      <c r="O24" s="49">
        <v>0</v>
      </c>
      <c r="P24" s="60">
        <v>0</v>
      </c>
      <c r="Q24" s="50">
        <v>0</v>
      </c>
      <c r="R24" s="50">
        <v>0</v>
      </c>
      <c r="S24" s="60">
        <v>0</v>
      </c>
      <c r="T24" s="64">
        <v>0</v>
      </c>
      <c r="U24" s="65">
        <v>218.57008708250427</v>
      </c>
      <c r="V24" s="62">
        <v>210.7431132747237</v>
      </c>
      <c r="W24" s="62">
        <v>28.748498251477223</v>
      </c>
      <c r="X24" s="62">
        <v>27.719017292619384</v>
      </c>
      <c r="Y24" s="66">
        <v>85.744974792287351</v>
      </c>
      <c r="Z24" s="66">
        <v>82.674455487444376</v>
      </c>
      <c r="AA24" s="67">
        <v>0</v>
      </c>
      <c r="AB24" s="68">
        <v>65.05991086430069</v>
      </c>
      <c r="AC24" s="69">
        <v>0</v>
      </c>
      <c r="AD24" s="412">
        <v>7.4500532692572516</v>
      </c>
      <c r="AE24" s="412">
        <v>6.7750353967687778</v>
      </c>
      <c r="AF24" s="69">
        <v>13.266788074705333</v>
      </c>
      <c r="AG24" s="68">
        <v>6.6429402621623224</v>
      </c>
      <c r="AH24" s="68">
        <v>6.4050572099449852</v>
      </c>
      <c r="AI24" s="68">
        <v>0.50911569199510731</v>
      </c>
      <c r="AJ24" s="69">
        <v>289.90729381243386</v>
      </c>
      <c r="AK24" s="69">
        <v>989.85495402018239</v>
      </c>
      <c r="AL24" s="69">
        <v>2872.2946038564046</v>
      </c>
      <c r="AM24" s="69">
        <v>596.47583427429197</v>
      </c>
      <c r="AN24" s="69">
        <v>3148.250244140625</v>
      </c>
      <c r="AO24" s="69">
        <v>2619.6291650136313</v>
      </c>
      <c r="AP24" s="69">
        <v>540.11559538841243</v>
      </c>
      <c r="AQ24" s="69">
        <v>1972.4397059122725</v>
      </c>
      <c r="AR24" s="69">
        <v>421.40602416992192</v>
      </c>
      <c r="AS24" s="69">
        <v>589.112709681193</v>
      </c>
    </row>
    <row r="25" spans="1:45" x14ac:dyDescent="0.25">
      <c r="A25" s="11">
        <v>43177</v>
      </c>
      <c r="B25" s="59"/>
      <c r="C25" s="60">
        <v>83.547727990150847</v>
      </c>
      <c r="D25" s="60">
        <v>1053.6578837076834</v>
      </c>
      <c r="E25" s="60">
        <v>23.432042085627767</v>
      </c>
      <c r="F25" s="60">
        <v>0</v>
      </c>
      <c r="G25" s="60">
        <v>3018.128076299035</v>
      </c>
      <c r="H25" s="61">
        <v>33.647975869973543</v>
      </c>
      <c r="I25" s="59">
        <v>114.36658285458878</v>
      </c>
      <c r="J25" s="60">
        <v>299.26684983571363</v>
      </c>
      <c r="K25" s="60">
        <v>16.437185332179084</v>
      </c>
      <c r="L25" s="60">
        <v>1.8882751464843751E-5</v>
      </c>
      <c r="M25" s="60">
        <v>0</v>
      </c>
      <c r="N25" s="61">
        <v>0</v>
      </c>
      <c r="O25" s="49">
        <v>0</v>
      </c>
      <c r="P25" s="60">
        <v>0</v>
      </c>
      <c r="Q25" s="50">
        <v>0</v>
      </c>
      <c r="R25" s="50">
        <v>0</v>
      </c>
      <c r="S25" s="60">
        <v>0</v>
      </c>
      <c r="T25" s="64">
        <v>0</v>
      </c>
      <c r="U25" s="65">
        <v>225.68505805030699</v>
      </c>
      <c r="V25" s="62">
        <v>217.44216038688748</v>
      </c>
      <c r="W25" s="62">
        <v>30.207000000726715</v>
      </c>
      <c r="X25" s="62">
        <v>29.103722664265213</v>
      </c>
      <c r="Y25" s="66">
        <v>88.477464733832406</v>
      </c>
      <c r="Z25" s="66">
        <v>85.245922984368335</v>
      </c>
      <c r="AA25" s="67">
        <v>0</v>
      </c>
      <c r="AB25" s="68">
        <v>64.63793470594625</v>
      </c>
      <c r="AC25" s="69">
        <v>0</v>
      </c>
      <c r="AD25" s="412">
        <v>7.3618267814204641</v>
      </c>
      <c r="AE25" s="412">
        <v>6.76116498335948</v>
      </c>
      <c r="AF25" s="69">
        <v>13.754688693417455</v>
      </c>
      <c r="AG25" s="68">
        <v>6.928749970813679</v>
      </c>
      <c r="AH25" s="68">
        <v>6.6756850251844178</v>
      </c>
      <c r="AI25" s="68">
        <v>0.50930082527145393</v>
      </c>
      <c r="AJ25" s="69">
        <v>298.93702917098994</v>
      </c>
      <c r="AK25" s="69">
        <v>988.63332055409751</v>
      </c>
      <c r="AL25" s="69">
        <v>3032.571477127075</v>
      </c>
      <c r="AM25" s="69">
        <v>619.93304443359375</v>
      </c>
      <c r="AN25" s="69">
        <v>3148.250244140625</v>
      </c>
      <c r="AO25" s="69">
        <v>2528.683568572998</v>
      </c>
      <c r="AP25" s="69">
        <v>506.71386130650836</v>
      </c>
      <c r="AQ25" s="69">
        <v>1952.6029997507728</v>
      </c>
      <c r="AR25" s="69">
        <v>418.61900335947678</v>
      </c>
      <c r="AS25" s="69">
        <v>583.09373518625898</v>
      </c>
    </row>
    <row r="26" spans="1:45" x14ac:dyDescent="0.25">
      <c r="A26" s="11">
        <v>43178</v>
      </c>
      <c r="B26" s="59"/>
      <c r="C26" s="60">
        <v>83.591746664048273</v>
      </c>
      <c r="D26" s="60">
        <v>1062.1786628723148</v>
      </c>
      <c r="E26" s="60">
        <v>23.266283987462547</v>
      </c>
      <c r="F26" s="60">
        <v>0</v>
      </c>
      <c r="G26" s="60">
        <v>3163.3800182342293</v>
      </c>
      <c r="H26" s="61">
        <v>33.740238700310407</v>
      </c>
      <c r="I26" s="59">
        <v>116.02939659754431</v>
      </c>
      <c r="J26" s="60">
        <v>297.98076601028458</v>
      </c>
      <c r="K26" s="60">
        <v>16.34314035624266</v>
      </c>
      <c r="L26" s="60">
        <v>0</v>
      </c>
      <c r="M26" s="60">
        <v>0</v>
      </c>
      <c r="N26" s="61">
        <v>0</v>
      </c>
      <c r="O26" s="49">
        <v>0</v>
      </c>
      <c r="P26" s="60">
        <v>0</v>
      </c>
      <c r="Q26" s="50">
        <v>0</v>
      </c>
      <c r="R26" s="50">
        <v>0</v>
      </c>
      <c r="S26" s="60">
        <v>0</v>
      </c>
      <c r="T26" s="64">
        <v>0</v>
      </c>
      <c r="U26" s="65">
        <v>222.42299028954452</v>
      </c>
      <c r="V26" s="62">
        <v>213.30481910783234</v>
      </c>
      <c r="W26" s="62">
        <v>30.162228217148041</v>
      </c>
      <c r="X26" s="62">
        <v>28.925735713617691</v>
      </c>
      <c r="Y26" s="66">
        <v>88.841197726055412</v>
      </c>
      <c r="Z26" s="66">
        <v>85.199176513230327</v>
      </c>
      <c r="AA26" s="67">
        <v>0</v>
      </c>
      <c r="AB26" s="68">
        <v>64.488397804895726</v>
      </c>
      <c r="AC26" s="69">
        <v>0</v>
      </c>
      <c r="AD26" s="412">
        <v>7.3339206062494409</v>
      </c>
      <c r="AE26" s="412">
        <v>6.7653630013616279</v>
      </c>
      <c r="AF26" s="69">
        <v>13.669275322225372</v>
      </c>
      <c r="AG26" s="68">
        <v>6.8826250802531934</v>
      </c>
      <c r="AH26" s="68">
        <v>6.6004737002200473</v>
      </c>
      <c r="AI26" s="68">
        <v>0.51046315037169976</v>
      </c>
      <c r="AJ26" s="69">
        <v>309.5730295499165</v>
      </c>
      <c r="AK26" s="69">
        <v>985.50184796651206</v>
      </c>
      <c r="AL26" s="69">
        <v>2926.5275960286463</v>
      </c>
      <c r="AM26" s="69">
        <v>619.93304443359375</v>
      </c>
      <c r="AN26" s="69">
        <v>3148.250244140625</v>
      </c>
      <c r="AO26" s="69">
        <v>2718.9582576751714</v>
      </c>
      <c r="AP26" s="69">
        <v>579.04887436230979</v>
      </c>
      <c r="AQ26" s="69">
        <v>1948.7727139790852</v>
      </c>
      <c r="AR26" s="69">
        <v>444.72921619415291</v>
      </c>
      <c r="AS26" s="69">
        <v>661.17532523473096</v>
      </c>
    </row>
    <row r="27" spans="1:45" x14ac:dyDescent="0.25">
      <c r="A27" s="11">
        <v>43179</v>
      </c>
      <c r="B27" s="59"/>
      <c r="C27" s="60">
        <v>83.711747892698071</v>
      </c>
      <c r="D27" s="60">
        <v>1061.9987256368004</v>
      </c>
      <c r="E27" s="60">
        <v>23.250715388357712</v>
      </c>
      <c r="F27" s="60">
        <v>0</v>
      </c>
      <c r="G27" s="60">
        <v>2979.9669869740869</v>
      </c>
      <c r="H27" s="61">
        <v>33.479787554343602</v>
      </c>
      <c r="I27" s="59">
        <v>116.82994037469223</v>
      </c>
      <c r="J27" s="60">
        <v>299.37805670102426</v>
      </c>
      <c r="K27" s="60">
        <v>16.489036895831415</v>
      </c>
      <c r="L27" s="60">
        <v>0</v>
      </c>
      <c r="M27" s="60">
        <v>0</v>
      </c>
      <c r="N27" s="61">
        <v>0</v>
      </c>
      <c r="O27" s="49">
        <v>0</v>
      </c>
      <c r="P27" s="60">
        <v>0</v>
      </c>
      <c r="Q27" s="50">
        <v>0</v>
      </c>
      <c r="R27" s="50">
        <v>0</v>
      </c>
      <c r="S27" s="60">
        <v>0</v>
      </c>
      <c r="T27" s="64">
        <v>0</v>
      </c>
      <c r="U27" s="65">
        <v>225.72424368333742</v>
      </c>
      <c r="V27" s="62">
        <v>217.49874561093014</v>
      </c>
      <c r="W27" s="62">
        <v>29.968061974402325</v>
      </c>
      <c r="X27" s="62">
        <v>28.876011639082385</v>
      </c>
      <c r="Y27" s="66">
        <v>92.502679565350121</v>
      </c>
      <c r="Z27" s="66">
        <v>89.131838223536988</v>
      </c>
      <c r="AA27" s="67">
        <v>0</v>
      </c>
      <c r="AB27" s="68">
        <v>64.65596151086983</v>
      </c>
      <c r="AC27" s="69">
        <v>0</v>
      </c>
      <c r="AD27" s="412">
        <v>7.3657523584346611</v>
      </c>
      <c r="AE27" s="412">
        <v>6.7650077924035292</v>
      </c>
      <c r="AF27" s="69">
        <v>13.911182801591019</v>
      </c>
      <c r="AG27" s="68">
        <v>7.004455784640454</v>
      </c>
      <c r="AH27" s="68">
        <v>6.7492101069291648</v>
      </c>
      <c r="AI27" s="68">
        <v>0.50927918708086928</v>
      </c>
      <c r="AJ27" s="69">
        <v>311.63382668495183</v>
      </c>
      <c r="AK27" s="69">
        <v>1023.9973039627075</v>
      </c>
      <c r="AL27" s="69">
        <v>3142.6007489522299</v>
      </c>
      <c r="AM27" s="69">
        <v>601.55764567057292</v>
      </c>
      <c r="AN27" s="69">
        <v>3148.250244140625</v>
      </c>
      <c r="AO27" s="69">
        <v>2693.811933644613</v>
      </c>
      <c r="AP27" s="69">
        <v>626.42845198313387</v>
      </c>
      <c r="AQ27" s="69">
        <v>1922.0333245595298</v>
      </c>
      <c r="AR27" s="69">
        <v>434.05221754709885</v>
      </c>
      <c r="AS27" s="69">
        <v>654.47108793258678</v>
      </c>
    </row>
    <row r="28" spans="1:45" x14ac:dyDescent="0.25">
      <c r="A28" s="11">
        <v>43180</v>
      </c>
      <c r="B28" s="59"/>
      <c r="C28" s="60">
        <v>83.116360517342613</v>
      </c>
      <c r="D28" s="60">
        <v>1046.030771700543</v>
      </c>
      <c r="E28" s="60">
        <v>23.271837998926674</v>
      </c>
      <c r="F28" s="60">
        <v>0</v>
      </c>
      <c r="G28" s="60">
        <v>2949.2919008890872</v>
      </c>
      <c r="H28" s="61">
        <v>33.701000599066383</v>
      </c>
      <c r="I28" s="59">
        <v>114.72820215225208</v>
      </c>
      <c r="J28" s="60">
        <v>298.85078263282776</v>
      </c>
      <c r="K28" s="60">
        <v>16.3680423696836</v>
      </c>
      <c r="L28" s="60">
        <v>1.8882751464843751E-5</v>
      </c>
      <c r="M28" s="60">
        <v>0</v>
      </c>
      <c r="N28" s="61">
        <v>0</v>
      </c>
      <c r="O28" s="49">
        <v>0</v>
      </c>
      <c r="P28" s="60">
        <v>0</v>
      </c>
      <c r="Q28" s="50">
        <v>0</v>
      </c>
      <c r="R28" s="50">
        <v>0</v>
      </c>
      <c r="S28" s="60">
        <v>0</v>
      </c>
      <c r="T28" s="64">
        <v>0</v>
      </c>
      <c r="U28" s="65">
        <v>224.60238138103986</v>
      </c>
      <c r="V28" s="62">
        <v>216.61567186450654</v>
      </c>
      <c r="W28" s="62">
        <v>30.289739504209031</v>
      </c>
      <c r="X28" s="62">
        <v>29.212656753509386</v>
      </c>
      <c r="Y28" s="62">
        <v>92.749272810598541</v>
      </c>
      <c r="Z28" s="62">
        <v>89.451171093007019</v>
      </c>
      <c r="AA28" s="72">
        <v>0</v>
      </c>
      <c r="AB28" s="69">
        <v>64.734438027276212</v>
      </c>
      <c r="AC28" s="69">
        <v>0</v>
      </c>
      <c r="AD28" s="412">
        <v>7.3531593796228965</v>
      </c>
      <c r="AE28" s="412">
        <v>6.7684002558069007</v>
      </c>
      <c r="AF28" s="69">
        <v>13.904366798533328</v>
      </c>
      <c r="AG28" s="69">
        <v>6.9992584514937644</v>
      </c>
      <c r="AH28" s="69">
        <v>6.7503695317080687</v>
      </c>
      <c r="AI28" s="69">
        <v>0.50905075104903807</v>
      </c>
      <c r="AJ28" s="69">
        <v>295.59268180529278</v>
      </c>
      <c r="AK28" s="69">
        <v>997.56359392801915</v>
      </c>
      <c r="AL28" s="69">
        <v>2836.8519508361819</v>
      </c>
      <c r="AM28" s="69">
        <v>505.87884521484375</v>
      </c>
      <c r="AN28" s="69">
        <v>3148.250244140625</v>
      </c>
      <c r="AO28" s="69">
        <v>2613.3014221191406</v>
      </c>
      <c r="AP28" s="69">
        <v>591.77515913645448</v>
      </c>
      <c r="AQ28" s="69">
        <v>1950.3076562245687</v>
      </c>
      <c r="AR28" s="69">
        <v>430.96620025634769</v>
      </c>
      <c r="AS28" s="69">
        <v>682.71432971954346</v>
      </c>
    </row>
    <row r="29" spans="1:45" x14ac:dyDescent="0.25">
      <c r="A29" s="11">
        <v>43181</v>
      </c>
      <c r="B29" s="59"/>
      <c r="C29" s="60">
        <v>83.16737109820005</v>
      </c>
      <c r="D29" s="60">
        <v>1044.9039885203053</v>
      </c>
      <c r="E29" s="60">
        <v>23.315151651700372</v>
      </c>
      <c r="F29" s="60">
        <v>0</v>
      </c>
      <c r="G29" s="60">
        <v>2987.8197774251389</v>
      </c>
      <c r="H29" s="61">
        <v>33.799934637546571</v>
      </c>
      <c r="I29" s="59">
        <v>113.72000712553665</v>
      </c>
      <c r="J29" s="60">
        <v>297.45729889869682</v>
      </c>
      <c r="K29" s="60">
        <v>16.354414219657606</v>
      </c>
      <c r="L29" s="60">
        <v>2.6435852050781254E-4</v>
      </c>
      <c r="M29" s="60">
        <v>0</v>
      </c>
      <c r="N29" s="61">
        <v>0</v>
      </c>
      <c r="O29" s="49">
        <v>0</v>
      </c>
      <c r="P29" s="60">
        <v>0</v>
      </c>
      <c r="Q29" s="50">
        <v>0</v>
      </c>
      <c r="R29" s="50">
        <v>0</v>
      </c>
      <c r="S29" s="60">
        <v>0</v>
      </c>
      <c r="T29" s="64">
        <v>0</v>
      </c>
      <c r="U29" s="65">
        <v>215.55766612880061</v>
      </c>
      <c r="V29" s="62">
        <v>207.92162744013078</v>
      </c>
      <c r="W29" s="62">
        <v>27.596915864184552</v>
      </c>
      <c r="X29" s="62">
        <v>26.619306851193279</v>
      </c>
      <c r="Y29" s="66">
        <v>88.636474552332317</v>
      </c>
      <c r="Z29" s="66">
        <v>85.496565120837147</v>
      </c>
      <c r="AA29" s="67">
        <v>0</v>
      </c>
      <c r="AB29" s="68">
        <v>64.458977164163244</v>
      </c>
      <c r="AC29" s="69">
        <v>0</v>
      </c>
      <c r="AD29" s="412">
        <v>7.320155807621096</v>
      </c>
      <c r="AE29" s="412">
        <v>6.7684552284877952</v>
      </c>
      <c r="AF29" s="69">
        <v>13.453170253833155</v>
      </c>
      <c r="AG29" s="68">
        <v>6.7649486614252465</v>
      </c>
      <c r="AH29" s="68">
        <v>6.5253032308858296</v>
      </c>
      <c r="AI29" s="68">
        <v>0.50901583478180956</v>
      </c>
      <c r="AJ29" s="69">
        <v>275.11718244552611</v>
      </c>
      <c r="AK29" s="69">
        <v>943.42483679453562</v>
      </c>
      <c r="AL29" s="69">
        <v>2846.4781369527182</v>
      </c>
      <c r="AM29" s="69">
        <v>505.87884521484375</v>
      </c>
      <c r="AN29" s="69">
        <v>3148.250244140625</v>
      </c>
      <c r="AO29" s="69">
        <v>2567.208138656616</v>
      </c>
      <c r="AP29" s="69">
        <v>576.67526419957483</v>
      </c>
      <c r="AQ29" s="69">
        <v>1944.5268815358479</v>
      </c>
      <c r="AR29" s="69">
        <v>415.20387525558471</v>
      </c>
      <c r="AS29" s="69">
        <v>748.34652630488097</v>
      </c>
    </row>
    <row r="30" spans="1:45" x14ac:dyDescent="0.25">
      <c r="A30" s="11">
        <v>43182</v>
      </c>
      <c r="B30" s="59"/>
      <c r="C30" s="60">
        <v>83.467753148078856</v>
      </c>
      <c r="D30" s="60">
        <v>1044.9923823674524</v>
      </c>
      <c r="E30" s="60">
        <v>23.298755381504726</v>
      </c>
      <c r="F30" s="60">
        <v>0</v>
      </c>
      <c r="G30" s="60">
        <v>3056.1575482686198</v>
      </c>
      <c r="H30" s="61">
        <v>33.506290030479448</v>
      </c>
      <c r="I30" s="59">
        <v>113.80818653106671</v>
      </c>
      <c r="J30" s="60">
        <v>298.30916557312025</v>
      </c>
      <c r="K30" s="60">
        <v>16.437682968874775</v>
      </c>
      <c r="L30" s="60">
        <v>7.6475143432617077E-4</v>
      </c>
      <c r="M30" s="60">
        <v>0</v>
      </c>
      <c r="N30" s="61">
        <v>0</v>
      </c>
      <c r="O30" s="49">
        <v>0</v>
      </c>
      <c r="P30" s="60">
        <v>0</v>
      </c>
      <c r="Q30" s="50">
        <v>0</v>
      </c>
      <c r="R30" s="50">
        <v>0</v>
      </c>
      <c r="S30" s="60">
        <v>0</v>
      </c>
      <c r="T30" s="64">
        <v>0</v>
      </c>
      <c r="U30" s="65">
        <v>219.20936167437634</v>
      </c>
      <c r="V30" s="62">
        <v>210.16895537443907</v>
      </c>
      <c r="W30" s="62">
        <v>28.752259059408722</v>
      </c>
      <c r="X30" s="62">
        <v>27.566488059700127</v>
      </c>
      <c r="Y30" s="66">
        <v>90.031757989600663</v>
      </c>
      <c r="Z30" s="66">
        <v>86.31876112711879</v>
      </c>
      <c r="AA30" s="67">
        <v>0</v>
      </c>
      <c r="AB30" s="68">
        <v>64.469188552433536</v>
      </c>
      <c r="AC30" s="69">
        <v>0</v>
      </c>
      <c r="AD30" s="412">
        <v>7.3395919707776685</v>
      </c>
      <c r="AE30" s="412">
        <v>6.769198371131349</v>
      </c>
      <c r="AF30" s="69">
        <v>13.611576418744225</v>
      </c>
      <c r="AG30" s="68">
        <v>6.8411905362087904</v>
      </c>
      <c r="AH30" s="68">
        <v>6.5590532152923435</v>
      </c>
      <c r="AI30" s="68">
        <v>0.51052732047821303</v>
      </c>
      <c r="AJ30" s="69">
        <v>266.77321562767031</v>
      </c>
      <c r="AK30" s="69">
        <v>921.61130320231132</v>
      </c>
      <c r="AL30" s="69">
        <v>2887.4674527486168</v>
      </c>
      <c r="AM30" s="69">
        <v>505.87884521484375</v>
      </c>
      <c r="AN30" s="69">
        <v>3148.250244140625</v>
      </c>
      <c r="AO30" s="69">
        <v>2513.5663824717203</v>
      </c>
      <c r="AP30" s="69">
        <v>580.45872996648166</v>
      </c>
      <c r="AQ30" s="69">
        <v>1952.7110109965006</v>
      </c>
      <c r="AR30" s="69">
        <v>413.03416233062745</v>
      </c>
      <c r="AS30" s="69">
        <v>717.92136462529504</v>
      </c>
    </row>
    <row r="31" spans="1:45" x14ac:dyDescent="0.25">
      <c r="A31" s="11">
        <v>43183</v>
      </c>
      <c r="B31" s="59"/>
      <c r="C31" s="60">
        <v>83.43764683405557</v>
      </c>
      <c r="D31" s="60">
        <v>1044.6642796198528</v>
      </c>
      <c r="E31" s="60">
        <v>23.326758975287344</v>
      </c>
      <c r="F31" s="60">
        <v>0</v>
      </c>
      <c r="G31" s="60">
        <v>2980.2363788604785</v>
      </c>
      <c r="H31" s="61">
        <v>33.727130335569441</v>
      </c>
      <c r="I31" s="59">
        <v>114.48438338438662</v>
      </c>
      <c r="J31" s="60">
        <v>299.23988113403306</v>
      </c>
      <c r="K31" s="60">
        <v>16.52615794142087</v>
      </c>
      <c r="L31" s="60">
        <v>2.5491714477539069E-4</v>
      </c>
      <c r="M31" s="60">
        <v>0</v>
      </c>
      <c r="N31" s="61">
        <v>0</v>
      </c>
      <c r="O31" s="49">
        <v>0</v>
      </c>
      <c r="P31" s="60">
        <v>0</v>
      </c>
      <c r="Q31" s="50">
        <v>0</v>
      </c>
      <c r="R31" s="50">
        <v>0</v>
      </c>
      <c r="S31" s="60">
        <v>0</v>
      </c>
      <c r="T31" s="64">
        <v>0</v>
      </c>
      <c r="U31" s="65">
        <v>220.93263238319406</v>
      </c>
      <c r="V31" s="62">
        <v>212.87827226802517</v>
      </c>
      <c r="W31" s="62">
        <v>29.058969433516033</v>
      </c>
      <c r="X31" s="62">
        <v>27.999590373625615</v>
      </c>
      <c r="Y31" s="66">
        <v>90.291552017193851</v>
      </c>
      <c r="Z31" s="66">
        <v>86.999866821307393</v>
      </c>
      <c r="AA31" s="67">
        <v>0</v>
      </c>
      <c r="AB31" s="68">
        <v>64.707219788763126</v>
      </c>
      <c r="AC31" s="69">
        <v>0</v>
      </c>
      <c r="AD31" s="412">
        <v>7.3633139654074071</v>
      </c>
      <c r="AE31" s="412">
        <v>6.7672104656360448</v>
      </c>
      <c r="AF31" s="69">
        <v>13.764277492629155</v>
      </c>
      <c r="AG31" s="68">
        <v>6.9236097088725979</v>
      </c>
      <c r="AH31" s="68">
        <v>6.6712013376392436</v>
      </c>
      <c r="AI31" s="68">
        <v>0.50928326147269687</v>
      </c>
      <c r="AJ31" s="69">
        <v>277.64919915199278</v>
      </c>
      <c r="AK31" s="69">
        <v>945.1771755854287</v>
      </c>
      <c r="AL31" s="69">
        <v>2842.6075642903643</v>
      </c>
      <c r="AM31" s="69">
        <v>505.87884521484375</v>
      </c>
      <c r="AN31" s="69">
        <v>3148.250244140625</v>
      </c>
      <c r="AO31" s="69">
        <v>2472.0253559112548</v>
      </c>
      <c r="AP31" s="69">
        <v>565.78006353378294</v>
      </c>
      <c r="AQ31" s="69">
        <v>1950.2186393737793</v>
      </c>
      <c r="AR31" s="69">
        <v>414.08180386225388</v>
      </c>
      <c r="AS31" s="69">
        <v>652.40680433909085</v>
      </c>
    </row>
    <row r="32" spans="1:45" x14ac:dyDescent="0.25">
      <c r="A32" s="11">
        <v>43184</v>
      </c>
      <c r="B32" s="59"/>
      <c r="C32" s="60">
        <v>83.888106588522362</v>
      </c>
      <c r="D32" s="60">
        <v>1047.6230415344228</v>
      </c>
      <c r="E32" s="60">
        <v>23.277194035549989</v>
      </c>
      <c r="F32" s="60">
        <v>0</v>
      </c>
      <c r="G32" s="60">
        <v>2944.1440138498911</v>
      </c>
      <c r="H32" s="61">
        <v>33.730589989821205</v>
      </c>
      <c r="I32" s="59">
        <v>114.16959305604298</v>
      </c>
      <c r="J32" s="60">
        <v>298.54442326227871</v>
      </c>
      <c r="K32" s="60">
        <v>16.320075392723098</v>
      </c>
      <c r="L32" s="60">
        <v>2.5491714477539069E-4</v>
      </c>
      <c r="M32" s="60">
        <v>0</v>
      </c>
      <c r="N32" s="61">
        <v>0</v>
      </c>
      <c r="O32" s="49">
        <v>0</v>
      </c>
      <c r="P32" s="60">
        <v>0</v>
      </c>
      <c r="Q32" s="50">
        <v>0</v>
      </c>
      <c r="R32" s="50">
        <v>0</v>
      </c>
      <c r="S32" s="60">
        <v>0</v>
      </c>
      <c r="T32" s="64">
        <v>0</v>
      </c>
      <c r="U32" s="65">
        <v>220.50460604364022</v>
      </c>
      <c r="V32" s="62">
        <v>212.6417257646614</v>
      </c>
      <c r="W32" s="62">
        <v>29.016347298354717</v>
      </c>
      <c r="X32" s="62">
        <v>27.981665669549734</v>
      </c>
      <c r="Y32" s="66">
        <v>89.416996583162685</v>
      </c>
      <c r="Z32" s="66">
        <v>86.228513804258185</v>
      </c>
      <c r="AA32" s="67">
        <v>0</v>
      </c>
      <c r="AB32" s="68">
        <v>64.562366543875669</v>
      </c>
      <c r="AC32" s="69">
        <v>0</v>
      </c>
      <c r="AD32" s="412">
        <v>7.3453022721220282</v>
      </c>
      <c r="AE32" s="412">
        <v>6.7615525335908302</v>
      </c>
      <c r="AF32" s="69">
        <v>13.796539428499022</v>
      </c>
      <c r="AG32" s="68">
        <v>6.9397621654815049</v>
      </c>
      <c r="AH32" s="68">
        <v>6.6923001280628007</v>
      </c>
      <c r="AI32" s="68">
        <v>0.5090764710463469</v>
      </c>
      <c r="AJ32" s="69">
        <v>280.59279284477236</v>
      </c>
      <c r="AK32" s="69">
        <v>939.76377245585127</v>
      </c>
      <c r="AL32" s="69">
        <v>2870.5456031799317</v>
      </c>
      <c r="AM32" s="69">
        <v>505.87884521484375</v>
      </c>
      <c r="AN32" s="69">
        <v>3148.250244140625</v>
      </c>
      <c r="AO32" s="69">
        <v>2461.609659576417</v>
      </c>
      <c r="AP32" s="69">
        <v>570.85528246561694</v>
      </c>
      <c r="AQ32" s="69">
        <v>1945.6580715179443</v>
      </c>
      <c r="AR32" s="69">
        <v>418.40848639806114</v>
      </c>
      <c r="AS32" s="69">
        <v>597.26967751185089</v>
      </c>
    </row>
    <row r="33" spans="1:45" x14ac:dyDescent="0.25">
      <c r="A33" s="11">
        <v>43185</v>
      </c>
      <c r="B33" s="59"/>
      <c r="C33" s="60">
        <v>83.527111423016038</v>
      </c>
      <c r="D33" s="60">
        <v>1053.8464982350695</v>
      </c>
      <c r="E33" s="60">
        <v>23.431692537168708</v>
      </c>
      <c r="F33" s="60">
        <v>0</v>
      </c>
      <c r="G33" s="60">
        <v>3021.843413670872</v>
      </c>
      <c r="H33" s="61">
        <v>33.736475908756319</v>
      </c>
      <c r="I33" s="59">
        <v>113.63910752932202</v>
      </c>
      <c r="J33" s="60">
        <v>333.6274237155917</v>
      </c>
      <c r="K33" s="60">
        <v>18.491105798880259</v>
      </c>
      <c r="L33" s="60">
        <v>3.7765502929687501E-5</v>
      </c>
      <c r="M33" s="60">
        <v>0</v>
      </c>
      <c r="N33" s="61">
        <v>0</v>
      </c>
      <c r="O33" s="49">
        <v>0</v>
      </c>
      <c r="P33" s="60">
        <v>0</v>
      </c>
      <c r="Q33" s="50">
        <v>0</v>
      </c>
      <c r="R33" s="50">
        <v>0</v>
      </c>
      <c r="S33" s="60">
        <v>0</v>
      </c>
      <c r="T33" s="64">
        <v>0</v>
      </c>
      <c r="U33" s="65">
        <v>221.05438267116702</v>
      </c>
      <c r="V33" s="62">
        <v>200.10267328959375</v>
      </c>
      <c r="W33" s="62">
        <v>29.481871680919628</v>
      </c>
      <c r="X33" s="62">
        <v>26.687556544438817</v>
      </c>
      <c r="Y33" s="66">
        <v>87.021121874709308</v>
      </c>
      <c r="Z33" s="66">
        <v>78.773191055397888</v>
      </c>
      <c r="AA33" s="67">
        <v>0</v>
      </c>
      <c r="AB33" s="68">
        <v>66.603235798412186</v>
      </c>
      <c r="AC33" s="69">
        <v>0</v>
      </c>
      <c r="AD33" s="412">
        <v>7.7661664966408788</v>
      </c>
      <c r="AE33" s="412">
        <v>6.7705341920784221</v>
      </c>
      <c r="AF33" s="69">
        <v>13.206223918994262</v>
      </c>
      <c r="AG33" s="68">
        <v>6.8191966929571084</v>
      </c>
      <c r="AH33" s="68">
        <v>6.1728678321574693</v>
      </c>
      <c r="AI33" s="68">
        <v>0.52487398594543</v>
      </c>
      <c r="AJ33" s="69">
        <v>291.69469950993852</v>
      </c>
      <c r="AK33" s="69">
        <v>957.14486821492505</v>
      </c>
      <c r="AL33" s="69">
        <v>2932.1635115305585</v>
      </c>
      <c r="AM33" s="69">
        <v>505.87884521484375</v>
      </c>
      <c r="AN33" s="69">
        <v>3148.250244140625</v>
      </c>
      <c r="AO33" s="69">
        <v>2602.7510433197021</v>
      </c>
      <c r="AP33" s="69">
        <v>572.74787600835168</v>
      </c>
      <c r="AQ33" s="69">
        <v>2003.3875581105553</v>
      </c>
      <c r="AR33" s="69">
        <v>424.27418966293334</v>
      </c>
      <c r="AS33" s="69">
        <v>621.22365042368574</v>
      </c>
    </row>
    <row r="34" spans="1:45" x14ac:dyDescent="0.25">
      <c r="A34" s="11">
        <v>43186</v>
      </c>
      <c r="B34" s="59"/>
      <c r="C34" s="60">
        <v>83.688265804449628</v>
      </c>
      <c r="D34" s="60">
        <v>1041.3062526067099</v>
      </c>
      <c r="E34" s="60">
        <v>23.875984656314028</v>
      </c>
      <c r="F34" s="60">
        <v>0</v>
      </c>
      <c r="G34" s="60">
        <v>2993.816146977731</v>
      </c>
      <c r="H34" s="61">
        <v>33.810476179917643</v>
      </c>
      <c r="I34" s="59">
        <v>109.55081604321778</v>
      </c>
      <c r="J34" s="60">
        <v>324.26201321284026</v>
      </c>
      <c r="K34" s="60">
        <v>17.487933350602798</v>
      </c>
      <c r="L34" s="60">
        <v>1.4162063598632815E-4</v>
      </c>
      <c r="M34" s="60">
        <v>0</v>
      </c>
      <c r="N34" s="61">
        <v>0</v>
      </c>
      <c r="O34" s="49">
        <v>0</v>
      </c>
      <c r="P34" s="60">
        <v>0</v>
      </c>
      <c r="Q34" s="50">
        <v>0</v>
      </c>
      <c r="R34" s="50">
        <v>0</v>
      </c>
      <c r="S34" s="60">
        <v>0</v>
      </c>
      <c r="T34" s="64">
        <v>0</v>
      </c>
      <c r="U34" s="65">
        <v>211.92898019180481</v>
      </c>
      <c r="V34" s="62">
        <v>202.09696189007266</v>
      </c>
      <c r="W34" s="62">
        <v>28.140482045306406</v>
      </c>
      <c r="X34" s="62">
        <v>26.834961043701945</v>
      </c>
      <c r="Y34" s="66">
        <v>84.100057501285789</v>
      </c>
      <c r="Z34" s="66">
        <v>80.198404675037068</v>
      </c>
      <c r="AA34" s="67">
        <v>0</v>
      </c>
      <c r="AB34" s="68">
        <v>64.599842837121557</v>
      </c>
      <c r="AC34" s="69">
        <v>0</v>
      </c>
      <c r="AD34" s="412">
        <v>7.3400470716796029</v>
      </c>
      <c r="AE34" s="412">
        <v>6.7736264092705527</v>
      </c>
      <c r="AF34" s="69">
        <v>13.096515602535687</v>
      </c>
      <c r="AG34" s="68">
        <v>6.6122356427887965</v>
      </c>
      <c r="AH34" s="68">
        <v>6.3054742843543483</v>
      </c>
      <c r="AI34" s="68">
        <v>0.51187367421023555</v>
      </c>
      <c r="AJ34" s="69">
        <v>300.3486303806306</v>
      </c>
      <c r="AK34" s="69">
        <v>968.04405444463089</v>
      </c>
      <c r="AL34" s="69">
        <v>2872.5544871012366</v>
      </c>
      <c r="AM34" s="69">
        <v>505.87884521484375</v>
      </c>
      <c r="AN34" s="69">
        <v>3148.250244140625</v>
      </c>
      <c r="AO34" s="69">
        <v>2714.3468456268306</v>
      </c>
      <c r="AP34" s="69">
        <v>592.48582468032828</v>
      </c>
      <c r="AQ34" s="69">
        <v>1941.564271036784</v>
      </c>
      <c r="AR34" s="69">
        <v>417.80162388483683</v>
      </c>
      <c r="AS34" s="69">
        <v>649.67096831003835</v>
      </c>
    </row>
    <row r="35" spans="1:45" x14ac:dyDescent="0.25">
      <c r="A35" s="11">
        <v>43187</v>
      </c>
      <c r="B35" s="59"/>
      <c r="C35" s="60">
        <v>76.711810771624471</v>
      </c>
      <c r="D35" s="60">
        <v>951.28737691243452</v>
      </c>
      <c r="E35" s="60">
        <v>21.704152684907118</v>
      </c>
      <c r="F35" s="60">
        <v>0</v>
      </c>
      <c r="G35" s="60">
        <v>2493.8847654978372</v>
      </c>
      <c r="H35" s="61">
        <v>30.617225401600273</v>
      </c>
      <c r="I35" s="59">
        <v>133.31524178187038</v>
      </c>
      <c r="J35" s="60">
        <v>399.70573368072547</v>
      </c>
      <c r="K35" s="60">
        <v>21.875698342919275</v>
      </c>
      <c r="L35" s="60">
        <v>3.4933090209960922E-4</v>
      </c>
      <c r="M35" s="60">
        <v>0</v>
      </c>
      <c r="N35" s="61">
        <v>0</v>
      </c>
      <c r="O35" s="49">
        <v>0</v>
      </c>
      <c r="P35" s="60">
        <v>0</v>
      </c>
      <c r="Q35" s="50">
        <v>0</v>
      </c>
      <c r="R35" s="50">
        <v>0</v>
      </c>
      <c r="S35" s="60">
        <v>0</v>
      </c>
      <c r="T35" s="64">
        <v>0</v>
      </c>
      <c r="U35" s="65">
        <v>270.7770512558036</v>
      </c>
      <c r="V35" s="62">
        <v>176.1303107496426</v>
      </c>
      <c r="W35" s="62">
        <v>37.051871004555927</v>
      </c>
      <c r="X35" s="62">
        <v>24.100851691907312</v>
      </c>
      <c r="Y35" s="66">
        <v>109.6805906355043</v>
      </c>
      <c r="Z35" s="66">
        <v>71.343108369940438</v>
      </c>
      <c r="AA35" s="67">
        <v>0</v>
      </c>
      <c r="AB35" s="68">
        <v>70.419147287474757</v>
      </c>
      <c r="AC35" s="69">
        <v>0</v>
      </c>
      <c r="AD35" s="412">
        <v>9.0469454526484512</v>
      </c>
      <c r="AE35" s="412">
        <v>6.2081519551869331</v>
      </c>
      <c r="AF35" s="69">
        <v>14.358159659306207</v>
      </c>
      <c r="AG35" s="68">
        <v>8.6073922326563181</v>
      </c>
      <c r="AH35" s="68">
        <v>5.5987856491192378</v>
      </c>
      <c r="AI35" s="68">
        <v>0.60589078246713646</v>
      </c>
      <c r="AJ35" s="69">
        <v>307.63940742810564</v>
      </c>
      <c r="AK35" s="69">
        <v>994.97062832514428</v>
      </c>
      <c r="AL35" s="69">
        <v>2785.5866141001384</v>
      </c>
      <c r="AM35" s="69">
        <v>505.87884521484375</v>
      </c>
      <c r="AN35" s="69">
        <v>3148.250244140625</v>
      </c>
      <c r="AO35" s="69">
        <v>2749.3230862935388</v>
      </c>
      <c r="AP35" s="69">
        <v>602.99584795633939</v>
      </c>
      <c r="AQ35" s="69">
        <v>2000.5772596995037</v>
      </c>
      <c r="AR35" s="69">
        <v>402.50858388741813</v>
      </c>
      <c r="AS35" s="69">
        <v>673.19954738616946</v>
      </c>
    </row>
    <row r="36" spans="1:45" x14ac:dyDescent="0.25">
      <c r="A36" s="11">
        <v>43188</v>
      </c>
      <c r="B36" s="59"/>
      <c r="C36" s="60">
        <v>85.262473924955131</v>
      </c>
      <c r="D36" s="60">
        <v>1060.5008443196625</v>
      </c>
      <c r="E36" s="60">
        <v>24.457330282032494</v>
      </c>
      <c r="F36" s="60">
        <v>0</v>
      </c>
      <c r="G36" s="60">
        <v>2966.0054854075274</v>
      </c>
      <c r="H36" s="61">
        <v>34.768885344266863</v>
      </c>
      <c r="I36" s="59">
        <v>103.52169153292991</v>
      </c>
      <c r="J36" s="60">
        <v>308.18511662483223</v>
      </c>
      <c r="K36" s="60">
        <v>16.931029399236024</v>
      </c>
      <c r="L36" s="60">
        <v>7.5531005859375003E-5</v>
      </c>
      <c r="M36" s="60">
        <v>0</v>
      </c>
      <c r="N36" s="61">
        <v>0</v>
      </c>
      <c r="O36" s="49">
        <v>0</v>
      </c>
      <c r="P36" s="60">
        <v>0</v>
      </c>
      <c r="Q36" s="50">
        <v>0</v>
      </c>
      <c r="R36" s="50">
        <v>0</v>
      </c>
      <c r="S36" s="60">
        <v>0</v>
      </c>
      <c r="T36" s="64">
        <v>0</v>
      </c>
      <c r="U36" s="65">
        <v>209.73965165294513</v>
      </c>
      <c r="V36" s="62">
        <v>211.98638393139731</v>
      </c>
      <c r="W36" s="62">
        <v>27.621280842614745</v>
      </c>
      <c r="X36" s="62">
        <v>27.917160151806993</v>
      </c>
      <c r="Y36" s="66">
        <v>86.193028616852686</v>
      </c>
      <c r="Z36" s="66">
        <v>87.116328803750463</v>
      </c>
      <c r="AA36" s="67">
        <v>0</v>
      </c>
      <c r="AB36" s="68">
        <v>63.392722945743621</v>
      </c>
      <c r="AC36" s="69">
        <v>0</v>
      </c>
      <c r="AD36" s="412">
        <v>6.9762636028822804</v>
      </c>
      <c r="AE36" s="412">
        <v>6.9348152119324489</v>
      </c>
      <c r="AF36" s="69">
        <v>13.210834379990901</v>
      </c>
      <c r="AG36" s="68">
        <v>6.501499712935944</v>
      </c>
      <c r="AH36" s="68">
        <v>6.5711438128869197</v>
      </c>
      <c r="AI36" s="68">
        <v>0.49733626562166228</v>
      </c>
      <c r="AJ36" s="69">
        <v>312.21903340021765</v>
      </c>
      <c r="AK36" s="69">
        <v>1026.7055714607236</v>
      </c>
      <c r="AL36" s="69">
        <v>2987.5630505879722</v>
      </c>
      <c r="AM36" s="69">
        <v>505.87884521484375</v>
      </c>
      <c r="AN36" s="69">
        <v>3148.250244140625</v>
      </c>
      <c r="AO36" s="69">
        <v>2750.1593210856117</v>
      </c>
      <c r="AP36" s="69">
        <v>615.10559209187829</v>
      </c>
      <c r="AQ36" s="69">
        <v>1908.5639759699507</v>
      </c>
      <c r="AR36" s="69">
        <v>448.18566675186167</v>
      </c>
      <c r="AS36" s="69">
        <v>628.88853038152058</v>
      </c>
    </row>
    <row r="37" spans="1:45" x14ac:dyDescent="0.25">
      <c r="A37" s="11">
        <v>43189</v>
      </c>
      <c r="B37" s="59"/>
      <c r="C37" s="60">
        <v>85.990693533420199</v>
      </c>
      <c r="D37" s="60">
        <v>975.45157515207791</v>
      </c>
      <c r="E37" s="60">
        <v>24.384882384538631</v>
      </c>
      <c r="F37" s="60">
        <v>0</v>
      </c>
      <c r="G37" s="60">
        <v>2666.9001707712828</v>
      </c>
      <c r="H37" s="61">
        <v>34.86808686256412</v>
      </c>
      <c r="I37" s="59">
        <v>99.546918682257399</v>
      </c>
      <c r="J37" s="60">
        <v>301.94188130696625</v>
      </c>
      <c r="K37" s="60">
        <v>17.01946699817973</v>
      </c>
      <c r="L37" s="60">
        <v>2.8324127197265625E-4</v>
      </c>
      <c r="M37" s="60">
        <v>0</v>
      </c>
      <c r="N37" s="61">
        <v>0</v>
      </c>
      <c r="O37" s="49">
        <v>0</v>
      </c>
      <c r="P37" s="60">
        <v>0</v>
      </c>
      <c r="Q37" s="50">
        <v>0</v>
      </c>
      <c r="R37" s="50">
        <v>0</v>
      </c>
      <c r="S37" s="60">
        <v>0</v>
      </c>
      <c r="T37" s="64">
        <v>0</v>
      </c>
      <c r="U37" s="65">
        <v>205.17517626316882</v>
      </c>
      <c r="V37" s="62">
        <v>213.08669723638269</v>
      </c>
      <c r="W37" s="62">
        <v>27.18260928397477</v>
      </c>
      <c r="X37" s="62">
        <v>28.230766216863191</v>
      </c>
      <c r="Y37" s="66">
        <v>83.702079849604331</v>
      </c>
      <c r="Z37" s="66">
        <v>86.929618250167849</v>
      </c>
      <c r="AA37" s="67">
        <v>0</v>
      </c>
      <c r="AB37" s="68">
        <v>62.737885562578924</v>
      </c>
      <c r="AC37" s="69">
        <v>0</v>
      </c>
      <c r="AD37" s="412">
        <v>6.8353390821630127</v>
      </c>
      <c r="AE37" s="412">
        <v>6.9472587525909191</v>
      </c>
      <c r="AF37" s="69">
        <v>13.079657904969332</v>
      </c>
      <c r="AG37" s="68">
        <v>6.3485509650711673</v>
      </c>
      <c r="AH37" s="68">
        <v>6.5933500437143548</v>
      </c>
      <c r="AI37" s="68">
        <v>0.49054238328368421</v>
      </c>
      <c r="AJ37" s="69">
        <v>301.10671625137331</v>
      </c>
      <c r="AK37" s="69">
        <v>1000.8734978993734</v>
      </c>
      <c r="AL37" s="69">
        <v>2831.7610664367676</v>
      </c>
      <c r="AM37" s="69">
        <v>505.87884521484375</v>
      </c>
      <c r="AN37" s="69">
        <v>3148.250244140625</v>
      </c>
      <c r="AO37" s="69">
        <v>2695.4663159688312</v>
      </c>
      <c r="AP37" s="69">
        <v>606.42385988235469</v>
      </c>
      <c r="AQ37" s="69">
        <v>1902.813078435262</v>
      </c>
      <c r="AR37" s="69">
        <v>439.82261959711701</v>
      </c>
      <c r="AS37" s="69">
        <v>672.8619512240092</v>
      </c>
    </row>
    <row r="38" spans="1:45" ht="15.75" thickBot="1" x14ac:dyDescent="0.3">
      <c r="A38" s="11">
        <v>43190</v>
      </c>
      <c r="B38" s="59"/>
      <c r="C38" s="60">
        <v>85.778239428997338</v>
      </c>
      <c r="D38" s="60">
        <v>960.61879402796205</v>
      </c>
      <c r="E38" s="60">
        <v>24.209744485219261</v>
      </c>
      <c r="F38" s="60">
        <v>0</v>
      </c>
      <c r="G38" s="60">
        <v>2513.0037375132397</v>
      </c>
      <c r="H38" s="61">
        <v>34.792731736103732</v>
      </c>
      <c r="I38" s="59">
        <v>98.121846032142471</v>
      </c>
      <c r="J38" s="60">
        <v>300.09709822336828</v>
      </c>
      <c r="K38" s="60">
        <v>16.90244266043106</v>
      </c>
      <c r="L38" s="60">
        <v>2.0771026611328132E-4</v>
      </c>
      <c r="M38" s="60">
        <v>0</v>
      </c>
      <c r="N38" s="61">
        <v>0</v>
      </c>
      <c r="O38" s="49">
        <v>0</v>
      </c>
      <c r="P38" s="60">
        <v>0</v>
      </c>
      <c r="Q38" s="50">
        <v>0</v>
      </c>
      <c r="R38" s="50">
        <v>0</v>
      </c>
      <c r="S38" s="60">
        <v>0</v>
      </c>
      <c r="T38" s="64">
        <v>0</v>
      </c>
      <c r="U38" s="65">
        <v>205.62687203967818</v>
      </c>
      <c r="V38" s="62">
        <v>209.98658175120099</v>
      </c>
      <c r="W38" s="62">
        <v>26.863760416410074</v>
      </c>
      <c r="X38" s="62">
        <v>27.433327010570228</v>
      </c>
      <c r="Y38" s="66">
        <v>86.096600245612507</v>
      </c>
      <c r="Z38" s="66">
        <v>87.922024036270884</v>
      </c>
      <c r="AA38" s="67">
        <v>0</v>
      </c>
      <c r="AB38" s="68">
        <v>62.668602225515059</v>
      </c>
      <c r="AC38" s="69">
        <v>0</v>
      </c>
      <c r="AD38" s="412">
        <v>6.8085948621374381</v>
      </c>
      <c r="AE38" s="412">
        <v>6.9575048512844067</v>
      </c>
      <c r="AF38" s="69">
        <v>13.059152490562838</v>
      </c>
      <c r="AG38" s="68">
        <v>6.3858230326030796</v>
      </c>
      <c r="AH38" s="68">
        <v>6.521215524912809</v>
      </c>
      <c r="AI38" s="68">
        <v>0.49475509073183604</v>
      </c>
      <c r="AJ38" s="69">
        <v>292.30216673215233</v>
      </c>
      <c r="AK38" s="69">
        <v>961.78102858861291</v>
      </c>
      <c r="AL38" s="69">
        <v>2889.017309951782</v>
      </c>
      <c r="AM38" s="69">
        <v>410.19339370727539</v>
      </c>
      <c r="AN38" s="69">
        <v>2458.8585815429688</v>
      </c>
      <c r="AO38" s="69">
        <v>2566.7529933929445</v>
      </c>
      <c r="AP38" s="69">
        <v>574.40937925974526</v>
      </c>
      <c r="AQ38" s="69">
        <v>1886.7903413136798</v>
      </c>
      <c r="AR38" s="69">
        <v>427.40949610869097</v>
      </c>
      <c r="AS38" s="69">
        <v>622.99404074351014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2375.4989015181923</v>
      </c>
      <c r="D39" s="30">
        <f t="shared" si="0"/>
        <v>28909.648898911488</v>
      </c>
      <c r="E39" s="30">
        <f t="shared" si="0"/>
        <v>667.30844276448113</v>
      </c>
      <c r="F39" s="30">
        <f t="shared" si="0"/>
        <v>0</v>
      </c>
      <c r="G39" s="30">
        <f t="shared" si="0"/>
        <v>80603.68957112635</v>
      </c>
      <c r="H39" s="31">
        <f t="shared" si="0"/>
        <v>967.15511917173967</v>
      </c>
      <c r="I39" s="29">
        <f t="shared" si="0"/>
        <v>3684.4679430564233</v>
      </c>
      <c r="J39" s="30">
        <f t="shared" si="0"/>
        <v>10004.228976996743</v>
      </c>
      <c r="K39" s="30">
        <f t="shared" si="0"/>
        <v>550.54867000132788</v>
      </c>
      <c r="L39" s="30">
        <f t="shared" si="0"/>
        <v>1.2793064117431665E-2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7367.9911112866312</v>
      </c>
      <c r="V39" s="262">
        <f t="shared" si="0"/>
        <v>6057.8099423857302</v>
      </c>
      <c r="W39" s="262">
        <f t="shared" si="0"/>
        <v>954.88207872771534</v>
      </c>
      <c r="X39" s="262">
        <f t="shared" si="0"/>
        <v>787.28288983043763</v>
      </c>
      <c r="Y39" s="262">
        <f t="shared" si="0"/>
        <v>2989.105747130704</v>
      </c>
      <c r="Z39" s="262">
        <f t="shared" si="0"/>
        <v>2458.5754011758263</v>
      </c>
      <c r="AA39" s="270">
        <f t="shared" si="0"/>
        <v>0</v>
      </c>
      <c r="AB39" s="273">
        <f t="shared" si="0"/>
        <v>2002.5043390327053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9151.159601736068</v>
      </c>
      <c r="AK39" s="273">
        <f t="shared" si="1"/>
        <v>30623.606268755593</v>
      </c>
      <c r="AL39" s="273">
        <f t="shared" si="1"/>
        <v>89815.131119410173</v>
      </c>
      <c r="AM39" s="273">
        <f t="shared" si="1"/>
        <v>16398.382842191058</v>
      </c>
      <c r="AN39" s="273">
        <f t="shared" si="1"/>
        <v>96966.243506368002</v>
      </c>
      <c r="AO39" s="273">
        <f t="shared" si="1"/>
        <v>80159.746200561523</v>
      </c>
      <c r="AP39" s="273">
        <f t="shared" si="1"/>
        <v>17176.589212719602</v>
      </c>
      <c r="AQ39" s="273">
        <f t="shared" si="1"/>
        <v>59795.769423103338</v>
      </c>
      <c r="AR39" s="273">
        <f t="shared" si="1"/>
        <v>13103.928462449712</v>
      </c>
      <c r="AS39" s="273">
        <f t="shared" si="1"/>
        <v>19961.433279927565</v>
      </c>
    </row>
    <row r="40" spans="1:45" ht="15.75" thickBot="1" x14ac:dyDescent="0.3">
      <c r="A40" s="47" t="s">
        <v>172</v>
      </c>
      <c r="B40" s="32">
        <f>Projection!$AA$30</f>
        <v>0.82128400199999985</v>
      </c>
      <c r="C40" s="33">
        <f>Projection!$AA$28</f>
        <v>1.2667292399999999</v>
      </c>
      <c r="D40" s="33">
        <f>Projection!$AA$31</f>
        <v>2.6329379999999998</v>
      </c>
      <c r="E40" s="33">
        <f>Projection!$AA$26</f>
        <v>3.9898560000000005</v>
      </c>
      <c r="F40" s="33">
        <f>Projection!$AA$23</f>
        <v>0</v>
      </c>
      <c r="G40" s="33">
        <f>Projection!$AA$24</f>
        <v>5.5265000000000002E-2</v>
      </c>
      <c r="H40" s="34">
        <f>Projection!$AA$29</f>
        <v>3.5497125</v>
      </c>
      <c r="I40" s="32">
        <f>Projection!$AA$30</f>
        <v>0.82128400199999985</v>
      </c>
      <c r="J40" s="33">
        <f>Projection!$AA$28</f>
        <v>1.2667292399999999</v>
      </c>
      <c r="K40" s="33">
        <f>Projection!$AA$26</f>
        <v>3.9898560000000005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65">
        <f>Projection!$AA$28</f>
        <v>1.2667292399999999</v>
      </c>
      <c r="T40" s="266">
        <f>Projection!$AA$28</f>
        <v>1.2667292399999999</v>
      </c>
      <c r="U40" s="264">
        <f>Projection!$AA$27</f>
        <v>0.27460000000000001</v>
      </c>
      <c r="V40" s="265">
        <f>Projection!$AA$27</f>
        <v>0.27460000000000001</v>
      </c>
      <c r="W40" s="265">
        <f>Projection!$AA$22</f>
        <v>0.74349432000000004</v>
      </c>
      <c r="X40" s="265">
        <f>Projection!$AA$22</f>
        <v>0.74349432000000004</v>
      </c>
      <c r="Y40" s="265">
        <f>Projection!$AA$31</f>
        <v>2.6329379999999998</v>
      </c>
      <c r="Z40" s="265">
        <f>Projection!$AA$31</f>
        <v>2.6329379999999998</v>
      </c>
      <c r="AA40" s="271">
        <v>0</v>
      </c>
      <c r="AB40" s="274">
        <f>Projection!$AA$27</f>
        <v>0.27460000000000001</v>
      </c>
      <c r="AC40" s="274">
        <f>Projection!$AA$30</f>
        <v>0.82128400199999985</v>
      </c>
      <c r="AD40" s="404">
        <f>SUM(AD8:AD38)</f>
        <v>242.51825095669992</v>
      </c>
      <c r="AE40" s="404">
        <f>SUM(AE8:AE38)</f>
        <v>192.33568948630699</v>
      </c>
      <c r="AF40" s="277">
        <f>SUM(AF8:AF38)</f>
        <v>418.52605272962006</v>
      </c>
      <c r="AG40" s="277">
        <f>SUM(AG8:AG38)</f>
        <v>226.75779749616038</v>
      </c>
      <c r="AH40" s="277">
        <f>SUM(AH8:AH38)</f>
        <v>186.53589242870549</v>
      </c>
      <c r="AI40" s="277">
        <f>IF(SUM(AG40:AH40)&gt;0, AG40/(AG40+AH40), 0)</f>
        <v>0.54866019739469885</v>
      </c>
      <c r="AJ40" s="313">
        <v>6.4000000000000001E-2</v>
      </c>
      <c r="AK40" s="313">
        <f t="shared" ref="AK40:AS40" si="2">$AJ$40</f>
        <v>6.4000000000000001E-2</v>
      </c>
      <c r="AL40" s="313">
        <f t="shared" si="2"/>
        <v>6.4000000000000001E-2</v>
      </c>
      <c r="AM40" s="313">
        <f t="shared" si="2"/>
        <v>6.4000000000000001E-2</v>
      </c>
      <c r="AN40" s="313">
        <f t="shared" si="2"/>
        <v>6.4000000000000001E-2</v>
      </c>
      <c r="AO40" s="313">
        <f t="shared" si="2"/>
        <v>6.4000000000000001E-2</v>
      </c>
      <c r="AP40" s="313">
        <f t="shared" si="2"/>
        <v>6.4000000000000001E-2</v>
      </c>
      <c r="AQ40" s="313">
        <f t="shared" si="2"/>
        <v>6.4000000000000001E-2</v>
      </c>
      <c r="AR40" s="313">
        <f t="shared" si="2"/>
        <v>6.4000000000000001E-2</v>
      </c>
      <c r="AS40" s="313">
        <f t="shared" si="2"/>
        <v>6.4000000000000001E-2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3009.1139181409744</v>
      </c>
      <c r="D41" s="36">
        <f t="shared" si="3"/>
        <v>76117.313152602204</v>
      </c>
      <c r="E41" s="36">
        <f t="shared" si="3"/>
        <v>2662.4645942145221</v>
      </c>
      <c r="F41" s="36">
        <f t="shared" si="3"/>
        <v>0</v>
      </c>
      <c r="G41" s="36">
        <f t="shared" si="3"/>
        <v>4454.562904148298</v>
      </c>
      <c r="H41" s="37">
        <f t="shared" si="3"/>
        <v>3433.1226159629141</v>
      </c>
      <c r="I41" s="35">
        <f t="shared" si="3"/>
        <v>3025.9945775140868</v>
      </c>
      <c r="J41" s="36">
        <f t="shared" si="3"/>
        <v>12672.649368817059</v>
      </c>
      <c r="K41" s="36">
        <f t="shared" si="3"/>
        <v>2196.6099142968183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2023.250359159309</v>
      </c>
      <c r="V41" s="268">
        <f t="shared" si="3"/>
        <v>1663.4746101791216</v>
      </c>
      <c r="W41" s="268">
        <f t="shared" si="3"/>
        <v>709.94940180384924</v>
      </c>
      <c r="X41" s="268">
        <f t="shared" si="3"/>
        <v>585.34035682211618</v>
      </c>
      <c r="Y41" s="268">
        <f t="shared" si="3"/>
        <v>7870.1301076388208</v>
      </c>
      <c r="Z41" s="268">
        <f t="shared" si="3"/>
        <v>6473.2765996210774</v>
      </c>
      <c r="AA41" s="272">
        <f t="shared" si="3"/>
        <v>0</v>
      </c>
      <c r="AB41" s="275">
        <f t="shared" si="3"/>
        <v>549.88769149838095</v>
      </c>
      <c r="AC41" s="275">
        <f t="shared" si="3"/>
        <v>0</v>
      </c>
      <c r="AJ41" s="278">
        <f t="shared" ref="AJ41:AS41" si="4">AJ40*AJ39</f>
        <v>585.6742145111084</v>
      </c>
      <c r="AK41" s="278">
        <f t="shared" si="4"/>
        <v>1959.910801200358</v>
      </c>
      <c r="AL41" s="278">
        <f t="shared" si="4"/>
        <v>5748.1683916422508</v>
      </c>
      <c r="AM41" s="278">
        <f t="shared" si="4"/>
        <v>1049.4965019002277</v>
      </c>
      <c r="AN41" s="278">
        <f t="shared" si="4"/>
        <v>6205.8395844075521</v>
      </c>
      <c r="AO41" s="278">
        <f t="shared" si="4"/>
        <v>5130.2237568359378</v>
      </c>
      <c r="AP41" s="278">
        <f t="shared" si="4"/>
        <v>1099.3017096140545</v>
      </c>
      <c r="AQ41" s="278">
        <f t="shared" si="4"/>
        <v>3826.9292430786136</v>
      </c>
      <c r="AR41" s="278">
        <f t="shared" si="4"/>
        <v>838.65142159678157</v>
      </c>
      <c r="AS41" s="278">
        <f t="shared" si="4"/>
        <v>1277.5317299153642</v>
      </c>
    </row>
    <row r="42" spans="1:45" ht="49.5" customHeight="1" thickTop="1" thickBot="1" x14ac:dyDescent="0.3">
      <c r="A42" s="637">
        <f>FEBRUARY!$A$42+29</f>
        <v>43161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1130.6300000000001</v>
      </c>
      <c r="AK42" s="278" t="s">
        <v>197</v>
      </c>
      <c r="AL42" s="278">
        <v>1776.99</v>
      </c>
      <c r="AM42" s="278">
        <v>815.09</v>
      </c>
      <c r="AN42" s="278">
        <v>949.88</v>
      </c>
      <c r="AO42" s="278">
        <v>5750.96</v>
      </c>
      <c r="AP42" s="278">
        <v>1000.85</v>
      </c>
      <c r="AQ42" s="278" t="s">
        <v>197</v>
      </c>
      <c r="AR42" s="278">
        <v>177.05</v>
      </c>
      <c r="AS42" s="278">
        <v>482.16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127447.14017241956</v>
      </c>
      <c r="C44" s="12"/>
      <c r="D44" s="282" t="s">
        <v>135</v>
      </c>
      <c r="E44" s="283">
        <f>SUM(B41:H41)+P41+R41+T41+V41+X41+Z41</f>
        <v>98398.668751691235</v>
      </c>
      <c r="F44" s="12"/>
      <c r="G44" s="282" t="s">
        <v>135</v>
      </c>
      <c r="H44" s="283">
        <f>SUM(I41:N41)+O41+Q41+S41+U41+W41+Y41</f>
        <v>28498.583729229947</v>
      </c>
      <c r="I44" s="12"/>
      <c r="J44" s="282" t="s">
        <v>198</v>
      </c>
      <c r="K44" s="283">
        <v>211161.18000000002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27721.727354702249</v>
      </c>
      <c r="C45" s="12"/>
      <c r="D45" s="284" t="s">
        <v>183</v>
      </c>
      <c r="E45" s="285">
        <f>AJ41*(1-$AI$40)+AK41+AL41*0.5+AN41+AO41*(1-$AI$40)+AP41*(1-$AI$40)+AQ41*(1-$AI$40)+AR41*0.5+AS41*0.5</f>
        <v>16901.142525061357</v>
      </c>
      <c r="F45" s="24"/>
      <c r="G45" s="284" t="s">
        <v>183</v>
      </c>
      <c r="H45" s="285">
        <f>AJ41*AI40+AL41*0.5+AM41+AO41*AI40+AP41*AI40+AQ41*AI40+AR41*0.5+AS41*0.5</f>
        <v>10820.584829640889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1742.1649685581529</v>
      </c>
      <c r="U45" s="256">
        <f>(T45*8.34*0.895)/27000</f>
        <v>0.48163118425217111</v>
      </c>
    </row>
    <row r="46" spans="1:45" ht="32.25" thickBot="1" x14ac:dyDescent="0.3">
      <c r="A46" s="286" t="s">
        <v>184</v>
      </c>
      <c r="B46" s="287">
        <f>SUM(AJ42:AS42)</f>
        <v>12083.609999999999</v>
      </c>
      <c r="C46" s="12"/>
      <c r="D46" s="286" t="s">
        <v>184</v>
      </c>
      <c r="E46" s="287">
        <f>AJ42*(1-$AI$40)+AL42*0.5+AN42+AO42*(1-$AI$40)+AP42*(1-$AI$40)+AR42*0.5+AS42*0.5</f>
        <v>5725.6389136481293</v>
      </c>
      <c r="F46" s="23"/>
      <c r="G46" s="286" t="s">
        <v>184</v>
      </c>
      <c r="H46" s="287">
        <f>AJ42*AI40+AL42*0.5+AM42+AO42*AI40+AP42*AI40+AR42*0.5+AS42*0.5</f>
        <v>6357.9710863518694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211161.18000000002</v>
      </c>
      <c r="C47" s="12"/>
      <c r="D47" s="286" t="s">
        <v>187</v>
      </c>
      <c r="E47" s="287">
        <f>K44*0.5</f>
        <v>105580.59000000001</v>
      </c>
      <c r="F47" s="24"/>
      <c r="G47" s="286" t="s">
        <v>185</v>
      </c>
      <c r="H47" s="287">
        <f>K44*0.5</f>
        <v>105580.59000000001</v>
      </c>
      <c r="I47" s="12"/>
      <c r="J47" s="282" t="s">
        <v>198</v>
      </c>
      <c r="K47" s="283">
        <v>36728.07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80603.68957112635</v>
      </c>
      <c r="U47" s="256">
        <f>T47/40000</f>
        <v>2.0150922392781587</v>
      </c>
    </row>
    <row r="48" spans="1:45" ht="24" thickBot="1" x14ac:dyDescent="0.3">
      <c r="A48" s="286" t="s">
        <v>186</v>
      </c>
      <c r="B48" s="287">
        <f>K47</f>
        <v>36728.07</v>
      </c>
      <c r="C48" s="12"/>
      <c r="D48" s="286" t="s">
        <v>186</v>
      </c>
      <c r="E48" s="287">
        <f>K47*0.5</f>
        <v>18364.035</v>
      </c>
      <c r="F48" s="23"/>
      <c r="G48" s="286" t="s">
        <v>186</v>
      </c>
      <c r="H48" s="287">
        <f>K47*0.5</f>
        <v>18364.035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1.2793064117431665E-2</v>
      </c>
      <c r="U48" s="256">
        <f>T48*9.34*0.107</f>
        <v>1.2785132417678858E-2</v>
      </c>
    </row>
    <row r="49" spans="1:25" ht="48" thickTop="1" thickBot="1" x14ac:dyDescent="0.3">
      <c r="A49" s="291" t="s">
        <v>194</v>
      </c>
      <c r="B49" s="292">
        <f>AF40</f>
        <v>418.52605272962006</v>
      </c>
      <c r="C49" s="12"/>
      <c r="D49" s="291" t="s">
        <v>195</v>
      </c>
      <c r="E49" s="292">
        <f>AH40</f>
        <v>186.53589242870549</v>
      </c>
      <c r="F49" s="23"/>
      <c r="G49" s="291" t="s">
        <v>196</v>
      </c>
      <c r="H49" s="292">
        <f>AG40</f>
        <v>226.75779749616038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1217.857112765809</v>
      </c>
      <c r="U49" s="256">
        <f>(T49*8.34*1.04)/45000</f>
        <v>0.23473789896190045</v>
      </c>
    </row>
    <row r="50" spans="1:25" ht="48" customHeight="1" thickTop="1" thickBot="1" x14ac:dyDescent="0.3">
      <c r="A50" s="291" t="s">
        <v>223</v>
      </c>
      <c r="B50" s="292">
        <f>SUM(E50+H50)</f>
        <v>434.85394044300688</v>
      </c>
      <c r="C50" s="12"/>
      <c r="D50" s="291" t="s">
        <v>224</v>
      </c>
      <c r="E50" s="292">
        <f>AE40</f>
        <v>192.33568948630699</v>
      </c>
      <c r="F50" s="23"/>
      <c r="G50" s="291" t="s">
        <v>225</v>
      </c>
      <c r="H50" s="292">
        <f>AD40</f>
        <v>242.51825095669992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954.66934737718316</v>
      </c>
      <c r="C51" s="12"/>
      <c r="D51" s="291" t="s">
        <v>188</v>
      </c>
      <c r="E51" s="293">
        <f>SUM(E44:E48)/E50</f>
        <v>1273.6589649308999</v>
      </c>
      <c r="F51" s="375">
        <f>E44/E49</f>
        <v>527.50528314168525</v>
      </c>
      <c r="G51" s="291" t="s">
        <v>189</v>
      </c>
      <c r="H51" s="293">
        <f>SUM(H44:H48)/H50</f>
        <v>699.41855499983626</v>
      </c>
      <c r="I51" s="374">
        <f>H44/H49</f>
        <v>125.67851709581235</v>
      </c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15428.305392705066</v>
      </c>
      <c r="U51" s="256">
        <f>T51/2000/8</f>
        <v>0.96426908704406666</v>
      </c>
    </row>
    <row r="52" spans="1:25" ht="47.25" customHeight="1" thickTop="1" thickBot="1" x14ac:dyDescent="0.3">
      <c r="A52" s="281" t="s">
        <v>191</v>
      </c>
      <c r="B52" s="294">
        <f>B51/1000</f>
        <v>0.95466934737718312</v>
      </c>
      <c r="C52" s="12"/>
      <c r="D52" s="281" t="s">
        <v>192</v>
      </c>
      <c r="E52" s="294">
        <f>E51/1000</f>
        <v>1.2736589649308998</v>
      </c>
      <c r="F52" s="12"/>
      <c r="G52" s="281" t="s">
        <v>193</v>
      </c>
      <c r="H52" s="294">
        <f>H51/1000</f>
        <v>0.69941855499983629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12379.727878514936</v>
      </c>
      <c r="U52" s="256">
        <f>(T52*8.34*1.4)/45000</f>
        <v>3.2121267268786751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967.15511917173967</v>
      </c>
      <c r="U53" s="256">
        <f>(T53*8.34*1.135)/45000</f>
        <v>0.20344430316817269</v>
      </c>
    </row>
    <row r="54" spans="1:25" ht="48" customHeight="1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3684.4679430564233</v>
      </c>
      <c r="U54" s="256">
        <f>(T54*8.34*1.029*0.03)/3300</f>
        <v>0.28745080056180178</v>
      </c>
    </row>
    <row r="55" spans="1:25" ht="45.75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34357.33004721802</v>
      </c>
      <c r="U55" s="259">
        <f>(T55*1.54*8.34)/45000</f>
        <v>9.8060400932099849</v>
      </c>
    </row>
    <row r="56" spans="1:25" ht="24" thickTop="1" x14ac:dyDescent="0.25">
      <c r="A56" s="642"/>
      <c r="B56" s="64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.75" customHeight="1" x14ac:dyDescent="0.25">
      <c r="A57" s="644"/>
      <c r="B57" s="64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0"/>
      <c r="B58" s="64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1"/>
      <c r="B59" s="64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0"/>
      <c r="B60" s="64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1"/>
      <c r="B61" s="641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9LHN8e2Ci/t/t77JO0WRCz86vSMV/NP1P8Z0QeBHsjc8wlptzVjjQTVMOFXHmxWouY3N/LaNYojpElCL5X087g==" saltValue="5mE2b4a683LR9hrB7ZrF6Q==" spinCount="100000" sheet="1" objects="1" scenarios="1" selectLockedCells="1" selectUnlockedCells="1"/>
  <mergeCells count="36">
    <mergeCell ref="R43:U43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D4:AD5"/>
    <mergeCell ref="AE4:AE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O4:AO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64"/>
  <sheetViews>
    <sheetView zoomScale="75" zoomScaleNormal="75" workbookViewId="0">
      <selection activeCell="K50" sqref="K50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425781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  <c r="AV4" t="s">
        <v>169</v>
      </c>
      <c r="AW4" s="338" t="s">
        <v>207</v>
      </c>
    </row>
    <row r="5" spans="1:49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43191</v>
      </c>
      <c r="B8" s="49"/>
      <c r="C8" s="50">
        <v>86.751846210162228</v>
      </c>
      <c r="D8" s="50">
        <v>994.43267707824702</v>
      </c>
      <c r="E8" s="50">
        <v>24.334290003776513</v>
      </c>
      <c r="F8" s="50">
        <v>0</v>
      </c>
      <c r="G8" s="50">
        <v>2712.470840962721</v>
      </c>
      <c r="H8" s="51">
        <v>34.743184773127282</v>
      </c>
      <c r="I8" s="49">
        <v>101.5791443546613</v>
      </c>
      <c r="J8" s="50">
        <v>306.32068980534888</v>
      </c>
      <c r="K8" s="50">
        <v>16.612035489082309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205.46295073026792</v>
      </c>
      <c r="V8" s="54">
        <v>213.00614943774733</v>
      </c>
      <c r="W8" s="54">
        <v>27.003489857492085</v>
      </c>
      <c r="X8" s="54">
        <v>27.99487389566778</v>
      </c>
      <c r="Y8" s="54">
        <v>80.778598188571337</v>
      </c>
      <c r="Z8" s="54">
        <v>83.744237566777073</v>
      </c>
      <c r="AA8" s="55">
        <v>0</v>
      </c>
      <c r="AB8" s="56">
        <v>63.059309021631996</v>
      </c>
      <c r="AC8" s="57">
        <v>0</v>
      </c>
      <c r="AD8" s="411">
        <v>6.9335346674824683</v>
      </c>
      <c r="AE8" s="411">
        <v>6.9521133168515394</v>
      </c>
      <c r="AF8" s="57">
        <v>13.069657029377108</v>
      </c>
      <c r="AG8" s="58">
        <v>6.348726211654812</v>
      </c>
      <c r="AH8" s="58">
        <v>6.5818081526260812</v>
      </c>
      <c r="AI8" s="58">
        <v>0.49098714970298785</v>
      </c>
      <c r="AJ8" s="57">
        <v>301.93530866305036</v>
      </c>
      <c r="AK8" s="57">
        <v>995.43376531600961</v>
      </c>
      <c r="AL8" s="57">
        <v>2859.8400014241533</v>
      </c>
      <c r="AM8" s="57">
        <v>544.08329772949219</v>
      </c>
      <c r="AN8" s="57">
        <v>1080.0752563476563</v>
      </c>
      <c r="AO8" s="57">
        <v>2657.9453792572017</v>
      </c>
      <c r="AP8" s="57">
        <v>504.27198362350464</v>
      </c>
      <c r="AQ8" s="57">
        <v>1901.8384432474772</v>
      </c>
      <c r="AR8" s="57">
        <v>440.6874442418416</v>
      </c>
      <c r="AS8" s="57">
        <v>623.07147407531738</v>
      </c>
    </row>
    <row r="9" spans="1:49" x14ac:dyDescent="0.25">
      <c r="A9" s="11">
        <v>43192</v>
      </c>
      <c r="B9" s="59"/>
      <c r="C9" s="60">
        <v>87.012530728180977</v>
      </c>
      <c r="D9" s="60">
        <v>1016.7184828440351</v>
      </c>
      <c r="E9" s="60">
        <v>24.418179567158177</v>
      </c>
      <c r="F9" s="60">
        <v>0</v>
      </c>
      <c r="G9" s="60">
        <v>2785.5102339426735</v>
      </c>
      <c r="H9" s="61">
        <v>34.943994728724228</v>
      </c>
      <c r="I9" s="59">
        <v>97.95987373193114</v>
      </c>
      <c r="J9" s="60">
        <v>310.23018493652364</v>
      </c>
      <c r="K9" s="60">
        <v>17.104799246788073</v>
      </c>
      <c r="L9" s="50">
        <v>0</v>
      </c>
      <c r="M9" s="60">
        <v>0</v>
      </c>
      <c r="N9" s="61">
        <v>0</v>
      </c>
      <c r="O9" s="49">
        <v>0</v>
      </c>
      <c r="P9" s="60">
        <v>0</v>
      </c>
      <c r="Q9" s="50">
        <v>0</v>
      </c>
      <c r="R9" s="50">
        <v>0</v>
      </c>
      <c r="S9" s="60">
        <v>0</v>
      </c>
      <c r="T9" s="64">
        <v>0</v>
      </c>
      <c r="U9" s="65">
        <v>216.76976745553583</v>
      </c>
      <c r="V9" s="62">
        <v>220.3802336252958</v>
      </c>
      <c r="W9" s="62">
        <v>28.741237872812334</v>
      </c>
      <c r="X9" s="62">
        <v>29.21994515858778</v>
      </c>
      <c r="Y9" s="66">
        <v>90.659630425700328</v>
      </c>
      <c r="Z9" s="66">
        <v>92.169635868143203</v>
      </c>
      <c r="AA9" s="67">
        <v>0</v>
      </c>
      <c r="AB9" s="68">
        <v>63.953677839702394</v>
      </c>
      <c r="AC9" s="69">
        <v>0</v>
      </c>
      <c r="AD9" s="412">
        <v>7.0223422808264422</v>
      </c>
      <c r="AE9" s="412">
        <v>7.0013364817809851</v>
      </c>
      <c r="AF9" s="69">
        <v>13.701889642741961</v>
      </c>
      <c r="AG9" s="68">
        <v>6.7197127591286554</v>
      </c>
      <c r="AH9" s="68">
        <v>6.8316347114936926</v>
      </c>
      <c r="AI9" s="68">
        <v>0.49587044931850249</v>
      </c>
      <c r="AJ9" s="69">
        <v>276.88589153289792</v>
      </c>
      <c r="AK9" s="69">
        <v>939.15711549123125</v>
      </c>
      <c r="AL9" s="69">
        <v>3143.3091225941976</v>
      </c>
      <c r="AM9" s="69">
        <v>502.10042530695597</v>
      </c>
      <c r="AN9" s="69">
        <v>1080.0752563476563</v>
      </c>
      <c r="AO9" s="69">
        <v>2597.0347278594963</v>
      </c>
      <c r="AP9" s="69">
        <v>483.45161954561877</v>
      </c>
      <c r="AQ9" s="69">
        <v>1938.3187717437745</v>
      </c>
      <c r="AR9" s="69">
        <v>426.29310665130618</v>
      </c>
      <c r="AS9" s="69">
        <v>768.49727204640715</v>
      </c>
    </row>
    <row r="10" spans="1:49" x14ac:dyDescent="0.25">
      <c r="A10" s="11">
        <v>43193</v>
      </c>
      <c r="B10" s="59"/>
      <c r="C10" s="60">
        <v>89.159291247527037</v>
      </c>
      <c r="D10" s="60">
        <v>1002.1177632649735</v>
      </c>
      <c r="E10" s="60">
        <v>24.639860925078359</v>
      </c>
      <c r="F10" s="60">
        <v>0</v>
      </c>
      <c r="G10" s="60">
        <v>2682.9620235443131</v>
      </c>
      <c r="H10" s="61">
        <v>35.80958932042121</v>
      </c>
      <c r="I10" s="59">
        <v>96.915937519073424</v>
      </c>
      <c r="J10" s="60">
        <v>321.25875059763609</v>
      </c>
      <c r="K10" s="60">
        <v>17.591395471493389</v>
      </c>
      <c r="L10" s="50">
        <v>0</v>
      </c>
      <c r="M10" s="60">
        <v>0</v>
      </c>
      <c r="N10" s="61">
        <v>0</v>
      </c>
      <c r="O10" s="49">
        <v>0</v>
      </c>
      <c r="P10" s="60">
        <v>0</v>
      </c>
      <c r="Q10" s="50">
        <v>0</v>
      </c>
      <c r="R10" s="50">
        <v>0</v>
      </c>
      <c r="S10" s="60">
        <v>0</v>
      </c>
      <c r="T10" s="64">
        <v>0</v>
      </c>
      <c r="U10" s="65">
        <v>216.55805906791554</v>
      </c>
      <c r="V10" s="62">
        <v>224.09031962216957</v>
      </c>
      <c r="W10" s="62">
        <v>29.16993882846733</v>
      </c>
      <c r="X10" s="62">
        <v>30.184519308886031</v>
      </c>
      <c r="Y10" s="66">
        <v>93.31254652818383</v>
      </c>
      <c r="Z10" s="66">
        <v>96.558116868333613</v>
      </c>
      <c r="AA10" s="67">
        <v>0</v>
      </c>
      <c r="AB10" s="68">
        <v>66.021833173434288</v>
      </c>
      <c r="AC10" s="69">
        <v>0</v>
      </c>
      <c r="AD10" s="412">
        <v>7.2724570629519985</v>
      </c>
      <c r="AE10" s="412">
        <v>7.1917801489558491</v>
      </c>
      <c r="AF10" s="69">
        <v>14.145224642091334</v>
      </c>
      <c r="AG10" s="68">
        <v>6.8630782125181682</v>
      </c>
      <c r="AH10" s="68">
        <v>7.1017878385806119</v>
      </c>
      <c r="AI10" s="68">
        <v>0.49145320745687848</v>
      </c>
      <c r="AJ10" s="69">
        <v>294.11275410652161</v>
      </c>
      <c r="AK10" s="69">
        <v>962.8701351165771</v>
      </c>
      <c r="AL10" s="69">
        <v>2904.8560001373294</v>
      </c>
      <c r="AM10" s="69">
        <v>438.17946071624755</v>
      </c>
      <c r="AN10" s="69">
        <v>1080.0752563476563</v>
      </c>
      <c r="AO10" s="69">
        <v>2657.1937386830646</v>
      </c>
      <c r="AP10" s="69">
        <v>485.15447533925374</v>
      </c>
      <c r="AQ10" s="69">
        <v>1998.5901042938235</v>
      </c>
      <c r="AR10" s="69">
        <v>432.37754227320357</v>
      </c>
      <c r="AS10" s="69">
        <v>608.19853254954023</v>
      </c>
    </row>
    <row r="11" spans="1:49" x14ac:dyDescent="0.25">
      <c r="A11" s="11">
        <v>43194</v>
      </c>
      <c r="B11" s="59"/>
      <c r="C11" s="60">
        <v>88.421611825624822</v>
      </c>
      <c r="D11" s="60">
        <v>964.75933017730415</v>
      </c>
      <c r="E11" s="60">
        <v>24.602966314554191</v>
      </c>
      <c r="F11" s="60">
        <v>0</v>
      </c>
      <c r="G11" s="60">
        <v>2575.2044874827225</v>
      </c>
      <c r="H11" s="61">
        <v>36.000358819961569</v>
      </c>
      <c r="I11" s="59">
        <v>106.45466760794324</v>
      </c>
      <c r="J11" s="60">
        <v>323.34499349594199</v>
      </c>
      <c r="K11" s="60">
        <v>17.672019174694992</v>
      </c>
      <c r="L11" s="50">
        <v>0</v>
      </c>
      <c r="M11" s="60">
        <v>0</v>
      </c>
      <c r="N11" s="61">
        <v>0</v>
      </c>
      <c r="O11" s="49">
        <v>0</v>
      </c>
      <c r="P11" s="60">
        <v>0</v>
      </c>
      <c r="Q11" s="50">
        <v>0</v>
      </c>
      <c r="R11" s="50">
        <v>0</v>
      </c>
      <c r="S11" s="60">
        <v>0</v>
      </c>
      <c r="T11" s="64">
        <v>0</v>
      </c>
      <c r="U11" s="65">
        <v>218.06736875788158</v>
      </c>
      <c r="V11" s="62">
        <v>225.80416478433506</v>
      </c>
      <c r="W11" s="62">
        <v>29.284558726263793</v>
      </c>
      <c r="X11" s="62">
        <v>30.323543416547093</v>
      </c>
      <c r="Y11" s="66">
        <v>90.396262911652869</v>
      </c>
      <c r="Z11" s="66">
        <v>93.603425228898217</v>
      </c>
      <c r="AA11" s="67">
        <v>0</v>
      </c>
      <c r="AB11" s="68">
        <v>66.126889636781385</v>
      </c>
      <c r="AC11" s="69">
        <v>0</v>
      </c>
      <c r="AD11" s="412">
        <v>7.3189911735951583</v>
      </c>
      <c r="AE11" s="412">
        <v>7.1897777493593926</v>
      </c>
      <c r="AF11" s="69">
        <v>14.365263367361456</v>
      </c>
      <c r="AG11" s="68">
        <v>6.9446659474272598</v>
      </c>
      <c r="AH11" s="68">
        <v>7.1910552362655968</v>
      </c>
      <c r="AI11" s="68">
        <v>0.49128487023631395</v>
      </c>
      <c r="AJ11" s="69">
        <v>288.16332329114272</v>
      </c>
      <c r="AK11" s="69">
        <v>967.42976897557583</v>
      </c>
      <c r="AL11" s="69">
        <v>2915.3690282185871</v>
      </c>
      <c r="AM11" s="69">
        <v>396.07763671875</v>
      </c>
      <c r="AN11" s="69">
        <v>1080.0752563476563</v>
      </c>
      <c r="AO11" s="69">
        <v>2689.3573663075758</v>
      </c>
      <c r="AP11" s="69">
        <v>489.80438170433047</v>
      </c>
      <c r="AQ11" s="69">
        <v>1992.2039919535318</v>
      </c>
      <c r="AR11" s="69">
        <v>427.06685377756759</v>
      </c>
      <c r="AS11" s="69">
        <v>688.4288372357687</v>
      </c>
    </row>
    <row r="12" spans="1:49" x14ac:dyDescent="0.25">
      <c r="A12" s="11">
        <v>43195</v>
      </c>
      <c r="B12" s="59"/>
      <c r="C12" s="60">
        <v>88.526910607019559</v>
      </c>
      <c r="D12" s="60">
        <v>1020.2664911270142</v>
      </c>
      <c r="E12" s="60">
        <v>24.688489504158461</v>
      </c>
      <c r="F12" s="60">
        <v>0</v>
      </c>
      <c r="G12" s="60">
        <v>2751.2470269521159</v>
      </c>
      <c r="H12" s="61">
        <v>36.502749989430136</v>
      </c>
      <c r="I12" s="59">
        <v>105.2676336050033</v>
      </c>
      <c r="J12" s="60">
        <v>320.00352899233553</v>
      </c>
      <c r="K12" s="60">
        <v>17.548501049478865</v>
      </c>
      <c r="L12" s="50">
        <v>0</v>
      </c>
      <c r="M12" s="60">
        <v>0</v>
      </c>
      <c r="N12" s="61">
        <v>0</v>
      </c>
      <c r="O12" s="49">
        <v>0</v>
      </c>
      <c r="P12" s="60">
        <v>0</v>
      </c>
      <c r="Q12" s="50">
        <v>0</v>
      </c>
      <c r="R12" s="50">
        <v>0</v>
      </c>
      <c r="S12" s="60">
        <v>0</v>
      </c>
      <c r="T12" s="64">
        <v>0</v>
      </c>
      <c r="U12" s="65">
        <v>218.86468207648153</v>
      </c>
      <c r="V12" s="62">
        <v>226.70597308929413</v>
      </c>
      <c r="W12" s="62">
        <v>29.412221265080337</v>
      </c>
      <c r="X12" s="62">
        <v>30.465976416823537</v>
      </c>
      <c r="Y12" s="66">
        <v>90.298623965742607</v>
      </c>
      <c r="Z12" s="66">
        <v>93.533763513403812</v>
      </c>
      <c r="AA12" s="67">
        <v>0</v>
      </c>
      <c r="AB12" s="68">
        <v>65.886349852880315</v>
      </c>
      <c r="AC12" s="69">
        <v>0</v>
      </c>
      <c r="AD12" s="412">
        <v>7.2439040258907443</v>
      </c>
      <c r="AE12" s="412">
        <v>7.2022800088267198</v>
      </c>
      <c r="AF12" s="69">
        <v>14.305518345038092</v>
      </c>
      <c r="AG12" s="68">
        <v>6.9128587337589478</v>
      </c>
      <c r="AH12" s="68">
        <v>7.1605265463433723</v>
      </c>
      <c r="AI12" s="68">
        <v>0.49120084444307127</v>
      </c>
      <c r="AJ12" s="69">
        <v>275.39691645304356</v>
      </c>
      <c r="AK12" s="69">
        <v>934.58399346669501</v>
      </c>
      <c r="AL12" s="69">
        <v>2918.5468797047934</v>
      </c>
      <c r="AM12" s="69">
        <v>396.07763671875</v>
      </c>
      <c r="AN12" s="69">
        <v>1080.0752563476563</v>
      </c>
      <c r="AO12" s="69">
        <v>2605.9519355773932</v>
      </c>
      <c r="AP12" s="69">
        <v>485.44679829279573</v>
      </c>
      <c r="AQ12" s="69">
        <v>2006.5549313863121</v>
      </c>
      <c r="AR12" s="69">
        <v>425.3833529472351</v>
      </c>
      <c r="AS12" s="69">
        <v>727.52018572489408</v>
      </c>
    </row>
    <row r="13" spans="1:49" x14ac:dyDescent="0.25">
      <c r="A13" s="11">
        <v>43196</v>
      </c>
      <c r="B13" s="59"/>
      <c r="C13" s="60">
        <v>89.1042056004203</v>
      </c>
      <c r="D13" s="60">
        <v>1038.2862152099603</v>
      </c>
      <c r="E13" s="60">
        <v>25.255078113575859</v>
      </c>
      <c r="F13" s="60">
        <v>0</v>
      </c>
      <c r="G13" s="60">
        <v>2930.7417341868127</v>
      </c>
      <c r="H13" s="61">
        <v>36.281410670280515</v>
      </c>
      <c r="I13" s="59">
        <v>106.30699053605387</v>
      </c>
      <c r="J13" s="60">
        <v>321.5218759059909</v>
      </c>
      <c r="K13" s="60">
        <v>17.401898215214434</v>
      </c>
      <c r="L13" s="50">
        <v>0</v>
      </c>
      <c r="M13" s="60">
        <v>0</v>
      </c>
      <c r="N13" s="61">
        <v>0</v>
      </c>
      <c r="O13" s="49">
        <v>0</v>
      </c>
      <c r="P13" s="60">
        <v>0</v>
      </c>
      <c r="Q13" s="50">
        <v>0</v>
      </c>
      <c r="R13" s="50">
        <v>0</v>
      </c>
      <c r="S13" s="60">
        <v>0</v>
      </c>
      <c r="T13" s="64">
        <v>0</v>
      </c>
      <c r="U13" s="65">
        <v>215.91134940713945</v>
      </c>
      <c r="V13" s="62">
        <v>221.27423883613636</v>
      </c>
      <c r="W13" s="62">
        <v>28.602853100197979</v>
      </c>
      <c r="X13" s="62">
        <v>29.313301804962222</v>
      </c>
      <c r="Y13" s="66">
        <v>90.942828601814682</v>
      </c>
      <c r="Z13" s="66">
        <v>93.201701678616544</v>
      </c>
      <c r="AA13" s="67">
        <v>0</v>
      </c>
      <c r="AB13" s="68">
        <v>74.461606020397525</v>
      </c>
      <c r="AC13" s="69">
        <v>0</v>
      </c>
      <c r="AD13" s="412">
        <v>7.2781578329123704</v>
      </c>
      <c r="AE13" s="412">
        <v>7.2151768614313827</v>
      </c>
      <c r="AF13" s="69">
        <v>14.016125303175702</v>
      </c>
      <c r="AG13" s="68">
        <v>6.8028862891517736</v>
      </c>
      <c r="AH13" s="68">
        <v>6.9718590044209678</v>
      </c>
      <c r="AI13" s="68">
        <v>0.49386657569094811</v>
      </c>
      <c r="AJ13" s="69">
        <v>301.539417441686</v>
      </c>
      <c r="AK13" s="69">
        <v>1000.3706369400026</v>
      </c>
      <c r="AL13" s="69">
        <v>2885.2972782135007</v>
      </c>
      <c r="AM13" s="69">
        <v>396.07763671875</v>
      </c>
      <c r="AN13" s="69">
        <v>1080.0752563476563</v>
      </c>
      <c r="AO13" s="69">
        <v>2681.8599114735921</v>
      </c>
      <c r="AP13" s="69">
        <v>510.03609210650131</v>
      </c>
      <c r="AQ13" s="69">
        <v>1975.6742547353108</v>
      </c>
      <c r="AR13" s="69">
        <v>447.14994780222571</v>
      </c>
      <c r="AS13" s="69">
        <v>661.94952112833653</v>
      </c>
    </row>
    <row r="14" spans="1:49" x14ac:dyDescent="0.25">
      <c r="A14" s="11">
        <v>43197</v>
      </c>
      <c r="B14" s="59"/>
      <c r="C14" s="60">
        <v>89.2160015265152</v>
      </c>
      <c r="D14" s="60">
        <v>1036.0543638229367</v>
      </c>
      <c r="E14" s="60">
        <v>24.962976620097947</v>
      </c>
      <c r="F14" s="60">
        <v>0</v>
      </c>
      <c r="G14" s="60">
        <v>2883.3996167500763</v>
      </c>
      <c r="H14" s="61">
        <v>36.161538418134114</v>
      </c>
      <c r="I14" s="59">
        <v>109.73744988441466</v>
      </c>
      <c r="J14" s="60">
        <v>323.21096973419174</v>
      </c>
      <c r="K14" s="60">
        <v>17.454597185055423</v>
      </c>
      <c r="L14" s="50">
        <v>0</v>
      </c>
      <c r="M14" s="60">
        <v>0</v>
      </c>
      <c r="N14" s="61">
        <v>0</v>
      </c>
      <c r="O14" s="49">
        <v>0</v>
      </c>
      <c r="P14" s="60">
        <v>0</v>
      </c>
      <c r="Q14" s="50">
        <v>0</v>
      </c>
      <c r="R14" s="50">
        <v>0</v>
      </c>
      <c r="S14" s="60">
        <v>0</v>
      </c>
      <c r="T14" s="64">
        <v>0</v>
      </c>
      <c r="U14" s="65">
        <v>213.04592627873865</v>
      </c>
      <c r="V14" s="62">
        <v>220.63706487624438</v>
      </c>
      <c r="W14" s="62">
        <v>28.533097020209066</v>
      </c>
      <c r="X14" s="62">
        <v>29.549773085693172</v>
      </c>
      <c r="Y14" s="66">
        <v>89.675027211509232</v>
      </c>
      <c r="Z14" s="66">
        <v>92.870279860494534</v>
      </c>
      <c r="AA14" s="67">
        <v>0</v>
      </c>
      <c r="AB14" s="68">
        <v>78.107017427020082</v>
      </c>
      <c r="AC14" s="69">
        <v>0</v>
      </c>
      <c r="AD14" s="412">
        <v>7.3157444951004491</v>
      </c>
      <c r="AE14" s="412">
        <v>7.1994296846097559</v>
      </c>
      <c r="AF14" s="69">
        <v>14.160626468393536</v>
      </c>
      <c r="AG14" s="68">
        <v>6.8452797331520436</v>
      </c>
      <c r="AH14" s="68">
        <v>7.0891870826174745</v>
      </c>
      <c r="AI14" s="68">
        <v>0.49124805589298182</v>
      </c>
      <c r="AJ14" s="69">
        <v>303.84586688677467</v>
      </c>
      <c r="AK14" s="69">
        <v>1010.2860115687052</v>
      </c>
      <c r="AL14" s="69">
        <v>2898.8511177062983</v>
      </c>
      <c r="AM14" s="69">
        <v>396.07763671875</v>
      </c>
      <c r="AN14" s="69">
        <v>1080.0752563476563</v>
      </c>
      <c r="AO14" s="69">
        <v>2699.6801918029787</v>
      </c>
      <c r="AP14" s="69">
        <v>543.43676519393932</v>
      </c>
      <c r="AQ14" s="69">
        <v>1988.1375016530355</v>
      </c>
      <c r="AR14" s="69">
        <v>459.2427232424418</v>
      </c>
      <c r="AS14" s="69">
        <v>608.14801661173499</v>
      </c>
    </row>
    <row r="15" spans="1:49" x14ac:dyDescent="0.25">
      <c r="A15" s="11">
        <v>43198</v>
      </c>
      <c r="B15" s="59"/>
      <c r="C15" s="60">
        <v>88.508324261507283</v>
      </c>
      <c r="D15" s="60">
        <v>1000.871278635661</v>
      </c>
      <c r="E15" s="60">
        <v>24.992865497867282</v>
      </c>
      <c r="F15" s="60">
        <v>0</v>
      </c>
      <c r="G15" s="60">
        <v>2763.631360499066</v>
      </c>
      <c r="H15" s="61">
        <v>35.606567533810903</v>
      </c>
      <c r="I15" s="59">
        <v>111.04716427326186</v>
      </c>
      <c r="J15" s="60">
        <v>322.66850204467789</v>
      </c>
      <c r="K15" s="60">
        <v>17.828806038697611</v>
      </c>
      <c r="L15" s="50">
        <v>0</v>
      </c>
      <c r="M15" s="60">
        <v>0</v>
      </c>
      <c r="N15" s="61">
        <v>0</v>
      </c>
      <c r="O15" s="49">
        <v>0</v>
      </c>
      <c r="P15" s="60">
        <v>0</v>
      </c>
      <c r="Q15" s="50">
        <v>0</v>
      </c>
      <c r="R15" s="50">
        <v>0</v>
      </c>
      <c r="S15" s="60">
        <v>0</v>
      </c>
      <c r="T15" s="64">
        <v>0</v>
      </c>
      <c r="U15" s="65">
        <v>216.88829865636168</v>
      </c>
      <c r="V15" s="62">
        <v>224.66136857487828</v>
      </c>
      <c r="W15" s="62">
        <v>28.702541145641767</v>
      </c>
      <c r="X15" s="62">
        <v>29.731212865353417</v>
      </c>
      <c r="Y15" s="66">
        <v>91.373520717145837</v>
      </c>
      <c r="Z15" s="66">
        <v>94.648260616142082</v>
      </c>
      <c r="AA15" s="67">
        <v>0</v>
      </c>
      <c r="AB15" s="68">
        <v>77.971722475688495</v>
      </c>
      <c r="AC15" s="69">
        <v>0</v>
      </c>
      <c r="AD15" s="412">
        <v>7.305584267772411</v>
      </c>
      <c r="AE15" s="412">
        <v>7.193996586799563</v>
      </c>
      <c r="AF15" s="69">
        <v>14.487206706735812</v>
      </c>
      <c r="AG15" s="68">
        <v>6.9985608607461893</v>
      </c>
      <c r="AH15" s="68">
        <v>7.2493826120190237</v>
      </c>
      <c r="AI15" s="68">
        <v>0.49119796650820952</v>
      </c>
      <c r="AJ15" s="69">
        <v>283.63981019655859</v>
      </c>
      <c r="AK15" s="69">
        <v>941.65427449544256</v>
      </c>
      <c r="AL15" s="69">
        <v>2935.5153434753415</v>
      </c>
      <c r="AM15" s="69">
        <v>396.07763671875</v>
      </c>
      <c r="AN15" s="69">
        <v>1080.0752563476563</v>
      </c>
      <c r="AO15" s="69">
        <v>2551.5874382019047</v>
      </c>
      <c r="AP15" s="69">
        <v>481.51352677345272</v>
      </c>
      <c r="AQ15" s="69">
        <v>2002.3634089152019</v>
      </c>
      <c r="AR15" s="69">
        <v>421.56785755157466</v>
      </c>
      <c r="AS15" s="69">
        <v>596.2183553695678</v>
      </c>
    </row>
    <row r="16" spans="1:49" x14ac:dyDescent="0.25">
      <c r="A16" s="11">
        <v>43199</v>
      </c>
      <c r="B16" s="59"/>
      <c r="C16" s="60">
        <v>87.780248562494648</v>
      </c>
      <c r="D16" s="60">
        <v>1003.4277801513689</v>
      </c>
      <c r="E16" s="60">
        <v>24.956778957446417</v>
      </c>
      <c r="F16" s="60">
        <v>0</v>
      </c>
      <c r="G16" s="60">
        <v>2669.3245339711561</v>
      </c>
      <c r="H16" s="61">
        <v>36.140867024660075</v>
      </c>
      <c r="I16" s="59">
        <v>111.62341021696729</v>
      </c>
      <c r="J16" s="60">
        <v>324.07645022074405</v>
      </c>
      <c r="K16" s="60">
        <v>17.946679343779852</v>
      </c>
      <c r="L16" s="50">
        <v>0</v>
      </c>
      <c r="M16" s="60">
        <v>0</v>
      </c>
      <c r="N16" s="61">
        <v>0</v>
      </c>
      <c r="O16" s="49">
        <v>0</v>
      </c>
      <c r="P16" s="60">
        <v>0</v>
      </c>
      <c r="Q16" s="50">
        <v>0</v>
      </c>
      <c r="R16" s="50">
        <v>0</v>
      </c>
      <c r="S16" s="60">
        <v>0</v>
      </c>
      <c r="T16" s="64">
        <v>0</v>
      </c>
      <c r="U16" s="65">
        <v>214.564219163476</v>
      </c>
      <c r="V16" s="62">
        <v>222.26761520576125</v>
      </c>
      <c r="W16" s="62">
        <v>28.573920718890523</v>
      </c>
      <c r="X16" s="62">
        <v>29.599796461997382</v>
      </c>
      <c r="Y16" s="66">
        <v>87.213241072935972</v>
      </c>
      <c r="Z16" s="66">
        <v>90.344416152990931</v>
      </c>
      <c r="AA16" s="67">
        <v>0</v>
      </c>
      <c r="AB16" s="68">
        <v>78.201627545885955</v>
      </c>
      <c r="AC16" s="69">
        <v>0</v>
      </c>
      <c r="AD16" s="412">
        <v>7.3351155622886761</v>
      </c>
      <c r="AE16" s="412">
        <v>7.1828955235598269</v>
      </c>
      <c r="AF16" s="69">
        <v>14.131210096014858</v>
      </c>
      <c r="AG16" s="68">
        <v>6.8333688816357885</v>
      </c>
      <c r="AH16" s="68">
        <v>7.0787040405150137</v>
      </c>
      <c r="AI16" s="68">
        <v>0.49118265264090866</v>
      </c>
      <c r="AJ16" s="69">
        <v>288.17696347236631</v>
      </c>
      <c r="AK16" s="69">
        <v>950.95697224934906</v>
      </c>
      <c r="AL16" s="69">
        <v>2815.6410948435464</v>
      </c>
      <c r="AM16" s="69">
        <v>396.07763671875</v>
      </c>
      <c r="AN16" s="69">
        <v>1080.0752563476563</v>
      </c>
      <c r="AO16" s="69">
        <v>2562.4875709533694</v>
      </c>
      <c r="AP16" s="69">
        <v>475.49599796930949</v>
      </c>
      <c r="AQ16" s="69">
        <v>2002.8970705668135</v>
      </c>
      <c r="AR16" s="69">
        <v>419.17077728907259</v>
      </c>
      <c r="AS16" s="69">
        <v>592.27459297180178</v>
      </c>
    </row>
    <row r="17" spans="1:45" x14ac:dyDescent="0.25">
      <c r="A17" s="11">
        <v>43200</v>
      </c>
      <c r="B17" s="49"/>
      <c r="C17" s="50">
        <v>88.570075066883859</v>
      </c>
      <c r="D17" s="50">
        <v>1037.9173529942839</v>
      </c>
      <c r="E17" s="50">
        <v>25.064173583686411</v>
      </c>
      <c r="F17" s="50">
        <v>0</v>
      </c>
      <c r="G17" s="50">
        <v>2727.0505404154546</v>
      </c>
      <c r="H17" s="51">
        <v>36.036903611818985</v>
      </c>
      <c r="I17" s="49">
        <v>111.29337837696059</v>
      </c>
      <c r="J17" s="50">
        <v>317.68035689989762</v>
      </c>
      <c r="K17" s="50">
        <v>17.085576180617004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50">
        <v>0</v>
      </c>
      <c r="S17" s="50">
        <v>0</v>
      </c>
      <c r="T17" s="52">
        <v>0</v>
      </c>
      <c r="U17" s="71">
        <v>218.1019057195295</v>
      </c>
      <c r="V17" s="66">
        <v>225.88093969283574</v>
      </c>
      <c r="W17" s="62">
        <v>29.468926846851147</v>
      </c>
      <c r="X17" s="62">
        <v>30.519994155695869</v>
      </c>
      <c r="Y17" s="66">
        <v>89.154817489562419</v>
      </c>
      <c r="Z17" s="66">
        <v>92.334699626984388</v>
      </c>
      <c r="AA17" s="67">
        <v>0</v>
      </c>
      <c r="AB17" s="68">
        <v>77.527172893949043</v>
      </c>
      <c r="AC17" s="69">
        <v>0</v>
      </c>
      <c r="AD17" s="412">
        <v>7.1911450509603903</v>
      </c>
      <c r="AE17" s="412">
        <v>7.1820866317845757</v>
      </c>
      <c r="AF17" s="69">
        <v>14.304535771078545</v>
      </c>
      <c r="AG17" s="68">
        <v>6.9443985761831168</v>
      </c>
      <c r="AH17" s="68">
        <v>7.1920842269347283</v>
      </c>
      <c r="AI17" s="68">
        <v>0.49123948813148266</v>
      </c>
      <c r="AJ17" s="69">
        <v>288.62377560933425</v>
      </c>
      <c r="AK17" s="69">
        <v>950.85683231353778</v>
      </c>
      <c r="AL17" s="69">
        <v>2877.6916535695395</v>
      </c>
      <c r="AM17" s="69">
        <v>396.07763671875</v>
      </c>
      <c r="AN17" s="69">
        <v>1080.0752563476563</v>
      </c>
      <c r="AO17" s="69">
        <v>2497.1768637339273</v>
      </c>
      <c r="AP17" s="69">
        <v>487.52330204645796</v>
      </c>
      <c r="AQ17" s="69">
        <v>1991.2646529515584</v>
      </c>
      <c r="AR17" s="69">
        <v>412.66027290026341</v>
      </c>
      <c r="AS17" s="69">
        <v>735.74314705530799</v>
      </c>
    </row>
    <row r="18" spans="1:45" x14ac:dyDescent="0.25">
      <c r="A18" s="11">
        <v>43201</v>
      </c>
      <c r="B18" s="59"/>
      <c r="C18" s="60">
        <v>88.829651888212112</v>
      </c>
      <c r="D18" s="60">
        <v>1046.3157255808535</v>
      </c>
      <c r="E18" s="60">
        <v>25.049778721233242</v>
      </c>
      <c r="F18" s="60">
        <v>0</v>
      </c>
      <c r="G18" s="60">
        <v>2875.9813062032035</v>
      </c>
      <c r="H18" s="61">
        <v>35.926412228743288</v>
      </c>
      <c r="I18" s="59">
        <v>116.81448841889693</v>
      </c>
      <c r="J18" s="60">
        <v>361.57135766347261</v>
      </c>
      <c r="K18" s="60">
        <v>19.615536362926136</v>
      </c>
      <c r="L18" s="50">
        <v>0</v>
      </c>
      <c r="M18" s="60">
        <v>0</v>
      </c>
      <c r="N18" s="61">
        <v>0</v>
      </c>
      <c r="O18" s="49">
        <v>0</v>
      </c>
      <c r="P18" s="60">
        <v>0</v>
      </c>
      <c r="Q18" s="50">
        <v>0</v>
      </c>
      <c r="R18" s="50">
        <v>0</v>
      </c>
      <c r="S18" s="60">
        <v>0</v>
      </c>
      <c r="T18" s="64">
        <v>0</v>
      </c>
      <c r="U18" s="65">
        <v>219.74717634390993</v>
      </c>
      <c r="V18" s="66">
        <v>227.58874532509989</v>
      </c>
      <c r="W18" s="62">
        <v>29.231840703429992</v>
      </c>
      <c r="X18" s="62">
        <v>30.27496443833688</v>
      </c>
      <c r="Y18" s="66">
        <v>91.298500828899734</v>
      </c>
      <c r="Z18" s="66">
        <v>94.556442541919083</v>
      </c>
      <c r="AA18" s="67">
        <v>0</v>
      </c>
      <c r="AB18" s="68">
        <v>82.451218599742688</v>
      </c>
      <c r="AC18" s="69">
        <v>0</v>
      </c>
      <c r="AD18" s="412">
        <v>8.1855507290894529</v>
      </c>
      <c r="AE18" s="412">
        <v>7.1845504812959966</v>
      </c>
      <c r="AF18" s="69">
        <v>14.421330744028088</v>
      </c>
      <c r="AG18" s="68">
        <v>7.0009807022776132</v>
      </c>
      <c r="AH18" s="68">
        <v>7.2508072257682787</v>
      </c>
      <c r="AI18" s="68">
        <v>0.49123525677087027</v>
      </c>
      <c r="AJ18" s="69">
        <v>285.04322253863018</v>
      </c>
      <c r="AK18" s="69">
        <v>932.11320667266864</v>
      </c>
      <c r="AL18" s="69">
        <v>2959.4909815470373</v>
      </c>
      <c r="AM18" s="69">
        <v>396.07763671875</v>
      </c>
      <c r="AN18" s="69">
        <v>1080.0752563476563</v>
      </c>
      <c r="AO18" s="69">
        <v>2477.7414511362713</v>
      </c>
      <c r="AP18" s="69">
        <v>482.8701883633932</v>
      </c>
      <c r="AQ18" s="69">
        <v>1992.9211467742919</v>
      </c>
      <c r="AR18" s="69">
        <v>385.10144190788264</v>
      </c>
      <c r="AS18" s="69">
        <v>814.12049910227461</v>
      </c>
    </row>
    <row r="19" spans="1:45" x14ac:dyDescent="0.25">
      <c r="A19" s="11">
        <v>43202</v>
      </c>
      <c r="B19" s="59"/>
      <c r="C19" s="60">
        <v>88.503763655821842</v>
      </c>
      <c r="D19" s="60">
        <v>996.03872985839769</v>
      </c>
      <c r="E19" s="60">
        <v>24.933810197313587</v>
      </c>
      <c r="F19" s="60">
        <v>0</v>
      </c>
      <c r="G19" s="60">
        <v>2587.8172524770025</v>
      </c>
      <c r="H19" s="61">
        <v>35.563084576527359</v>
      </c>
      <c r="I19" s="59">
        <v>117.85337191422789</v>
      </c>
      <c r="J19" s="60">
        <v>323.20078387260475</v>
      </c>
      <c r="K19" s="60">
        <v>18.030738337834681</v>
      </c>
      <c r="L19" s="50">
        <v>0</v>
      </c>
      <c r="M19" s="60">
        <v>0</v>
      </c>
      <c r="N19" s="61">
        <v>0</v>
      </c>
      <c r="O19" s="49">
        <v>0</v>
      </c>
      <c r="P19" s="60">
        <v>0</v>
      </c>
      <c r="Q19" s="50">
        <v>0</v>
      </c>
      <c r="R19" s="50">
        <v>0</v>
      </c>
      <c r="S19" s="60">
        <v>0</v>
      </c>
      <c r="T19" s="64">
        <v>0</v>
      </c>
      <c r="U19" s="65">
        <v>215.98453076720082</v>
      </c>
      <c r="V19" s="66">
        <v>221.78325767477727</v>
      </c>
      <c r="W19" s="62">
        <v>28.018456415963822</v>
      </c>
      <c r="X19" s="62">
        <v>28.770692590243943</v>
      </c>
      <c r="Y19" s="66">
        <v>89.056689545298696</v>
      </c>
      <c r="Z19" s="66">
        <v>91.447672918652501</v>
      </c>
      <c r="AA19" s="67">
        <v>0</v>
      </c>
      <c r="AB19" s="68">
        <v>78.015477673212132</v>
      </c>
      <c r="AC19" s="69">
        <v>0</v>
      </c>
      <c r="AD19" s="412">
        <v>7.3168458532404674</v>
      </c>
      <c r="AE19" s="412">
        <v>7.1807842720086512</v>
      </c>
      <c r="AF19" s="69">
        <v>14.030362265639818</v>
      </c>
      <c r="AG19" s="68">
        <v>6.8364732078574173</v>
      </c>
      <c r="AH19" s="68">
        <v>7.0200180247131074</v>
      </c>
      <c r="AI19" s="68">
        <v>0.49337693743044209</v>
      </c>
      <c r="AJ19" s="69">
        <v>290.48156714439398</v>
      </c>
      <c r="AK19" s="69">
        <v>928.52782618204765</v>
      </c>
      <c r="AL19" s="69">
        <v>2906.6434328715004</v>
      </c>
      <c r="AM19" s="69">
        <v>396.07763671875</v>
      </c>
      <c r="AN19" s="69">
        <v>1080.0752563476563</v>
      </c>
      <c r="AO19" s="69">
        <v>2499.9195171356209</v>
      </c>
      <c r="AP19" s="69">
        <v>482.79096228281657</v>
      </c>
      <c r="AQ19" s="69">
        <v>2017.7170457204188</v>
      </c>
      <c r="AR19" s="69">
        <v>371.26122037569689</v>
      </c>
      <c r="AS19" s="69">
        <v>810.60998284022014</v>
      </c>
    </row>
    <row r="20" spans="1:45" x14ac:dyDescent="0.25">
      <c r="A20" s="11">
        <v>43203</v>
      </c>
      <c r="B20" s="59"/>
      <c r="C20" s="60">
        <v>88.931742771466887</v>
      </c>
      <c r="D20" s="60">
        <v>995.92456957499235</v>
      </c>
      <c r="E20" s="60">
        <v>24.950200711687469</v>
      </c>
      <c r="F20" s="60">
        <v>0</v>
      </c>
      <c r="G20" s="60">
        <v>2560.3982733408679</v>
      </c>
      <c r="H20" s="61">
        <v>36.086236868302038</v>
      </c>
      <c r="I20" s="59">
        <v>118.87042493025469</v>
      </c>
      <c r="J20" s="60">
        <v>325.2385298093165</v>
      </c>
      <c r="K20" s="60">
        <v>17.85410239299139</v>
      </c>
      <c r="L20" s="50">
        <v>0</v>
      </c>
      <c r="M20" s="60">
        <v>0</v>
      </c>
      <c r="N20" s="61">
        <v>0</v>
      </c>
      <c r="O20" s="49">
        <v>0</v>
      </c>
      <c r="P20" s="60">
        <v>0</v>
      </c>
      <c r="Q20" s="50">
        <v>0</v>
      </c>
      <c r="R20" s="50">
        <v>0</v>
      </c>
      <c r="S20" s="60">
        <v>0</v>
      </c>
      <c r="T20" s="64">
        <v>0</v>
      </c>
      <c r="U20" s="65">
        <v>213.33825838377541</v>
      </c>
      <c r="V20" s="62">
        <v>220.90308021892631</v>
      </c>
      <c r="W20" s="62">
        <v>27.945895592408093</v>
      </c>
      <c r="X20" s="62">
        <v>28.936837033394255</v>
      </c>
      <c r="Y20" s="66">
        <v>83.053707541185901</v>
      </c>
      <c r="Z20" s="66">
        <v>85.998732521972869</v>
      </c>
      <c r="AA20" s="67">
        <v>0</v>
      </c>
      <c r="AB20" s="68">
        <v>78.329400057262617</v>
      </c>
      <c r="AC20" s="69">
        <v>0</v>
      </c>
      <c r="AD20" s="412">
        <v>7.3624881769824544</v>
      </c>
      <c r="AE20" s="412">
        <v>7.20112999655439</v>
      </c>
      <c r="AF20" s="69">
        <v>13.874788604179992</v>
      </c>
      <c r="AG20" s="68">
        <v>6.7405132751659567</v>
      </c>
      <c r="AH20" s="68">
        <v>6.9795270478966422</v>
      </c>
      <c r="AI20" s="68">
        <v>0.49128961114170644</v>
      </c>
      <c r="AJ20" s="69">
        <v>304.32600595156356</v>
      </c>
      <c r="AK20" s="69">
        <v>979.11348450978608</v>
      </c>
      <c r="AL20" s="69">
        <v>2864.053897857666</v>
      </c>
      <c r="AM20" s="69">
        <v>396.07763671875</v>
      </c>
      <c r="AN20" s="69">
        <v>1080.0752563476563</v>
      </c>
      <c r="AO20" s="69">
        <v>2504.6809356689455</v>
      </c>
      <c r="AP20" s="69">
        <v>482.38782246907556</v>
      </c>
      <c r="AQ20" s="69">
        <v>2050.3054509480794</v>
      </c>
      <c r="AR20" s="69">
        <v>411.95507667859403</v>
      </c>
      <c r="AS20" s="69">
        <v>610.6708648045859</v>
      </c>
    </row>
    <row r="21" spans="1:45" x14ac:dyDescent="0.25">
      <c r="A21" s="11">
        <v>43204</v>
      </c>
      <c r="B21" s="59"/>
      <c r="C21" s="60">
        <v>88.820138947168999</v>
      </c>
      <c r="D21" s="60">
        <v>997.11233704884921</v>
      </c>
      <c r="E21" s="60">
        <v>25.106081882615939</v>
      </c>
      <c r="F21" s="60">
        <v>0</v>
      </c>
      <c r="G21" s="60">
        <v>2731.6156258901078</v>
      </c>
      <c r="H21" s="61">
        <v>36.248076522350395</v>
      </c>
      <c r="I21" s="59">
        <v>119.84330406983693</v>
      </c>
      <c r="J21" s="60">
        <v>324.16223510106431</v>
      </c>
      <c r="K21" s="60">
        <v>17.742680001258844</v>
      </c>
      <c r="L21" s="50">
        <v>0</v>
      </c>
      <c r="M21" s="60">
        <v>0</v>
      </c>
      <c r="N21" s="61">
        <v>0</v>
      </c>
      <c r="O21" s="49">
        <v>0</v>
      </c>
      <c r="P21" s="60">
        <v>0</v>
      </c>
      <c r="Q21" s="50">
        <v>0</v>
      </c>
      <c r="R21" s="50">
        <v>0</v>
      </c>
      <c r="S21" s="60">
        <v>0</v>
      </c>
      <c r="T21" s="64">
        <v>0</v>
      </c>
      <c r="U21" s="65">
        <v>216.24098026801798</v>
      </c>
      <c r="V21" s="62">
        <v>223.8202184751668</v>
      </c>
      <c r="W21" s="62">
        <v>29.022706340236734</v>
      </c>
      <c r="X21" s="62">
        <v>30.039951103445556</v>
      </c>
      <c r="Y21" s="66">
        <v>86.089159925572972</v>
      </c>
      <c r="Z21" s="66">
        <v>89.106581735816917</v>
      </c>
      <c r="AA21" s="67">
        <v>0</v>
      </c>
      <c r="AB21" s="68">
        <v>78.300078609254257</v>
      </c>
      <c r="AC21" s="69">
        <v>0</v>
      </c>
      <c r="AD21" s="412">
        <v>7.3375735825031434</v>
      </c>
      <c r="AE21" s="412">
        <v>7.1902255065193756</v>
      </c>
      <c r="AF21" s="69">
        <v>14.130037066009301</v>
      </c>
      <c r="AG21" s="68">
        <v>6.8633964429990879</v>
      </c>
      <c r="AH21" s="68">
        <v>7.1039582296091623</v>
      </c>
      <c r="AI21" s="68">
        <v>0.49138842707696662</v>
      </c>
      <c r="AJ21" s="69">
        <v>316.43666950861609</v>
      </c>
      <c r="AK21" s="69">
        <v>1021.4140542348226</v>
      </c>
      <c r="AL21" s="69">
        <v>2891.9036453247072</v>
      </c>
      <c r="AM21" s="69">
        <v>396.07763671875</v>
      </c>
      <c r="AN21" s="69">
        <v>1080.0752563476563</v>
      </c>
      <c r="AO21" s="69">
        <v>2689.1466565450028</v>
      </c>
      <c r="AP21" s="69">
        <v>569.50600897471099</v>
      </c>
      <c r="AQ21" s="69">
        <v>2052.5990856170652</v>
      </c>
      <c r="AR21" s="69">
        <v>410.68280445734655</v>
      </c>
      <c r="AS21" s="69">
        <v>604.73576399485262</v>
      </c>
    </row>
    <row r="22" spans="1:45" x14ac:dyDescent="0.25">
      <c r="A22" s="11">
        <v>43205</v>
      </c>
      <c r="B22" s="59"/>
      <c r="C22" s="60">
        <v>88.558267649015207</v>
      </c>
      <c r="D22" s="60">
        <v>1051.3103809992472</v>
      </c>
      <c r="E22" s="60">
        <v>25.10780111948651</v>
      </c>
      <c r="F22" s="60">
        <v>0</v>
      </c>
      <c r="G22" s="60">
        <v>2853.9336242675909</v>
      </c>
      <c r="H22" s="61">
        <v>36.294234716892248</v>
      </c>
      <c r="I22" s="59">
        <v>120.87324301401765</v>
      </c>
      <c r="J22" s="60">
        <v>323.49109063148501</v>
      </c>
      <c r="K22" s="60">
        <v>17.421381933490405</v>
      </c>
      <c r="L22" s="50">
        <v>0</v>
      </c>
      <c r="M22" s="60">
        <v>0</v>
      </c>
      <c r="N22" s="61">
        <v>0</v>
      </c>
      <c r="O22" s="49">
        <v>0</v>
      </c>
      <c r="P22" s="60">
        <v>0</v>
      </c>
      <c r="Q22" s="50">
        <v>0</v>
      </c>
      <c r="R22" s="50">
        <v>0</v>
      </c>
      <c r="S22" s="60">
        <v>0</v>
      </c>
      <c r="T22" s="64">
        <v>0</v>
      </c>
      <c r="U22" s="65">
        <v>217.14255070663523</v>
      </c>
      <c r="V22" s="62">
        <v>224.75967150287252</v>
      </c>
      <c r="W22" s="62">
        <v>29.031878178332651</v>
      </c>
      <c r="X22" s="62">
        <v>30.050284392620746</v>
      </c>
      <c r="Y22" s="66">
        <v>85.989015503671226</v>
      </c>
      <c r="Z22" s="66">
        <v>89.005415173424993</v>
      </c>
      <c r="AA22" s="67">
        <v>0</v>
      </c>
      <c r="AB22" s="68">
        <v>78.156604443655823</v>
      </c>
      <c r="AC22" s="69">
        <v>0</v>
      </c>
      <c r="AD22" s="412">
        <v>7.3221536668627998</v>
      </c>
      <c r="AE22" s="412">
        <v>7.180776833396572</v>
      </c>
      <c r="AF22" s="69">
        <v>14.060167808002886</v>
      </c>
      <c r="AG22" s="68">
        <v>6.8372132381387463</v>
      </c>
      <c r="AH22" s="68">
        <v>7.0770551253002187</v>
      </c>
      <c r="AI22" s="68">
        <v>0.49138144094619879</v>
      </c>
      <c r="AJ22" s="69">
        <v>288.01969413757325</v>
      </c>
      <c r="AK22" s="69">
        <v>959.04232228597016</v>
      </c>
      <c r="AL22" s="69">
        <v>2946.3416123708084</v>
      </c>
      <c r="AM22" s="69">
        <v>396.07763671875</v>
      </c>
      <c r="AN22" s="69">
        <v>1080.0752563476563</v>
      </c>
      <c r="AO22" s="69">
        <v>2627.5867173512784</v>
      </c>
      <c r="AP22" s="69">
        <v>580.1313286145529</v>
      </c>
      <c r="AQ22" s="69">
        <v>2078.1057156880697</v>
      </c>
      <c r="AR22" s="69">
        <v>378.84666050275172</v>
      </c>
      <c r="AS22" s="69">
        <v>645.97200905481975</v>
      </c>
    </row>
    <row r="23" spans="1:45" x14ac:dyDescent="0.25">
      <c r="A23" s="11">
        <v>43206</v>
      </c>
      <c r="B23" s="59"/>
      <c r="C23" s="60">
        <v>90.93035382032474</v>
      </c>
      <c r="D23" s="60">
        <v>1103.9336770375598</v>
      </c>
      <c r="E23" s="60">
        <v>25.481327295800028</v>
      </c>
      <c r="F23" s="60">
        <v>0</v>
      </c>
      <c r="G23" s="60">
        <v>3054.073310597737</v>
      </c>
      <c r="H23" s="61">
        <v>36.561821363369624</v>
      </c>
      <c r="I23" s="59">
        <v>123.46339255174016</v>
      </c>
      <c r="J23" s="60">
        <v>330.74607021013981</v>
      </c>
      <c r="K23" s="60">
        <v>18.202244709928845</v>
      </c>
      <c r="L23" s="50">
        <v>0</v>
      </c>
      <c r="M23" s="60">
        <v>0</v>
      </c>
      <c r="N23" s="61">
        <v>0</v>
      </c>
      <c r="O23" s="49">
        <v>0</v>
      </c>
      <c r="P23" s="60">
        <v>0</v>
      </c>
      <c r="Q23" s="50">
        <v>0</v>
      </c>
      <c r="R23" s="50">
        <v>0</v>
      </c>
      <c r="S23" s="60">
        <v>0</v>
      </c>
      <c r="T23" s="64">
        <v>0</v>
      </c>
      <c r="U23" s="65">
        <v>226.50072669323657</v>
      </c>
      <c r="V23" s="62">
        <v>234.43134872248075</v>
      </c>
      <c r="W23" s="62">
        <v>30.576228584684944</v>
      </c>
      <c r="X23" s="62">
        <v>31.646814606748016</v>
      </c>
      <c r="Y23" s="66">
        <v>91.023306825414892</v>
      </c>
      <c r="Z23" s="66">
        <v>94.210366985543899</v>
      </c>
      <c r="AA23" s="67">
        <v>0</v>
      </c>
      <c r="AB23" s="68">
        <v>80.007058286667061</v>
      </c>
      <c r="AC23" s="69">
        <v>0</v>
      </c>
      <c r="AD23" s="412">
        <v>7.4867785213602387</v>
      </c>
      <c r="AE23" s="412">
        <v>7.3389046015817412</v>
      </c>
      <c r="AF23" s="69">
        <v>14.594447817405078</v>
      </c>
      <c r="AG23" s="68">
        <v>7.0971285940402051</v>
      </c>
      <c r="AH23" s="68">
        <v>7.3456251229211187</v>
      </c>
      <c r="AI23" s="68">
        <v>0.49139719011516886</v>
      </c>
      <c r="AJ23" s="69">
        <v>271.06648928324387</v>
      </c>
      <c r="AK23" s="69">
        <v>927.21939366658535</v>
      </c>
      <c r="AL23" s="69">
        <v>2934.6832447052007</v>
      </c>
      <c r="AM23" s="69">
        <v>396.07763671875</v>
      </c>
      <c r="AN23" s="69">
        <v>1080.0752563476563</v>
      </c>
      <c r="AO23" s="69">
        <v>2608.0068420410157</v>
      </c>
      <c r="AP23" s="69">
        <v>522.23315631548564</v>
      </c>
      <c r="AQ23" s="69">
        <v>2087.4548700968426</v>
      </c>
      <c r="AR23" s="69">
        <v>385.04724911053972</v>
      </c>
      <c r="AS23" s="69">
        <v>849.33913688659675</v>
      </c>
    </row>
    <row r="24" spans="1:45" x14ac:dyDescent="0.25">
      <c r="A24" s="11">
        <v>43207</v>
      </c>
      <c r="B24" s="59"/>
      <c r="C24" s="60">
        <v>94.693297493457933</v>
      </c>
      <c r="D24" s="60">
        <v>1082.7097880999272</v>
      </c>
      <c r="E24" s="60">
        <v>26.195299968620155</v>
      </c>
      <c r="F24" s="60">
        <v>0</v>
      </c>
      <c r="G24" s="60">
        <v>2982.3590625763018</v>
      </c>
      <c r="H24" s="61">
        <v>38.428471382459009</v>
      </c>
      <c r="I24" s="59">
        <v>127.59483203093205</v>
      </c>
      <c r="J24" s="60">
        <v>341.74497591654551</v>
      </c>
      <c r="K24" s="60">
        <v>18.269436600804347</v>
      </c>
      <c r="L24" s="60">
        <v>3.7765502929687501E-5</v>
      </c>
      <c r="M24" s="60">
        <v>0</v>
      </c>
      <c r="N24" s="61">
        <v>0</v>
      </c>
      <c r="O24" s="49">
        <v>0</v>
      </c>
      <c r="P24" s="60">
        <v>0</v>
      </c>
      <c r="Q24" s="50">
        <v>0</v>
      </c>
      <c r="R24" s="50">
        <v>0</v>
      </c>
      <c r="S24" s="60">
        <v>0</v>
      </c>
      <c r="T24" s="64">
        <v>0</v>
      </c>
      <c r="U24" s="65">
        <v>233.34319627707259</v>
      </c>
      <c r="V24" s="62">
        <v>241.01886463007676</v>
      </c>
      <c r="W24" s="62">
        <v>32.000233022632017</v>
      </c>
      <c r="X24" s="62">
        <v>33.052859282233442</v>
      </c>
      <c r="Y24" s="66">
        <v>93.599543134519919</v>
      </c>
      <c r="Z24" s="66">
        <v>96.678437495083188</v>
      </c>
      <c r="AA24" s="67">
        <v>0</v>
      </c>
      <c r="AB24" s="68">
        <v>82.716341331270144</v>
      </c>
      <c r="AC24" s="69">
        <v>0</v>
      </c>
      <c r="AD24" s="412">
        <v>7.7359369870223862</v>
      </c>
      <c r="AE24" s="412">
        <v>7.5924934831792772</v>
      </c>
      <c r="AF24" s="69">
        <v>15.07822271453008</v>
      </c>
      <c r="AG24" s="68">
        <v>7.3426735396619041</v>
      </c>
      <c r="AH24" s="68">
        <v>7.5842058740690428</v>
      </c>
      <c r="AI24" s="68">
        <v>0.49190948329813139</v>
      </c>
      <c r="AJ24" s="69">
        <v>272.35896681149796</v>
      </c>
      <c r="AK24" s="69">
        <v>901.52117522557603</v>
      </c>
      <c r="AL24" s="69">
        <v>2871.3358421325684</v>
      </c>
      <c r="AM24" s="69">
        <v>396.07763671875</v>
      </c>
      <c r="AN24" s="69">
        <v>1080.0752563476563</v>
      </c>
      <c r="AO24" s="69">
        <v>2616.9701245625815</v>
      </c>
      <c r="AP24" s="69">
        <v>483.73135778109236</v>
      </c>
      <c r="AQ24" s="69">
        <v>2140.9301709493006</v>
      </c>
      <c r="AR24" s="69">
        <v>390.35601752599081</v>
      </c>
      <c r="AS24" s="69">
        <v>780.56380538940437</v>
      </c>
    </row>
    <row r="25" spans="1:45" x14ac:dyDescent="0.25">
      <c r="A25" s="11">
        <v>43208</v>
      </c>
      <c r="B25" s="59"/>
      <c r="C25" s="60">
        <v>94.794995292027565</v>
      </c>
      <c r="D25" s="60">
        <v>1045.9164590835562</v>
      </c>
      <c r="E25" s="60">
        <v>26.862602218985561</v>
      </c>
      <c r="F25" s="60">
        <v>0</v>
      </c>
      <c r="G25" s="60">
        <v>2707.2875846862717</v>
      </c>
      <c r="H25" s="61">
        <v>39.167380084594136</v>
      </c>
      <c r="I25" s="59">
        <v>148.76752385298408</v>
      </c>
      <c r="J25" s="60">
        <v>433.53933515548761</v>
      </c>
      <c r="K25" s="60">
        <v>23.178011704484597</v>
      </c>
      <c r="L25" s="60">
        <v>9.4413757324218753E-6</v>
      </c>
      <c r="M25" s="60">
        <v>0</v>
      </c>
      <c r="N25" s="61">
        <v>0</v>
      </c>
      <c r="O25" s="49">
        <v>0</v>
      </c>
      <c r="P25" s="60">
        <v>0</v>
      </c>
      <c r="Q25" s="50">
        <v>0</v>
      </c>
      <c r="R25" s="50">
        <v>0</v>
      </c>
      <c r="S25" s="60">
        <v>0</v>
      </c>
      <c r="T25" s="64">
        <v>0</v>
      </c>
      <c r="U25" s="65">
        <v>286.64573003264326</v>
      </c>
      <c r="V25" s="62">
        <v>239.96541312192775</v>
      </c>
      <c r="W25" s="62">
        <v>40.015852763083991</v>
      </c>
      <c r="X25" s="62">
        <v>33.499262796017085</v>
      </c>
      <c r="Y25" s="66">
        <v>118.77305925621192</v>
      </c>
      <c r="Z25" s="66">
        <v>99.43084178831603</v>
      </c>
      <c r="AA25" s="67">
        <v>0</v>
      </c>
      <c r="AB25" s="68">
        <v>97.940337673824132</v>
      </c>
      <c r="AC25" s="69">
        <v>0</v>
      </c>
      <c r="AD25" s="412">
        <v>9.8223395738212318</v>
      </c>
      <c r="AE25" s="412">
        <v>7.7196080103375317</v>
      </c>
      <c r="AF25" s="69">
        <v>16.986865977446225</v>
      </c>
      <c r="AG25" s="68">
        <v>9.1543263764356055</v>
      </c>
      <c r="AH25" s="68">
        <v>7.6635424170601372</v>
      </c>
      <c r="AI25" s="68">
        <v>0.54432142912043724</v>
      </c>
      <c r="AJ25" s="69">
        <v>291.47381021181747</v>
      </c>
      <c r="AK25" s="69">
        <v>902.51542952855436</v>
      </c>
      <c r="AL25" s="69">
        <v>2981.7996686299639</v>
      </c>
      <c r="AM25" s="69">
        <v>531.69919783274338</v>
      </c>
      <c r="AN25" s="69">
        <v>1080.0752563476563</v>
      </c>
      <c r="AO25" s="69">
        <v>2604.2532018025718</v>
      </c>
      <c r="AP25" s="69">
        <v>510.65209515889489</v>
      </c>
      <c r="AQ25" s="69">
        <v>2358.9740351359046</v>
      </c>
      <c r="AR25" s="69">
        <v>391.44246455828352</v>
      </c>
      <c r="AS25" s="69">
        <v>651.09869540532429</v>
      </c>
    </row>
    <row r="26" spans="1:45" x14ac:dyDescent="0.25">
      <c r="A26" s="11">
        <v>43209</v>
      </c>
      <c r="B26" s="59"/>
      <c r="C26" s="60">
        <v>95.388272897400867</v>
      </c>
      <c r="D26" s="60">
        <v>1052.6437646865845</v>
      </c>
      <c r="E26" s="60">
        <v>26.785884610811827</v>
      </c>
      <c r="F26" s="60">
        <v>0</v>
      </c>
      <c r="G26" s="60">
        <v>2565.6833166758247</v>
      </c>
      <c r="H26" s="61">
        <v>39.56669951677322</v>
      </c>
      <c r="I26" s="59">
        <v>173.38462981383012</v>
      </c>
      <c r="J26" s="60">
        <v>547.49488759040855</v>
      </c>
      <c r="K26" s="60">
        <v>29.913126088182182</v>
      </c>
      <c r="L26" s="60">
        <v>0</v>
      </c>
      <c r="M26" s="60">
        <v>0</v>
      </c>
      <c r="N26" s="61">
        <v>0</v>
      </c>
      <c r="O26" s="49">
        <v>0</v>
      </c>
      <c r="P26" s="60">
        <v>0</v>
      </c>
      <c r="Q26" s="50">
        <v>0</v>
      </c>
      <c r="R26" s="50">
        <v>0</v>
      </c>
      <c r="S26" s="60">
        <v>0</v>
      </c>
      <c r="T26" s="64">
        <v>0</v>
      </c>
      <c r="U26" s="65">
        <v>348.75477092474517</v>
      </c>
      <c r="V26" s="62">
        <v>219.51822866920295</v>
      </c>
      <c r="W26" s="62">
        <v>50.523135928231973</v>
      </c>
      <c r="X26" s="62">
        <v>31.800996661267259</v>
      </c>
      <c r="Y26" s="66">
        <v>156.3703721324317</v>
      </c>
      <c r="Z26" s="66">
        <v>98.424881804018241</v>
      </c>
      <c r="AA26" s="67">
        <v>0</v>
      </c>
      <c r="AB26" s="68">
        <v>113.08379107581284</v>
      </c>
      <c r="AC26" s="69">
        <v>0</v>
      </c>
      <c r="AD26" s="412">
        <v>12.388948402931465</v>
      </c>
      <c r="AE26" s="412">
        <v>7.7259692938823967</v>
      </c>
      <c r="AF26" s="69">
        <v>19.605190528101385</v>
      </c>
      <c r="AG26" s="68">
        <v>11.876502299547736</v>
      </c>
      <c r="AH26" s="68">
        <v>7.4754783731546466</v>
      </c>
      <c r="AI26" s="68">
        <v>0.61370990909992773</v>
      </c>
      <c r="AJ26" s="69">
        <v>286.05173150698346</v>
      </c>
      <c r="AK26" s="69">
        <v>889.33674478530872</v>
      </c>
      <c r="AL26" s="69">
        <v>2817.3041978200276</v>
      </c>
      <c r="AM26" s="69">
        <v>556.1411731084188</v>
      </c>
      <c r="AN26" s="69">
        <v>1080.0752563476563</v>
      </c>
      <c r="AO26" s="69">
        <v>2640.1534680684408</v>
      </c>
      <c r="AP26" s="69">
        <v>535.2186107317608</v>
      </c>
      <c r="AQ26" s="69">
        <v>2921.8739172617593</v>
      </c>
      <c r="AR26" s="69">
        <v>392.84547379811602</v>
      </c>
      <c r="AS26" s="69">
        <v>728.55108569463096</v>
      </c>
    </row>
    <row r="27" spans="1:45" x14ac:dyDescent="0.25">
      <c r="A27" s="11">
        <v>43210</v>
      </c>
      <c r="B27" s="59"/>
      <c r="C27" s="60">
        <v>95.143281785647957</v>
      </c>
      <c r="D27" s="60">
        <v>1063.1736107508357</v>
      </c>
      <c r="E27" s="60">
        <v>26.629798876245786</v>
      </c>
      <c r="F27" s="60">
        <v>0</v>
      </c>
      <c r="G27" s="60">
        <v>2656.3300173441698</v>
      </c>
      <c r="H27" s="61">
        <v>39.294048027197526</v>
      </c>
      <c r="I27" s="59">
        <v>128.88741850058247</v>
      </c>
      <c r="J27" s="60">
        <v>349.23975407282541</v>
      </c>
      <c r="K27" s="60">
        <v>18.964405492941516</v>
      </c>
      <c r="L27" s="60">
        <v>4.7206878662109375E-5</v>
      </c>
      <c r="M27" s="60">
        <v>0</v>
      </c>
      <c r="N27" s="61">
        <v>0</v>
      </c>
      <c r="O27" s="49">
        <v>0</v>
      </c>
      <c r="P27" s="60">
        <v>0</v>
      </c>
      <c r="Q27" s="50">
        <v>0</v>
      </c>
      <c r="R27" s="50">
        <v>0</v>
      </c>
      <c r="S27" s="60">
        <v>0</v>
      </c>
      <c r="T27" s="64">
        <v>0</v>
      </c>
      <c r="U27" s="65">
        <v>231.34735660406761</v>
      </c>
      <c r="V27" s="62">
        <v>238.978688538211</v>
      </c>
      <c r="W27" s="62">
        <v>30.917868576751836</v>
      </c>
      <c r="X27" s="62">
        <v>31.937739826930912</v>
      </c>
      <c r="Y27" s="62">
        <v>88.773002780056927</v>
      </c>
      <c r="Z27" s="62">
        <v>91.701310502909635</v>
      </c>
      <c r="AA27" s="72">
        <v>0</v>
      </c>
      <c r="AB27" s="69">
        <v>90.493872896830311</v>
      </c>
      <c r="AC27" s="69">
        <v>0</v>
      </c>
      <c r="AD27" s="412">
        <v>7.9026390196316196</v>
      </c>
      <c r="AE27" s="412">
        <v>7.7171486109466452</v>
      </c>
      <c r="AF27" s="69">
        <v>14.784187407294914</v>
      </c>
      <c r="AG27" s="69">
        <v>7.1942706925039372</v>
      </c>
      <c r="AH27" s="69">
        <v>7.4315842649798789</v>
      </c>
      <c r="AI27" s="69">
        <v>0.49188718973469264</v>
      </c>
      <c r="AJ27" s="69">
        <v>286.63070613543186</v>
      </c>
      <c r="AK27" s="69">
        <v>912.46258122126278</v>
      </c>
      <c r="AL27" s="69">
        <v>2935.1779384613037</v>
      </c>
      <c r="AM27" s="69">
        <v>498.17431640625</v>
      </c>
      <c r="AN27" s="69">
        <v>1080.0752563476563</v>
      </c>
      <c r="AO27" s="69">
        <v>2600.5974397023515</v>
      </c>
      <c r="AP27" s="69">
        <v>480.18501338958737</v>
      </c>
      <c r="AQ27" s="69">
        <v>2596.6767454147339</v>
      </c>
      <c r="AR27" s="69">
        <v>396.48480882644651</v>
      </c>
      <c r="AS27" s="69">
        <v>673.21509758631385</v>
      </c>
    </row>
    <row r="28" spans="1:45" x14ac:dyDescent="0.25">
      <c r="A28" s="11">
        <v>43211</v>
      </c>
      <c r="B28" s="59"/>
      <c r="C28" s="60">
        <v>94.961856730778905</v>
      </c>
      <c r="D28" s="60">
        <v>1029.0641389211023</v>
      </c>
      <c r="E28" s="60">
        <v>26.45174288650351</v>
      </c>
      <c r="F28" s="60">
        <v>0</v>
      </c>
      <c r="G28" s="60">
        <v>2263.325350570673</v>
      </c>
      <c r="H28" s="61">
        <v>39.173229628801309</v>
      </c>
      <c r="I28" s="59">
        <v>138.42310364643745</v>
      </c>
      <c r="J28" s="60">
        <v>346.47615841229788</v>
      </c>
      <c r="K28" s="60">
        <v>18.968916033705082</v>
      </c>
      <c r="L28" s="60">
        <v>4.7206878662109375E-5</v>
      </c>
      <c r="M28" s="60">
        <v>0</v>
      </c>
      <c r="N28" s="61">
        <v>0</v>
      </c>
      <c r="O28" s="49">
        <v>0</v>
      </c>
      <c r="P28" s="60">
        <v>0</v>
      </c>
      <c r="Q28" s="50">
        <v>0</v>
      </c>
      <c r="R28" s="50">
        <v>0</v>
      </c>
      <c r="S28" s="60">
        <v>0</v>
      </c>
      <c r="T28" s="64">
        <v>0</v>
      </c>
      <c r="U28" s="65">
        <v>236.59956510185481</v>
      </c>
      <c r="V28" s="62">
        <v>240.87686966936212</v>
      </c>
      <c r="W28" s="62">
        <v>32.623803279694599</v>
      </c>
      <c r="X28" s="62">
        <v>33.213584341708071</v>
      </c>
      <c r="Y28" s="66">
        <v>91.944101870806932</v>
      </c>
      <c r="Z28" s="66">
        <v>93.60628973965639</v>
      </c>
      <c r="AA28" s="67">
        <v>0</v>
      </c>
      <c r="AB28" s="68">
        <v>90.432430140177686</v>
      </c>
      <c r="AC28" s="69">
        <v>0</v>
      </c>
      <c r="AD28" s="412">
        <v>7.8504876253951483</v>
      </c>
      <c r="AE28" s="412">
        <v>7.7656928296731946</v>
      </c>
      <c r="AF28" s="69">
        <v>15.211699028478714</v>
      </c>
      <c r="AG28" s="68">
        <v>7.4101757197758609</v>
      </c>
      <c r="AH28" s="68">
        <v>7.5441386813670395</v>
      </c>
      <c r="AI28" s="68">
        <v>0.49552092600176512</v>
      </c>
      <c r="AJ28" s="69">
        <v>305.31633116404214</v>
      </c>
      <c r="AK28" s="69">
        <v>928.48124284744256</v>
      </c>
      <c r="AL28" s="69">
        <v>2678.6249794006349</v>
      </c>
      <c r="AM28" s="69">
        <v>440.11635793050129</v>
      </c>
      <c r="AN28" s="69">
        <v>5438.200073687236</v>
      </c>
      <c r="AO28" s="69">
        <v>2531.3490418752031</v>
      </c>
      <c r="AP28" s="69">
        <v>504.9228045622508</v>
      </c>
      <c r="AQ28" s="69">
        <v>2172.388244565328</v>
      </c>
      <c r="AR28" s="69">
        <v>406.41581085920336</v>
      </c>
      <c r="AS28" s="69">
        <v>573.90972951253252</v>
      </c>
    </row>
    <row r="29" spans="1:45" x14ac:dyDescent="0.25">
      <c r="A29" s="11">
        <v>43212</v>
      </c>
      <c r="B29" s="59"/>
      <c r="C29" s="60">
        <v>95.618529518445797</v>
      </c>
      <c r="D29" s="60">
        <v>1064.5475985209155</v>
      </c>
      <c r="E29" s="60">
        <v>26.950608247021847</v>
      </c>
      <c r="F29" s="60">
        <v>0</v>
      </c>
      <c r="G29" s="60">
        <v>2326.7035386403509</v>
      </c>
      <c r="H29" s="61">
        <v>38.878230492273921</v>
      </c>
      <c r="I29" s="59">
        <v>140.92854802608502</v>
      </c>
      <c r="J29" s="60">
        <v>349.74562751452197</v>
      </c>
      <c r="K29" s="60">
        <v>19.320454523960773</v>
      </c>
      <c r="L29" s="60">
        <v>1.8882751464843751E-5</v>
      </c>
      <c r="M29" s="60">
        <v>0</v>
      </c>
      <c r="N29" s="61">
        <v>0</v>
      </c>
      <c r="O29" s="49">
        <v>0</v>
      </c>
      <c r="P29" s="60">
        <v>0</v>
      </c>
      <c r="Q29" s="50">
        <v>0</v>
      </c>
      <c r="R29" s="50">
        <v>0</v>
      </c>
      <c r="S29" s="60">
        <v>0</v>
      </c>
      <c r="T29" s="64">
        <v>0</v>
      </c>
      <c r="U29" s="65">
        <v>232.72077808591266</v>
      </c>
      <c r="V29" s="62">
        <v>240.16368412230386</v>
      </c>
      <c r="W29" s="62">
        <v>31.992407794346118</v>
      </c>
      <c r="X29" s="62">
        <v>33.015593119909632</v>
      </c>
      <c r="Y29" s="66">
        <v>86.852052007112931</v>
      </c>
      <c r="Z29" s="66">
        <v>89.629765572156387</v>
      </c>
      <c r="AA29" s="67">
        <v>0</v>
      </c>
      <c r="AB29" s="68">
        <v>91.689928510454266</v>
      </c>
      <c r="AC29" s="69">
        <v>0</v>
      </c>
      <c r="AD29" s="412">
        <v>7.9180969824944833</v>
      </c>
      <c r="AE29" s="412">
        <v>7.7817807551275084</v>
      </c>
      <c r="AF29" s="69">
        <v>14.961526824368342</v>
      </c>
      <c r="AG29" s="68">
        <v>7.2811020013852952</v>
      </c>
      <c r="AH29" s="68">
        <v>7.5139671476924503</v>
      </c>
      <c r="AI29" s="68">
        <v>0.49213031233714544</v>
      </c>
      <c r="AJ29" s="69">
        <v>288.55483358701071</v>
      </c>
      <c r="AK29" s="69">
        <v>889.99247919718414</v>
      </c>
      <c r="AL29" s="69">
        <v>2876.2424854278561</v>
      </c>
      <c r="AM29" s="69">
        <v>561.99302673339844</v>
      </c>
      <c r="AN29" s="69">
        <v>6935.5927734375</v>
      </c>
      <c r="AO29" s="69">
        <v>2610.1066705067942</v>
      </c>
      <c r="AP29" s="69">
        <v>490.45906651814772</v>
      </c>
      <c r="AQ29" s="69">
        <v>2168.8204945882162</v>
      </c>
      <c r="AR29" s="69">
        <v>404.77734416325893</v>
      </c>
      <c r="AS29" s="69">
        <v>587.96123301188152</v>
      </c>
    </row>
    <row r="30" spans="1:45" x14ac:dyDescent="0.25">
      <c r="A30" s="11">
        <v>43213</v>
      </c>
      <c r="B30" s="59"/>
      <c r="C30" s="60">
        <v>95.714388060570101</v>
      </c>
      <c r="D30" s="60">
        <v>1087.0431476593028</v>
      </c>
      <c r="E30" s="60">
        <v>27.162339212497159</v>
      </c>
      <c r="F30" s="60">
        <v>0</v>
      </c>
      <c r="G30" s="60">
        <v>2502.7367673238141</v>
      </c>
      <c r="H30" s="61">
        <v>39.302216370900453</v>
      </c>
      <c r="I30" s="59">
        <v>139.72935743331931</v>
      </c>
      <c r="J30" s="60">
        <v>346.75469458897976</v>
      </c>
      <c r="K30" s="60">
        <v>19.347800057133046</v>
      </c>
      <c r="L30" s="60">
        <v>3.7765502929687484E-4</v>
      </c>
      <c r="M30" s="60">
        <v>0</v>
      </c>
      <c r="N30" s="61">
        <v>0</v>
      </c>
      <c r="O30" s="49">
        <v>0</v>
      </c>
      <c r="P30" s="60">
        <v>0</v>
      </c>
      <c r="Q30" s="50">
        <v>0</v>
      </c>
      <c r="R30" s="50">
        <v>0</v>
      </c>
      <c r="S30" s="60">
        <v>0</v>
      </c>
      <c r="T30" s="64">
        <v>0</v>
      </c>
      <c r="U30" s="65">
        <v>234.0004559975265</v>
      </c>
      <c r="V30" s="62">
        <v>234.82783205958847</v>
      </c>
      <c r="W30" s="62">
        <v>31.809517733578094</v>
      </c>
      <c r="X30" s="62">
        <v>31.921989452516868</v>
      </c>
      <c r="Y30" s="66">
        <v>87.061430123131288</v>
      </c>
      <c r="Z30" s="66">
        <v>87.369260904510284</v>
      </c>
      <c r="AA30" s="67">
        <v>0</v>
      </c>
      <c r="AB30" s="68">
        <v>91.951147800019982</v>
      </c>
      <c r="AC30" s="69">
        <v>0</v>
      </c>
      <c r="AD30" s="412">
        <v>7.8495723724611093</v>
      </c>
      <c r="AE30" s="412">
        <v>7.7656435279240092</v>
      </c>
      <c r="AF30" s="69">
        <v>14.978832529319657</v>
      </c>
      <c r="AG30" s="68">
        <v>7.3959987285461297</v>
      </c>
      <c r="AH30" s="68">
        <v>7.4221494139238731</v>
      </c>
      <c r="AI30" s="68">
        <v>0.4991176129052593</v>
      </c>
      <c r="AJ30" s="69">
        <v>261.62842604319252</v>
      </c>
      <c r="AK30" s="69">
        <v>865.09356470108048</v>
      </c>
      <c r="AL30" s="69">
        <v>2877.2663523356118</v>
      </c>
      <c r="AM30" s="69">
        <v>513.64015054702759</v>
      </c>
      <c r="AN30" s="69">
        <v>6935.5927734375</v>
      </c>
      <c r="AO30" s="69">
        <v>2620.1818375905359</v>
      </c>
      <c r="AP30" s="69">
        <v>476.73666877746575</v>
      </c>
      <c r="AQ30" s="69">
        <v>2142.5700818379719</v>
      </c>
      <c r="AR30" s="69">
        <v>396.13785591125492</v>
      </c>
      <c r="AS30" s="69">
        <v>744.19357671737669</v>
      </c>
    </row>
    <row r="31" spans="1:45" x14ac:dyDescent="0.25">
      <c r="A31" s="11">
        <v>43214</v>
      </c>
      <c r="B31" s="59"/>
      <c r="C31" s="60">
        <v>94.707134652137682</v>
      </c>
      <c r="D31" s="60">
        <v>1081.7813667933158</v>
      </c>
      <c r="E31" s="60">
        <v>26.957867567241216</v>
      </c>
      <c r="F31" s="60">
        <v>0</v>
      </c>
      <c r="G31" s="60">
        <v>2568.1995566050277</v>
      </c>
      <c r="H31" s="61">
        <v>38.371147636572481</v>
      </c>
      <c r="I31" s="59">
        <v>139.63437434037533</v>
      </c>
      <c r="J31" s="60">
        <v>346.43827981948908</v>
      </c>
      <c r="K31" s="60">
        <v>19.302738507588685</v>
      </c>
      <c r="L31" s="60">
        <v>3.0306816101074389E-3</v>
      </c>
      <c r="M31" s="60">
        <v>0</v>
      </c>
      <c r="N31" s="61">
        <v>0</v>
      </c>
      <c r="O31" s="49">
        <v>0</v>
      </c>
      <c r="P31" s="60">
        <v>0</v>
      </c>
      <c r="Q31" s="50">
        <v>0</v>
      </c>
      <c r="R31" s="50">
        <v>0</v>
      </c>
      <c r="S31" s="60">
        <v>0</v>
      </c>
      <c r="T31" s="64">
        <v>0</v>
      </c>
      <c r="U31" s="65">
        <v>230.14816746872617</v>
      </c>
      <c r="V31" s="62">
        <v>237.85155138808602</v>
      </c>
      <c r="W31" s="62">
        <v>31.8021545430509</v>
      </c>
      <c r="X31" s="62">
        <v>32.866617530535798</v>
      </c>
      <c r="Y31" s="66">
        <v>85.340947461318791</v>
      </c>
      <c r="Z31" s="66">
        <v>88.197429394531611</v>
      </c>
      <c r="AA31" s="67">
        <v>0</v>
      </c>
      <c r="AB31" s="68">
        <v>91.637326410081812</v>
      </c>
      <c r="AC31" s="69">
        <v>0</v>
      </c>
      <c r="AD31" s="412">
        <v>7.8428398215762201</v>
      </c>
      <c r="AE31" s="412">
        <v>7.6875157924886937</v>
      </c>
      <c r="AF31" s="69">
        <v>15.226613435480335</v>
      </c>
      <c r="AG31" s="68">
        <v>7.4031592182562838</v>
      </c>
      <c r="AH31" s="68">
        <v>7.6509534036352553</v>
      </c>
      <c r="AI31" s="68">
        <v>0.49176988403093813</v>
      </c>
      <c r="AJ31" s="69">
        <v>262.14131507873537</v>
      </c>
      <c r="AK31" s="69">
        <v>894.04002847671518</v>
      </c>
      <c r="AL31" s="69">
        <v>3274.7373074849447</v>
      </c>
      <c r="AM31" s="69">
        <v>528.87183698018396</v>
      </c>
      <c r="AN31" s="69">
        <v>6935.5927734375</v>
      </c>
      <c r="AO31" s="69">
        <v>2669.1248120625814</v>
      </c>
      <c r="AP31" s="69">
        <v>491.74320259094253</v>
      </c>
      <c r="AQ31" s="69">
        <v>2143.5366330464676</v>
      </c>
      <c r="AR31" s="69">
        <v>406.60283670425412</v>
      </c>
      <c r="AS31" s="69">
        <v>667.31336463292439</v>
      </c>
    </row>
    <row r="32" spans="1:45" x14ac:dyDescent="0.25">
      <c r="A32" s="11">
        <v>43215</v>
      </c>
      <c r="B32" s="59"/>
      <c r="C32" s="60">
        <v>93.852065761883381</v>
      </c>
      <c r="D32" s="60">
        <v>1071.1787074406959</v>
      </c>
      <c r="E32" s="60">
        <v>26.787318856517484</v>
      </c>
      <c r="F32" s="60">
        <v>0</v>
      </c>
      <c r="G32" s="60">
        <v>2525.5081740061455</v>
      </c>
      <c r="H32" s="61">
        <v>38.939335328340483</v>
      </c>
      <c r="I32" s="59">
        <v>139.79437838395449</v>
      </c>
      <c r="J32" s="60">
        <v>346.75405298868884</v>
      </c>
      <c r="K32" s="60">
        <v>19.301641571521799</v>
      </c>
      <c r="L32" s="60">
        <v>8.7804794311523301E-4</v>
      </c>
      <c r="M32" s="60">
        <v>0</v>
      </c>
      <c r="N32" s="61">
        <v>0</v>
      </c>
      <c r="O32" s="49">
        <v>0</v>
      </c>
      <c r="P32" s="60">
        <v>0</v>
      </c>
      <c r="Q32" s="50">
        <v>0</v>
      </c>
      <c r="R32" s="50">
        <v>0</v>
      </c>
      <c r="S32" s="60">
        <v>0</v>
      </c>
      <c r="T32" s="64">
        <v>0</v>
      </c>
      <c r="U32" s="65">
        <v>228.66661815200985</v>
      </c>
      <c r="V32" s="62">
        <v>236.1895855841895</v>
      </c>
      <c r="W32" s="62">
        <v>31.514946933003028</v>
      </c>
      <c r="X32" s="62">
        <v>32.551766042499132</v>
      </c>
      <c r="Y32" s="66">
        <v>86.131590946305195</v>
      </c>
      <c r="Z32" s="66">
        <v>88.965258399855983</v>
      </c>
      <c r="AA32" s="67">
        <v>0</v>
      </c>
      <c r="AB32" s="68">
        <v>91.055233102373819</v>
      </c>
      <c r="AC32" s="69">
        <v>0</v>
      </c>
      <c r="AD32" s="412">
        <v>7.8489323985057737</v>
      </c>
      <c r="AE32" s="412">
        <v>7.6521005906017097</v>
      </c>
      <c r="AF32" s="69">
        <v>15.160795499881122</v>
      </c>
      <c r="AG32" s="68">
        <v>7.3747493449236003</v>
      </c>
      <c r="AH32" s="68">
        <v>7.6173732993543579</v>
      </c>
      <c r="AI32" s="68">
        <v>0.49190828543137088</v>
      </c>
      <c r="AJ32" s="69">
        <v>254.97047896385192</v>
      </c>
      <c r="AK32" s="69">
        <v>883.28194837570197</v>
      </c>
      <c r="AL32" s="69">
        <v>2890.2658298492429</v>
      </c>
      <c r="AM32" s="69">
        <v>564.24819946289063</v>
      </c>
      <c r="AN32" s="69">
        <v>6935.5927734375</v>
      </c>
      <c r="AO32" s="69">
        <v>2703.1086942036945</v>
      </c>
      <c r="AP32" s="69">
        <v>490.95692372322094</v>
      </c>
      <c r="AQ32" s="69">
        <v>2162.6137495676676</v>
      </c>
      <c r="AR32" s="69">
        <v>406.47083883285524</v>
      </c>
      <c r="AS32" s="69">
        <v>716.4694545745848</v>
      </c>
    </row>
    <row r="33" spans="1:45" x14ac:dyDescent="0.25">
      <c r="A33" s="11">
        <v>43216</v>
      </c>
      <c r="B33" s="59"/>
      <c r="C33" s="60">
        <v>94.701324828466014</v>
      </c>
      <c r="D33" s="60">
        <v>1072.0803216298418</v>
      </c>
      <c r="E33" s="60">
        <v>24.410035887360642</v>
      </c>
      <c r="F33" s="60">
        <v>0</v>
      </c>
      <c r="G33" s="60">
        <v>2478.6315157572612</v>
      </c>
      <c r="H33" s="61">
        <v>38.46530198852227</v>
      </c>
      <c r="I33" s="59">
        <v>143.34473500251792</v>
      </c>
      <c r="J33" s="60">
        <v>356.78795439402279</v>
      </c>
      <c r="K33" s="60">
        <v>19.649174188574126</v>
      </c>
      <c r="L33" s="60">
        <v>1.4539718627929715E-3</v>
      </c>
      <c r="M33" s="60">
        <v>0</v>
      </c>
      <c r="N33" s="61">
        <v>0</v>
      </c>
      <c r="O33" s="49">
        <v>0</v>
      </c>
      <c r="P33" s="60">
        <v>0</v>
      </c>
      <c r="Q33" s="50">
        <v>0</v>
      </c>
      <c r="R33" s="50">
        <v>0</v>
      </c>
      <c r="S33" s="60">
        <v>0</v>
      </c>
      <c r="T33" s="64">
        <v>0</v>
      </c>
      <c r="U33" s="65">
        <v>229.19753773087376</v>
      </c>
      <c r="V33" s="62">
        <v>234.5278692973248</v>
      </c>
      <c r="W33" s="62">
        <v>31.566688900425227</v>
      </c>
      <c r="X33" s="62">
        <v>32.300819467272113</v>
      </c>
      <c r="Y33" s="66">
        <v>85.087345128609698</v>
      </c>
      <c r="Z33" s="66">
        <v>87.066178610569253</v>
      </c>
      <c r="AA33" s="67">
        <v>0</v>
      </c>
      <c r="AB33" s="68">
        <v>92.335505761039954</v>
      </c>
      <c r="AC33" s="69">
        <v>0</v>
      </c>
      <c r="AD33" s="412">
        <v>8.0755896762775361</v>
      </c>
      <c r="AE33" s="412">
        <v>7.6590158967673823</v>
      </c>
      <c r="AF33" s="69">
        <v>15.112985404994747</v>
      </c>
      <c r="AG33" s="68">
        <v>7.3759575530399468</v>
      </c>
      <c r="AH33" s="68">
        <v>7.5474964786628638</v>
      </c>
      <c r="AI33" s="68">
        <v>0.49425270700541224</v>
      </c>
      <c r="AJ33" s="69">
        <v>251.82625010808312</v>
      </c>
      <c r="AK33" s="69">
        <v>860.87089049021404</v>
      </c>
      <c r="AL33" s="69">
        <v>2805.0010527292884</v>
      </c>
      <c r="AM33" s="69">
        <v>564.24819946289063</v>
      </c>
      <c r="AN33" s="69">
        <v>6935.5927734375</v>
      </c>
      <c r="AO33" s="69">
        <v>2626.5656158447268</v>
      </c>
      <c r="AP33" s="69">
        <v>458.03870447476697</v>
      </c>
      <c r="AQ33" s="69">
        <v>2141.4912425994871</v>
      </c>
      <c r="AR33" s="69">
        <v>395.44556285540261</v>
      </c>
      <c r="AS33" s="69">
        <v>601.80502948761</v>
      </c>
    </row>
    <row r="34" spans="1:45" x14ac:dyDescent="0.25">
      <c r="A34" s="11">
        <v>43217</v>
      </c>
      <c r="B34" s="59"/>
      <c r="C34" s="60">
        <v>93.783297554652123</v>
      </c>
      <c r="D34" s="60">
        <v>1071.8440523147613</v>
      </c>
      <c r="E34" s="60">
        <v>23.001262101034371</v>
      </c>
      <c r="F34" s="60">
        <v>0</v>
      </c>
      <c r="G34" s="60">
        <v>2769.0859086354567</v>
      </c>
      <c r="H34" s="61">
        <v>38.092646078268743</v>
      </c>
      <c r="I34" s="59">
        <v>147.99784144560493</v>
      </c>
      <c r="J34" s="60">
        <v>376.67255001068145</v>
      </c>
      <c r="K34" s="60">
        <v>20.659951401750263</v>
      </c>
      <c r="L34" s="60">
        <v>1.6144752502441448E-3</v>
      </c>
      <c r="M34" s="60">
        <v>0</v>
      </c>
      <c r="N34" s="61">
        <v>0</v>
      </c>
      <c r="O34" s="49">
        <v>0</v>
      </c>
      <c r="P34" s="60">
        <v>0</v>
      </c>
      <c r="Q34" s="50">
        <v>0</v>
      </c>
      <c r="R34" s="50">
        <v>0</v>
      </c>
      <c r="S34" s="60">
        <v>0</v>
      </c>
      <c r="T34" s="64">
        <v>0</v>
      </c>
      <c r="U34" s="65">
        <v>247.60261210022489</v>
      </c>
      <c r="V34" s="62">
        <v>234.86632874060464</v>
      </c>
      <c r="W34" s="62">
        <v>34.445148229226156</v>
      </c>
      <c r="X34" s="62">
        <v>32.673344755545649</v>
      </c>
      <c r="Y34" s="66">
        <v>90.882491211184018</v>
      </c>
      <c r="Z34" s="66">
        <v>86.2076408504564</v>
      </c>
      <c r="AA34" s="67">
        <v>0</v>
      </c>
      <c r="AB34" s="68">
        <v>94.63913148773976</v>
      </c>
      <c r="AC34" s="69">
        <v>0</v>
      </c>
      <c r="AD34" s="412">
        <v>8.5268169853902034</v>
      </c>
      <c r="AE34" s="412">
        <v>7.6574386096778939</v>
      </c>
      <c r="AF34" s="69">
        <v>15.920564581950504</v>
      </c>
      <c r="AG34" s="68">
        <v>8.0841549239873345</v>
      </c>
      <c r="AH34" s="68">
        <v>7.6683188915576963</v>
      </c>
      <c r="AI34" s="68">
        <v>0.51319907073958371</v>
      </c>
      <c r="AJ34" s="69">
        <v>236.88801819483442</v>
      </c>
      <c r="AK34" s="69">
        <v>846.70042753219616</v>
      </c>
      <c r="AL34" s="69">
        <v>2880.0463628133134</v>
      </c>
      <c r="AM34" s="69">
        <v>564.24819946289063</v>
      </c>
      <c r="AN34" s="69">
        <v>6935.5927734375</v>
      </c>
      <c r="AO34" s="69">
        <v>2593.8266114552816</v>
      </c>
      <c r="AP34" s="69">
        <v>471.78225331306459</v>
      </c>
      <c r="AQ34" s="69">
        <v>2208.837693786621</v>
      </c>
      <c r="AR34" s="69">
        <v>397.309163014094</v>
      </c>
      <c r="AS34" s="69">
        <v>770.53685976664224</v>
      </c>
    </row>
    <row r="35" spans="1:45" x14ac:dyDescent="0.25">
      <c r="A35" s="11">
        <v>43218</v>
      </c>
      <c r="B35" s="59"/>
      <c r="C35" s="60">
        <v>94.414061399301161</v>
      </c>
      <c r="D35" s="60">
        <v>1069.7897386709865</v>
      </c>
      <c r="E35" s="60">
        <v>22.869666195412513</v>
      </c>
      <c r="F35" s="60">
        <v>0</v>
      </c>
      <c r="G35" s="60">
        <v>2800.5950776418031</v>
      </c>
      <c r="H35" s="61">
        <v>38.224629561106383</v>
      </c>
      <c r="I35" s="59">
        <v>152.44671565294274</v>
      </c>
      <c r="J35" s="60">
        <v>394.09713077545143</v>
      </c>
      <c r="K35" s="60">
        <v>21.512112023433072</v>
      </c>
      <c r="L35" s="60">
        <v>1.1896133422851566E-3</v>
      </c>
      <c r="M35" s="60">
        <v>0</v>
      </c>
      <c r="N35" s="61">
        <v>0</v>
      </c>
      <c r="O35" s="49">
        <v>0</v>
      </c>
      <c r="P35" s="60">
        <v>0</v>
      </c>
      <c r="Q35" s="50">
        <v>0</v>
      </c>
      <c r="R35" s="50">
        <v>0</v>
      </c>
      <c r="S35" s="60">
        <v>0</v>
      </c>
      <c r="T35" s="64">
        <v>0</v>
      </c>
      <c r="U35" s="65">
        <v>250.36266149664681</v>
      </c>
      <c r="V35" s="62">
        <v>228.11401866556935</v>
      </c>
      <c r="W35" s="62">
        <v>35.136992352342531</v>
      </c>
      <c r="X35" s="62">
        <v>32.014520381752618</v>
      </c>
      <c r="Y35" s="66">
        <v>100.74240240528093</v>
      </c>
      <c r="Z35" s="66">
        <v>91.789862455190189</v>
      </c>
      <c r="AA35" s="67">
        <v>0</v>
      </c>
      <c r="AB35" s="68">
        <v>96.554865121841829</v>
      </c>
      <c r="AC35" s="69">
        <v>0</v>
      </c>
      <c r="AD35" s="412">
        <v>8.9249687254019641</v>
      </c>
      <c r="AE35" s="412">
        <v>7.657924205279909</v>
      </c>
      <c r="AF35" s="69">
        <v>16.255849465727806</v>
      </c>
      <c r="AG35" s="68">
        <v>8.3054816593186107</v>
      </c>
      <c r="AH35" s="68">
        <v>7.5674095607332568</v>
      </c>
      <c r="AI35" s="68">
        <v>0.52324945368657738</v>
      </c>
      <c r="AJ35" s="69">
        <v>226.09687452316282</v>
      </c>
      <c r="AK35" s="69">
        <v>830.66523698170988</v>
      </c>
      <c r="AL35" s="69">
        <v>2924.8433968861896</v>
      </c>
      <c r="AM35" s="69">
        <v>419.96250188350677</v>
      </c>
      <c r="AN35" s="69">
        <v>4778.524361991882</v>
      </c>
      <c r="AO35" s="69">
        <v>2534.2615629831948</v>
      </c>
      <c r="AP35" s="69">
        <v>486.14196046193433</v>
      </c>
      <c r="AQ35" s="69">
        <v>2417.3236555099484</v>
      </c>
      <c r="AR35" s="69">
        <v>391.84121030171707</v>
      </c>
      <c r="AS35" s="69">
        <v>731.45769971211757</v>
      </c>
    </row>
    <row r="36" spans="1:45" x14ac:dyDescent="0.25">
      <c r="A36" s="11">
        <v>43219</v>
      </c>
      <c r="B36" s="59"/>
      <c r="C36" s="60">
        <v>94.577894679705437</v>
      </c>
      <c r="D36" s="60">
        <v>1071.6743047714244</v>
      </c>
      <c r="E36" s="60">
        <v>22.835891063014671</v>
      </c>
      <c r="F36" s="60">
        <v>0</v>
      </c>
      <c r="G36" s="60">
        <v>2881.2843818664687</v>
      </c>
      <c r="H36" s="61">
        <v>38.374411755800274</v>
      </c>
      <c r="I36" s="59">
        <v>149.14155491193134</v>
      </c>
      <c r="J36" s="60">
        <v>390.99657069842067</v>
      </c>
      <c r="K36" s="60">
        <v>21.346632132927581</v>
      </c>
      <c r="L36" s="60">
        <v>2.3603439331054696E-4</v>
      </c>
      <c r="M36" s="60">
        <v>0</v>
      </c>
      <c r="N36" s="61">
        <v>0</v>
      </c>
      <c r="O36" s="49">
        <v>0</v>
      </c>
      <c r="P36" s="60">
        <v>0</v>
      </c>
      <c r="Q36" s="50">
        <v>0</v>
      </c>
      <c r="R36" s="50">
        <v>0</v>
      </c>
      <c r="S36" s="60">
        <v>0</v>
      </c>
      <c r="T36" s="64">
        <v>0</v>
      </c>
      <c r="U36" s="65">
        <v>253.26965393749555</v>
      </c>
      <c r="V36" s="62">
        <v>230.90826515362431</v>
      </c>
      <c r="W36" s="62">
        <v>35.067932560198813</v>
      </c>
      <c r="X36" s="62">
        <v>31.971755573994585</v>
      </c>
      <c r="Y36" s="66">
        <v>102.93489830385867</v>
      </c>
      <c r="Z36" s="66">
        <v>93.846690361785662</v>
      </c>
      <c r="AA36" s="67">
        <v>0</v>
      </c>
      <c r="AB36" s="68">
        <v>96.233782868915057</v>
      </c>
      <c r="AC36" s="69">
        <v>0</v>
      </c>
      <c r="AD36" s="412">
        <v>8.8502180681023361</v>
      </c>
      <c r="AE36" s="412">
        <v>7.6557954873616003</v>
      </c>
      <c r="AF36" s="69">
        <v>16.325981353388908</v>
      </c>
      <c r="AG36" s="68">
        <v>8.4318176140961594</v>
      </c>
      <c r="AH36" s="68">
        <v>7.6873654111092602</v>
      </c>
      <c r="AI36" s="68">
        <v>0.52309211955167967</v>
      </c>
      <c r="AJ36" s="69">
        <v>227.71325192451476</v>
      </c>
      <c r="AK36" s="69">
        <v>841.15640233357749</v>
      </c>
      <c r="AL36" s="69">
        <v>2947.5269224802655</v>
      </c>
      <c r="AM36" s="69">
        <v>321.43512251377103</v>
      </c>
      <c r="AN36" s="69">
        <v>1041.5158996582031</v>
      </c>
      <c r="AO36" s="69">
        <v>2544.6226023356121</v>
      </c>
      <c r="AP36" s="69">
        <v>503.13277435302746</v>
      </c>
      <c r="AQ36" s="69">
        <v>2692.3718704223629</v>
      </c>
      <c r="AR36" s="69">
        <v>398.29365139007569</v>
      </c>
      <c r="AS36" s="69">
        <v>797.90977236429842</v>
      </c>
    </row>
    <row r="37" spans="1:45" x14ac:dyDescent="0.25">
      <c r="A37" s="11">
        <v>43220</v>
      </c>
      <c r="B37" s="59"/>
      <c r="C37" s="60">
        <v>94.161438433329423</v>
      </c>
      <c r="D37" s="60">
        <v>1072.3621271133436</v>
      </c>
      <c r="E37" s="60">
        <v>22.729587646325459</v>
      </c>
      <c r="F37" s="60">
        <v>0</v>
      </c>
      <c r="G37" s="60">
        <v>2905.6409861246821</v>
      </c>
      <c r="H37" s="61">
        <v>38.907962310314169</v>
      </c>
      <c r="I37" s="59">
        <v>128.37739486694335</v>
      </c>
      <c r="J37" s="60">
        <v>398.15922276179003</v>
      </c>
      <c r="K37" s="60">
        <v>21.945558441678738</v>
      </c>
      <c r="L37" s="60">
        <v>0</v>
      </c>
      <c r="M37" s="60">
        <v>0</v>
      </c>
      <c r="N37" s="61">
        <v>0</v>
      </c>
      <c r="O37" s="49">
        <v>0</v>
      </c>
      <c r="P37" s="60">
        <v>0</v>
      </c>
      <c r="Q37" s="50">
        <v>0</v>
      </c>
      <c r="R37" s="50">
        <v>0</v>
      </c>
      <c r="S37" s="60">
        <v>0</v>
      </c>
      <c r="T37" s="64">
        <v>0</v>
      </c>
      <c r="U37" s="65">
        <v>261.24735989686616</v>
      </c>
      <c r="V37" s="62">
        <v>232.27716932710683</v>
      </c>
      <c r="W37" s="62">
        <v>36.059392388254984</v>
      </c>
      <c r="X37" s="62">
        <v>32.060701378593201</v>
      </c>
      <c r="Y37" s="66">
        <v>100.88670376669079</v>
      </c>
      <c r="Z37" s="66">
        <v>89.699195363812763</v>
      </c>
      <c r="AA37" s="67">
        <v>0</v>
      </c>
      <c r="AB37" s="68">
        <v>96.984271600509828</v>
      </c>
      <c r="AC37" s="69">
        <v>0</v>
      </c>
      <c r="AD37" s="412">
        <v>9.012851579759726</v>
      </c>
      <c r="AE37" s="412">
        <v>7.6614968838290327</v>
      </c>
      <c r="AF37" s="69">
        <v>16.53208402097227</v>
      </c>
      <c r="AG37" s="68">
        <v>8.6555830785374219</v>
      </c>
      <c r="AH37" s="68">
        <v>7.6957498715086352</v>
      </c>
      <c r="AI37" s="68">
        <v>0.52935030464981403</v>
      </c>
      <c r="AJ37" s="69">
        <v>234.9637379169464</v>
      </c>
      <c r="AK37" s="69">
        <v>846.90540908177695</v>
      </c>
      <c r="AL37" s="69">
        <v>2908.748832066854</v>
      </c>
      <c r="AM37" s="69">
        <v>473.13263964653009</v>
      </c>
      <c r="AN37" s="69">
        <v>4467.5652876536051</v>
      </c>
      <c r="AO37" s="69">
        <v>2593.2824579874678</v>
      </c>
      <c r="AP37" s="69">
        <v>503.43341997464501</v>
      </c>
      <c r="AQ37" s="69">
        <v>2451.9749933878584</v>
      </c>
      <c r="AR37" s="69">
        <v>393.88613169987997</v>
      </c>
      <c r="AS37" s="69">
        <v>784.44600976308186</v>
      </c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12"/>
      <c r="AE38" s="412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2744.1368034561501</v>
      </c>
      <c r="D39" s="30">
        <f t="shared" si="0"/>
        <v>31241.296281862284</v>
      </c>
      <c r="E39" s="30">
        <f t="shared" si="0"/>
        <v>755.17456435312852</v>
      </c>
      <c r="F39" s="30">
        <f t="shared" si="0"/>
        <v>0</v>
      </c>
      <c r="G39" s="30">
        <f t="shared" si="0"/>
        <v>81078.733029937881</v>
      </c>
      <c r="H39" s="31">
        <f t="shared" si="0"/>
        <v>1118.0927413284785</v>
      </c>
      <c r="I39" s="29">
        <f t="shared" si="0"/>
        <v>3774.3562829136858</v>
      </c>
      <c r="J39" s="30">
        <f t="shared" si="0"/>
        <v>10503.627564620983</v>
      </c>
      <c r="K39" s="30">
        <f t="shared" si="0"/>
        <v>574.79294990201799</v>
      </c>
      <c r="L39" s="30">
        <f t="shared" si="0"/>
        <v>8.9409828186035375E-3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6967.09521428277</v>
      </c>
      <c r="V39" s="262">
        <f t="shared" si="0"/>
        <v>6868.0787586311999</v>
      </c>
      <c r="W39" s="262">
        <f t="shared" si="0"/>
        <v>946.79586620178293</v>
      </c>
      <c r="X39" s="262">
        <f t="shared" si="0"/>
        <v>931.50403134578005</v>
      </c>
      <c r="Y39" s="262">
        <f t="shared" si="0"/>
        <v>2795.6954178103824</v>
      </c>
      <c r="Z39" s="262">
        <f t="shared" si="0"/>
        <v>2749.9467921009668</v>
      </c>
      <c r="AA39" s="270">
        <f t="shared" si="0"/>
        <v>0</v>
      </c>
      <c r="AB39" s="273">
        <f t="shared" si="0"/>
        <v>2504.3250093380575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8344.3084083875037</v>
      </c>
      <c r="AK39" s="273">
        <f t="shared" si="1"/>
        <v>27694.053354263306</v>
      </c>
      <c r="AL39" s="273">
        <f t="shared" si="1"/>
        <v>87326.955503082281</v>
      </c>
      <c r="AM39" s="273">
        <f t="shared" si="1"/>
        <v>13567.361019786198</v>
      </c>
      <c r="AN39" s="273">
        <f t="shared" si="1"/>
        <v>78940.867390569052</v>
      </c>
      <c r="AO39" s="273">
        <f t="shared" si="1"/>
        <v>78095.761384709695</v>
      </c>
      <c r="AP39" s="273">
        <f t="shared" si="1"/>
        <v>14953.189265426003</v>
      </c>
      <c r="AQ39" s="273">
        <f t="shared" si="1"/>
        <v>64797.329974365231</v>
      </c>
      <c r="AR39" s="273">
        <f t="shared" si="1"/>
        <v>12222.803502150373</v>
      </c>
      <c r="AS39" s="273">
        <f t="shared" si="1"/>
        <v>20754.929605070749</v>
      </c>
    </row>
    <row r="40" spans="1:45" ht="15.75" thickBot="1" x14ac:dyDescent="0.3">
      <c r="A40" s="47" t="s">
        <v>172</v>
      </c>
      <c r="B40" s="32">
        <f>Projection!$AB$30</f>
        <v>0.82128400199999985</v>
      </c>
      <c r="C40" s="33">
        <f>Projection!$AB$28</f>
        <v>1.2667292399999999</v>
      </c>
      <c r="D40" s="33">
        <f>Projection!$AB$31</f>
        <v>3.0824639999999999</v>
      </c>
      <c r="E40" s="33">
        <f>Projection!$AB$26</f>
        <v>3.9898560000000005</v>
      </c>
      <c r="F40" s="33">
        <f>Projection!$AB$23</f>
        <v>0</v>
      </c>
      <c r="G40" s="33">
        <f>Projection!$AB$24</f>
        <v>5.5265000000000002E-2</v>
      </c>
      <c r="H40" s="34">
        <f>Projection!$AB$29</f>
        <v>3.5497125</v>
      </c>
      <c r="I40" s="32">
        <f>Projection!$AB$30</f>
        <v>0.82128400199999985</v>
      </c>
      <c r="J40" s="33">
        <f>Projection!$AB$28</f>
        <v>1.2667292399999999</v>
      </c>
      <c r="K40" s="33">
        <f>Projection!$AB$26</f>
        <v>3.9898560000000005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1.2667292399999999</v>
      </c>
      <c r="T40" s="38">
        <f>Projection!$AB$28</f>
        <v>1.2667292399999999</v>
      </c>
      <c r="U40" s="26">
        <f>Projection!$AB$27</f>
        <v>0.29460000000000003</v>
      </c>
      <c r="V40" s="27">
        <f>Projection!$AB$27</f>
        <v>0.29460000000000003</v>
      </c>
      <c r="W40" s="27">
        <f>Projection!$AB$22</f>
        <v>0.74349432000000004</v>
      </c>
      <c r="X40" s="27">
        <f>Projection!$AB$22</f>
        <v>0.74349432000000004</v>
      </c>
      <c r="Y40" s="27">
        <f>Projection!$AB$31</f>
        <v>3.0824639999999999</v>
      </c>
      <c r="Z40" s="27">
        <f>Projection!$AB$31</f>
        <v>3.0824639999999999</v>
      </c>
      <c r="AA40" s="28">
        <v>0</v>
      </c>
      <c r="AB40" s="41">
        <f>Projection!$AB$27</f>
        <v>0.29460000000000003</v>
      </c>
      <c r="AC40" s="41">
        <f>Projection!$AB$30</f>
        <v>0.82128400199999985</v>
      </c>
      <c r="AD40" s="404">
        <f>SUM(AD8:AD38)</f>
        <v>237.77860516859084</v>
      </c>
      <c r="AE40" s="404">
        <f>SUM(AE8:AE38)</f>
        <v>222.48686866239305</v>
      </c>
      <c r="AF40" s="277">
        <f>SUM(AF8:AF38)</f>
        <v>447.93979044920849</v>
      </c>
      <c r="AG40" s="277">
        <f>SUM(AG8:AG38)</f>
        <v>222.87519441585161</v>
      </c>
      <c r="AH40" s="277">
        <f>SUM(AH8:AH38)</f>
        <v>219.29475331683349</v>
      </c>
      <c r="AI40" s="277">
        <f>IF(SUM(AG40:AH40)&gt;0, AG40/(AG40+AH40), 0)</f>
        <v>0.50404871601674595</v>
      </c>
      <c r="AJ40" s="313">
        <v>6.4000000000000001E-2</v>
      </c>
      <c r="AK40" s="313">
        <f t="shared" ref="AK40:AS40" si="2">$AJ$40</f>
        <v>6.4000000000000001E-2</v>
      </c>
      <c r="AL40" s="313">
        <f t="shared" si="2"/>
        <v>6.4000000000000001E-2</v>
      </c>
      <c r="AM40" s="313">
        <f t="shared" si="2"/>
        <v>6.4000000000000001E-2</v>
      </c>
      <c r="AN40" s="313">
        <f t="shared" si="2"/>
        <v>6.4000000000000001E-2</v>
      </c>
      <c r="AO40" s="313">
        <f t="shared" si="2"/>
        <v>6.4000000000000001E-2</v>
      </c>
      <c r="AP40" s="313">
        <f t="shared" si="2"/>
        <v>6.4000000000000001E-2</v>
      </c>
      <c r="AQ40" s="313">
        <f t="shared" si="2"/>
        <v>6.4000000000000001E-2</v>
      </c>
      <c r="AR40" s="313">
        <f t="shared" si="2"/>
        <v>6.4000000000000001E-2</v>
      </c>
      <c r="AS40" s="313">
        <f t="shared" si="2"/>
        <v>6.4000000000000001E-2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3476.0783274980381</v>
      </c>
      <c r="D41" s="36">
        <f t="shared" si="3"/>
        <v>96300.171102174339</v>
      </c>
      <c r="E41" s="36">
        <f t="shared" si="3"/>
        <v>3013.0377666317163</v>
      </c>
      <c r="F41" s="36">
        <f t="shared" si="3"/>
        <v>0</v>
      </c>
      <c r="G41" s="36">
        <f t="shared" si="3"/>
        <v>4480.8161808995173</v>
      </c>
      <c r="H41" s="37">
        <f t="shared" si="3"/>
        <v>3968.9077800529667</v>
      </c>
      <c r="I41" s="35">
        <f t="shared" si="3"/>
        <v>3099.8184330051954</v>
      </c>
      <c r="J41" s="36">
        <f t="shared" si="3"/>
        <v>13305.252162175388</v>
      </c>
      <c r="K41" s="36">
        <f t="shared" si="3"/>
        <v>2293.341099924266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2052.5062501277043</v>
      </c>
      <c r="V41" s="268">
        <f t="shared" si="3"/>
        <v>2023.3360022927516</v>
      </c>
      <c r="W41" s="268">
        <f t="shared" si="3"/>
        <v>703.93734872050561</v>
      </c>
      <c r="X41" s="268">
        <f t="shared" si="3"/>
        <v>692.56795636268942</v>
      </c>
      <c r="Y41" s="268">
        <f t="shared" si="3"/>
        <v>8617.6304803654621</v>
      </c>
      <c r="Z41" s="268">
        <f t="shared" si="3"/>
        <v>8476.611988566714</v>
      </c>
      <c r="AA41" s="272">
        <f t="shared" si="3"/>
        <v>0</v>
      </c>
      <c r="AB41" s="275">
        <f t="shared" si="3"/>
        <v>737.7741477509918</v>
      </c>
      <c r="AC41" s="275">
        <f t="shared" si="3"/>
        <v>0</v>
      </c>
      <c r="AJ41" s="278">
        <f t="shared" ref="AJ41:AS41" si="4">AJ40*AJ39</f>
        <v>534.03573813680021</v>
      </c>
      <c r="AK41" s="278">
        <f t="shared" si="4"/>
        <v>1772.4194146728516</v>
      </c>
      <c r="AL41" s="278">
        <f t="shared" si="4"/>
        <v>5588.9251521972665</v>
      </c>
      <c r="AM41" s="278">
        <f t="shared" si="4"/>
        <v>868.31110526631664</v>
      </c>
      <c r="AN41" s="278">
        <f t="shared" si="4"/>
        <v>5052.2155129964194</v>
      </c>
      <c r="AO41" s="278">
        <f t="shared" si="4"/>
        <v>4998.1287286214201</v>
      </c>
      <c r="AP41" s="278">
        <f t="shared" si="4"/>
        <v>957.00411298726419</v>
      </c>
      <c r="AQ41" s="278">
        <f t="shared" si="4"/>
        <v>4147.0291183593745</v>
      </c>
      <c r="AR41" s="278">
        <f t="shared" si="4"/>
        <v>782.25942413762391</v>
      </c>
      <c r="AS41" s="278">
        <f t="shared" si="4"/>
        <v>1328.315494724528</v>
      </c>
    </row>
    <row r="42" spans="1:45" ht="49.5" customHeight="1" thickTop="1" thickBot="1" x14ac:dyDescent="0.3">
      <c r="A42" s="637">
        <f>MARCH!$A$42+31</f>
        <v>43192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920</v>
      </c>
      <c r="AK42" s="278" t="s">
        <v>197</v>
      </c>
      <c r="AL42" s="278">
        <v>1459.38</v>
      </c>
      <c r="AM42" s="278">
        <v>725.09</v>
      </c>
      <c r="AN42" s="278">
        <v>701.05</v>
      </c>
      <c r="AO42" s="278">
        <v>5130.42</v>
      </c>
      <c r="AP42" s="278">
        <v>744.91</v>
      </c>
      <c r="AQ42" s="278" t="s">
        <v>197</v>
      </c>
      <c r="AR42" s="278">
        <v>135.07</v>
      </c>
      <c r="AS42" s="278">
        <v>352.37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153241.78702654818</v>
      </c>
      <c r="C44" s="12"/>
      <c r="D44" s="282" t="s">
        <v>135</v>
      </c>
      <c r="E44" s="283">
        <f>SUM(B41:H41)+P41+R41+T41+V41+X41+Z41</f>
        <v>122431.52710447874</v>
      </c>
      <c r="F44" s="12"/>
      <c r="G44" s="282" t="s">
        <v>135</v>
      </c>
      <c r="H44" s="283">
        <f>SUM(I41:N41)+O41+Q41+S41+U41+W41+Y41</f>
        <v>30072.48577431852</v>
      </c>
      <c r="I44" s="12"/>
      <c r="J44" s="282" t="s">
        <v>198</v>
      </c>
      <c r="K44" s="283">
        <v>141393.19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26028.643802099865</v>
      </c>
      <c r="C45" s="12"/>
      <c r="D45" s="284" t="s">
        <v>183</v>
      </c>
      <c r="E45" s="285">
        <f>AJ41*(1-$AI$40)+AK41+AL41*0.5+AN41+AO41*(1-$AI$40)+AP41*(1-$AI$40)+AQ41*(1-$AI$40)+AR41*0.5+AS41*0.5</f>
        <v>15949.420868273815</v>
      </c>
      <c r="F45" s="24"/>
      <c r="G45" s="284" t="s">
        <v>183</v>
      </c>
      <c r="H45" s="285">
        <f>AJ41*AI40+AL41*0.5+AM41+AO41*AI40+AP41*AI40+AQ41*AI40+AR41*0.5+AS41*0.5</f>
        <v>10079.222933826049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1878.299897547563</v>
      </c>
      <c r="U45" s="256">
        <f>(T45*8.34*0.895)/27000</f>
        <v>0.51926644167645453</v>
      </c>
    </row>
    <row r="46" spans="1:45" ht="32.25" thickBot="1" x14ac:dyDescent="0.3">
      <c r="A46" s="286" t="s">
        <v>184</v>
      </c>
      <c r="B46" s="287">
        <f>SUM(AJ42:AS42)</f>
        <v>10168.290000000001</v>
      </c>
      <c r="C46" s="12"/>
      <c r="D46" s="286" t="s">
        <v>184</v>
      </c>
      <c r="E46" s="287">
        <f>AJ42*(1-$AI$40)+AL42*0.5+AN42+AO42*(1-$AI$40)+AP42*(1-$AI$40)+AR42*0.5+AS42*0.5</f>
        <v>5044.6126385899261</v>
      </c>
      <c r="F46" s="23"/>
      <c r="G46" s="286" t="s">
        <v>184</v>
      </c>
      <c r="H46" s="287">
        <f>AJ42*AI40+AL42*0.5+AM42+AO42*AI40+AP42*AI40+AR42*0.5+AS42*0.5</f>
        <v>5123.6773614100748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141393.19</v>
      </c>
      <c r="C47" s="12"/>
      <c r="D47" s="286" t="s">
        <v>187</v>
      </c>
      <c r="E47" s="287">
        <f>K44*0.5</f>
        <v>70696.595000000001</v>
      </c>
      <c r="F47" s="24"/>
      <c r="G47" s="286" t="s">
        <v>185</v>
      </c>
      <c r="H47" s="287">
        <f>K44*0.5</f>
        <v>70696.595000000001</v>
      </c>
      <c r="I47" s="12"/>
      <c r="J47" s="282" t="s">
        <v>198</v>
      </c>
      <c r="K47" s="283">
        <v>55467.5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81078.733029937881</v>
      </c>
      <c r="U47" s="256">
        <f>T47/40000</f>
        <v>2.026968325748447</v>
      </c>
    </row>
    <row r="48" spans="1:45" ht="24" thickBot="1" x14ac:dyDescent="0.3">
      <c r="A48" s="286" t="s">
        <v>186</v>
      </c>
      <c r="B48" s="287">
        <f>K47</f>
        <v>55467.5</v>
      </c>
      <c r="C48" s="12"/>
      <c r="D48" s="286" t="s">
        <v>186</v>
      </c>
      <c r="E48" s="287">
        <f>K47*0.5</f>
        <v>27733.75</v>
      </c>
      <c r="F48" s="23"/>
      <c r="G48" s="286" t="s">
        <v>186</v>
      </c>
      <c r="H48" s="287">
        <f>K47*0.5</f>
        <v>27733.75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8.9409828186035375E-3</v>
      </c>
      <c r="U48" s="256">
        <f>T48*9.34*0.107</f>
        <v>8.935439409256004E-3</v>
      </c>
    </row>
    <row r="49" spans="1:25" ht="48" thickTop="1" thickBot="1" x14ac:dyDescent="0.3">
      <c r="A49" s="291" t="s">
        <v>194</v>
      </c>
      <c r="B49" s="292">
        <f>AF40</f>
        <v>447.93979044920849</v>
      </c>
      <c r="C49" s="12"/>
      <c r="D49" s="291" t="s">
        <v>195</v>
      </c>
      <c r="E49" s="292">
        <f>AH40</f>
        <v>219.29475331683349</v>
      </c>
      <c r="F49" s="23"/>
      <c r="G49" s="291" t="s">
        <v>196</v>
      </c>
      <c r="H49" s="292">
        <f>AG40</f>
        <v>222.87519441585161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1329.9675142551464</v>
      </c>
      <c r="U49" s="256">
        <f>(T49*8.34*1.04)/45000</f>
        <v>0.25634680514763197</v>
      </c>
    </row>
    <row r="50" spans="1:25" ht="48" customHeight="1" thickTop="1" thickBot="1" x14ac:dyDescent="0.3">
      <c r="A50" s="291" t="s">
        <v>223</v>
      </c>
      <c r="B50" s="292">
        <f>SUM(E50+H50)</f>
        <v>460.26547383098386</v>
      </c>
      <c r="C50" s="12"/>
      <c r="D50" s="291" t="s">
        <v>224</v>
      </c>
      <c r="E50" s="292">
        <f>AE40</f>
        <v>222.48686866239305</v>
      </c>
      <c r="F50" s="23"/>
      <c r="G50" s="291" t="s">
        <v>225</v>
      </c>
      <c r="H50" s="292">
        <f>AD40</f>
        <v>237.77860516859084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839.29695532735684</v>
      </c>
      <c r="C51" s="12"/>
      <c r="D51" s="291" t="s">
        <v>188</v>
      </c>
      <c r="E51" s="294">
        <f>SUM(E44:E48)/E50</f>
        <v>1087.0569893198528</v>
      </c>
      <c r="F51" s="23"/>
      <c r="G51" s="291" t="s">
        <v>189</v>
      </c>
      <c r="H51" s="294">
        <f>SUM(H44:H48)/H50</f>
        <v>604.36779401436797</v>
      </c>
      <c r="I51" s="12"/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16339.498982252027</v>
      </c>
      <c r="U51" s="256">
        <f>T51/2000/8</f>
        <v>1.0212186863907518</v>
      </c>
    </row>
    <row r="52" spans="1:25" ht="47.25" customHeight="1" thickTop="1" thickBot="1" x14ac:dyDescent="0.3">
      <c r="A52" s="281" t="s">
        <v>191</v>
      </c>
      <c r="B52" s="294">
        <f>B51/1000</f>
        <v>0.83929695532735682</v>
      </c>
      <c r="C52" s="12"/>
      <c r="D52" s="281" t="s">
        <v>192</v>
      </c>
      <c r="E52" s="294">
        <f>E51/1000</f>
        <v>1.087056989319853</v>
      </c>
      <c r="F52" s="374">
        <f>E44/E49</f>
        <v>558.29665440099086</v>
      </c>
      <c r="G52" s="281" t="s">
        <v>193</v>
      </c>
      <c r="H52" s="294">
        <f>H51/1000</f>
        <v>0.60436779401436802</v>
      </c>
      <c r="I52" s="374">
        <f>H44/H49</f>
        <v>134.92971190956217</v>
      </c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13247.764368077133</v>
      </c>
      <c r="U52" s="256">
        <f>(T52*8.34*1.4)/45000</f>
        <v>3.4373532613704132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1118.0927413284785</v>
      </c>
      <c r="U53" s="256">
        <f>(T53*8.34*1.135)/45000</f>
        <v>0.2351945351142499</v>
      </c>
    </row>
    <row r="54" spans="1:25" ht="48" customHeight="1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3774.3562829136858</v>
      </c>
      <c r="U54" s="256">
        <f>(T54*8.34*1.029*0.03)/3300</f>
        <v>0.29446361100077856</v>
      </c>
    </row>
    <row r="55" spans="1:25" ht="45.75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36786.938491773632</v>
      </c>
      <c r="U55" s="259">
        <f>(T55*1.54*8.34)/45000</f>
        <v>10.499482738065419</v>
      </c>
    </row>
    <row r="56" spans="1:25" ht="24" thickTop="1" x14ac:dyDescent="0.25">
      <c r="A56" s="642"/>
      <c r="B56" s="64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4"/>
      <c r="B57" s="645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0"/>
      <c r="B58" s="64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1"/>
      <c r="B59" s="64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0"/>
      <c r="B60" s="64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1"/>
      <c r="B61" s="641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UjnZF+fPIvrQxLKhgYVGEenpBb2IRGnlwWkDH/BxD10MZzPkJfODXIMC4uHNFDC01Dz1inY3ITMKDiSiSSGwog==" saltValue="ltkT+76n5fARaHqnaIlBqg==" spinCount="100000" sheet="1" objects="1" scenarios="1" selectLockedCells="1" selectUnlockedCells="1"/>
  <mergeCells count="36"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R43:U43"/>
    <mergeCell ref="AD4:AD5"/>
    <mergeCell ref="AE4:AE5"/>
    <mergeCell ref="A54:E54"/>
    <mergeCell ref="A55:E55"/>
    <mergeCell ref="R55:S55"/>
    <mergeCell ref="A42:K42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65"/>
  <sheetViews>
    <sheetView topLeftCell="A42" zoomScale="80" zoomScaleNormal="80" workbookViewId="0">
      <selection activeCell="I52" sqref="I52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8.28515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599" t="s">
        <v>3</v>
      </c>
      <c r="C4" s="600"/>
      <c r="D4" s="600"/>
      <c r="E4" s="600"/>
      <c r="F4" s="600"/>
      <c r="G4" s="600"/>
      <c r="H4" s="601"/>
      <c r="I4" s="599" t="s">
        <v>4</v>
      </c>
      <c r="J4" s="600"/>
      <c r="K4" s="600"/>
      <c r="L4" s="600"/>
      <c r="M4" s="600"/>
      <c r="N4" s="601"/>
      <c r="O4" s="605" t="s">
        <v>5</v>
      </c>
      <c r="P4" s="606"/>
      <c r="Q4" s="607"/>
      <c r="R4" s="607"/>
      <c r="S4" s="607"/>
      <c r="T4" s="608"/>
      <c r="U4" s="599" t="s">
        <v>6</v>
      </c>
      <c r="V4" s="612"/>
      <c r="W4" s="612"/>
      <c r="X4" s="612"/>
      <c r="Y4" s="612"/>
      <c r="Z4" s="612"/>
      <c r="AA4" s="613"/>
      <c r="AB4" s="595" t="s">
        <v>7</v>
      </c>
      <c r="AC4" s="618" t="s">
        <v>8</v>
      </c>
      <c r="AD4" s="597" t="s">
        <v>222</v>
      </c>
      <c r="AE4" s="597" t="s">
        <v>221</v>
      </c>
      <c r="AF4" s="597" t="s">
        <v>27</v>
      </c>
      <c r="AG4" s="597" t="s">
        <v>31</v>
      </c>
      <c r="AH4" s="597" t="s">
        <v>32</v>
      </c>
      <c r="AI4" s="597" t="s">
        <v>33</v>
      </c>
      <c r="AJ4" s="595" t="s">
        <v>173</v>
      </c>
      <c r="AK4" s="595" t="s">
        <v>174</v>
      </c>
      <c r="AL4" s="595" t="s">
        <v>175</v>
      </c>
      <c r="AM4" s="595" t="s">
        <v>176</v>
      </c>
      <c r="AN4" s="595" t="s">
        <v>177</v>
      </c>
      <c r="AO4" s="595" t="s">
        <v>178</v>
      </c>
      <c r="AP4" s="595" t="s">
        <v>179</v>
      </c>
      <c r="AQ4" s="595" t="s">
        <v>182</v>
      </c>
      <c r="AR4" s="595" t="s">
        <v>180</v>
      </c>
      <c r="AS4" s="595" t="s">
        <v>181</v>
      </c>
      <c r="AV4" t="s">
        <v>169</v>
      </c>
      <c r="AW4" s="338" t="s">
        <v>207</v>
      </c>
    </row>
    <row r="5" spans="1:49" ht="30" customHeight="1" thickBot="1" x14ac:dyDescent="0.3">
      <c r="A5" s="13"/>
      <c r="B5" s="602"/>
      <c r="C5" s="603"/>
      <c r="D5" s="603"/>
      <c r="E5" s="603"/>
      <c r="F5" s="603"/>
      <c r="G5" s="603"/>
      <c r="H5" s="604"/>
      <c r="I5" s="602"/>
      <c r="J5" s="603"/>
      <c r="K5" s="603"/>
      <c r="L5" s="603"/>
      <c r="M5" s="603"/>
      <c r="N5" s="604"/>
      <c r="O5" s="609"/>
      <c r="P5" s="610"/>
      <c r="Q5" s="610"/>
      <c r="R5" s="610"/>
      <c r="S5" s="610"/>
      <c r="T5" s="611"/>
      <c r="U5" s="614"/>
      <c r="V5" s="615"/>
      <c r="W5" s="615"/>
      <c r="X5" s="615"/>
      <c r="Y5" s="615"/>
      <c r="Z5" s="615"/>
      <c r="AA5" s="616"/>
      <c r="AB5" s="617"/>
      <c r="AC5" s="619"/>
      <c r="AD5" s="596"/>
      <c r="AE5" s="596"/>
      <c r="AF5" s="598"/>
      <c r="AG5" s="598"/>
      <c r="AH5" s="598"/>
      <c r="AI5" s="598"/>
      <c r="AJ5" s="596"/>
      <c r="AK5" s="596"/>
      <c r="AL5" s="596"/>
      <c r="AM5" s="596"/>
      <c r="AN5" s="596"/>
      <c r="AO5" s="596"/>
      <c r="AP5" s="596"/>
      <c r="AQ5" s="596"/>
      <c r="AR5" s="596"/>
      <c r="AS5" s="596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7" t="s">
        <v>23</v>
      </c>
      <c r="AD7" s="401" t="s">
        <v>28</v>
      </c>
      <c r="AE7" s="401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43221</v>
      </c>
      <c r="B8" s="49"/>
      <c r="C8" s="50">
        <v>96.286970313390185</v>
      </c>
      <c r="D8" s="50">
        <v>1095.2957386016853</v>
      </c>
      <c r="E8" s="50">
        <v>23.566889345645848</v>
      </c>
      <c r="F8" s="50">
        <v>0</v>
      </c>
      <c r="G8" s="50">
        <v>2977.1379465738887</v>
      </c>
      <c r="H8" s="51">
        <v>39.905698839823444</v>
      </c>
      <c r="I8" s="49">
        <v>119.6846688111623</v>
      </c>
      <c r="J8" s="50">
        <v>422.5212962468467</v>
      </c>
      <c r="K8" s="50">
        <v>23.420134510596554</v>
      </c>
      <c r="L8" s="50">
        <v>2.8324127197265628E-5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275.69587686570645</v>
      </c>
      <c r="V8" s="54">
        <v>233.63014602417203</v>
      </c>
      <c r="W8" s="54">
        <v>39.265472285689711</v>
      </c>
      <c r="X8" s="54">
        <v>33.274338840701262</v>
      </c>
      <c r="Y8" s="54">
        <v>115.40811662071722</v>
      </c>
      <c r="Z8" s="54">
        <v>97.799123603167388</v>
      </c>
      <c r="AA8" s="55">
        <v>0</v>
      </c>
      <c r="AB8" s="57">
        <v>100.90297817124205</v>
      </c>
      <c r="AC8" s="57">
        <v>0</v>
      </c>
      <c r="AD8" s="411">
        <v>9.5645374078312937</v>
      </c>
      <c r="AE8" s="411">
        <v>7.8243799184695861</v>
      </c>
      <c r="AF8" s="57">
        <v>17.122451032532602</v>
      </c>
      <c r="AG8" s="58">
        <v>9.1642574553231135</v>
      </c>
      <c r="AH8" s="58">
        <v>7.765973259488268</v>
      </c>
      <c r="AI8" s="58">
        <v>0.54129548555447504</v>
      </c>
      <c r="AJ8" s="57">
        <v>236.08470226923626</v>
      </c>
      <c r="AK8" s="57">
        <v>849.73541870117185</v>
      </c>
      <c r="AL8" s="57">
        <v>2824.30477104187</v>
      </c>
      <c r="AM8" s="57">
        <v>433.68184703191127</v>
      </c>
      <c r="AN8" s="57">
        <v>4731.8599637349444</v>
      </c>
      <c r="AO8" s="57">
        <v>2623.2436131795248</v>
      </c>
      <c r="AP8" s="57">
        <v>471.47500667572024</v>
      </c>
      <c r="AQ8" s="57">
        <v>2325.3889658610024</v>
      </c>
      <c r="AR8" s="57">
        <v>397.96855831146235</v>
      </c>
      <c r="AS8" s="57">
        <v>694.50362501144411</v>
      </c>
    </row>
    <row r="9" spans="1:49" x14ac:dyDescent="0.25">
      <c r="A9" s="11">
        <v>43222</v>
      </c>
      <c r="B9" s="59"/>
      <c r="C9" s="60">
        <v>97.650426189104877</v>
      </c>
      <c r="D9" s="60">
        <v>1107.7481982549043</v>
      </c>
      <c r="E9" s="60">
        <v>23.82339999427397</v>
      </c>
      <c r="F9" s="60">
        <v>0</v>
      </c>
      <c r="G9" s="60">
        <v>3128.9238155364978</v>
      </c>
      <c r="H9" s="61">
        <v>40.239116859436038</v>
      </c>
      <c r="I9" s="59">
        <v>120.57395058472957</v>
      </c>
      <c r="J9" s="60">
        <v>432.86185674667342</v>
      </c>
      <c r="K9" s="60">
        <v>23.901861534515945</v>
      </c>
      <c r="L9" s="60">
        <v>3.7765502929687501E-5</v>
      </c>
      <c r="M9" s="60">
        <v>0</v>
      </c>
      <c r="N9" s="61">
        <v>0</v>
      </c>
      <c r="O9" s="49">
        <v>0</v>
      </c>
      <c r="P9" s="60">
        <v>0</v>
      </c>
      <c r="Q9" s="50">
        <v>0</v>
      </c>
      <c r="R9" s="50">
        <v>0</v>
      </c>
      <c r="S9" s="60">
        <v>0</v>
      </c>
      <c r="T9" s="64">
        <v>0</v>
      </c>
      <c r="U9" s="65">
        <v>273.31361249676928</v>
      </c>
      <c r="V9" s="62">
        <v>216.30911255553286</v>
      </c>
      <c r="W9" s="62">
        <v>38.59572521917724</v>
      </c>
      <c r="X9" s="62">
        <v>30.545888272199079</v>
      </c>
      <c r="Y9" s="66">
        <v>122.65923902442867</v>
      </c>
      <c r="Z9" s="66">
        <v>97.076435007146898</v>
      </c>
      <c r="AA9" s="67">
        <v>0</v>
      </c>
      <c r="AB9" s="68">
        <v>102.82248246404743</v>
      </c>
      <c r="AC9" s="69">
        <v>0</v>
      </c>
      <c r="AD9" s="412">
        <v>9.7987167840306277</v>
      </c>
      <c r="AE9" s="412">
        <v>7.9130839715584305</v>
      </c>
      <c r="AF9" s="69">
        <v>16.563551404741087</v>
      </c>
      <c r="AG9" s="68">
        <v>9.140383286245445</v>
      </c>
      <c r="AH9" s="68">
        <v>7.2339909417740689</v>
      </c>
      <c r="AI9" s="68">
        <v>0.55821267786860496</v>
      </c>
      <c r="AJ9" s="69">
        <v>251.75133091608677</v>
      </c>
      <c r="AK9" s="69">
        <v>861.02532726923619</v>
      </c>
      <c r="AL9" s="69">
        <v>2813.553958384196</v>
      </c>
      <c r="AM9" s="69">
        <v>436.15670808156335</v>
      </c>
      <c r="AN9" s="69">
        <v>4889.9603403727215</v>
      </c>
      <c r="AO9" s="69">
        <v>2683.965015411377</v>
      </c>
      <c r="AP9" s="69">
        <v>463.77552771568298</v>
      </c>
      <c r="AQ9" s="69">
        <v>2302.3617790222165</v>
      </c>
      <c r="AR9" s="69">
        <v>391.1313557624818</v>
      </c>
      <c r="AS9" s="69">
        <v>637.19980541865039</v>
      </c>
    </row>
    <row r="10" spans="1:49" x14ac:dyDescent="0.25">
      <c r="A10" s="11">
        <v>43223</v>
      </c>
      <c r="B10" s="59"/>
      <c r="C10" s="60">
        <v>98.086940169335435</v>
      </c>
      <c r="D10" s="60">
        <v>1108.688909912109</v>
      </c>
      <c r="E10" s="60">
        <v>23.373919654389312</v>
      </c>
      <c r="F10" s="60">
        <v>0</v>
      </c>
      <c r="G10" s="60">
        <v>3145.7888459523742</v>
      </c>
      <c r="H10" s="61">
        <v>39.866211140155826</v>
      </c>
      <c r="I10" s="59">
        <v>122.36821876366929</v>
      </c>
      <c r="J10" s="60">
        <v>430.69231077829994</v>
      </c>
      <c r="K10" s="60">
        <v>23.922663237651161</v>
      </c>
      <c r="L10" s="60">
        <v>0</v>
      </c>
      <c r="M10" s="60">
        <v>0</v>
      </c>
      <c r="N10" s="61">
        <v>0</v>
      </c>
      <c r="O10" s="49">
        <v>0</v>
      </c>
      <c r="P10" s="60">
        <v>0</v>
      </c>
      <c r="Q10" s="50">
        <v>0</v>
      </c>
      <c r="R10" s="50">
        <v>0</v>
      </c>
      <c r="S10" s="60">
        <v>0</v>
      </c>
      <c r="T10" s="64">
        <v>0</v>
      </c>
      <c r="U10" s="65">
        <v>271.62547043804972</v>
      </c>
      <c r="V10" s="62">
        <v>228.76441114103545</v>
      </c>
      <c r="W10" s="62">
        <v>38.487844844179563</v>
      </c>
      <c r="X10" s="62">
        <v>32.414666959129562</v>
      </c>
      <c r="Y10" s="66">
        <v>131.22133561745889</v>
      </c>
      <c r="Z10" s="66">
        <v>110.51530448619918</v>
      </c>
      <c r="AA10" s="67">
        <v>0</v>
      </c>
      <c r="AB10" s="68">
        <v>102.57576867739411</v>
      </c>
      <c r="AC10" s="69">
        <v>0</v>
      </c>
      <c r="AD10" s="412">
        <v>9.7494886530726674</v>
      </c>
      <c r="AE10" s="412">
        <v>7.9204994280249705</v>
      </c>
      <c r="AF10" s="69">
        <v>17.687705646620881</v>
      </c>
      <c r="AG10" s="68">
        <v>9.4993898063124895</v>
      </c>
      <c r="AH10" s="68">
        <v>8.0004364529425125</v>
      </c>
      <c r="AI10" s="68">
        <v>0.54282766386258374</v>
      </c>
      <c r="AJ10" s="69">
        <v>279.59219679832461</v>
      </c>
      <c r="AK10" s="69">
        <v>919.9382250785826</v>
      </c>
      <c r="AL10" s="69">
        <v>2854.8874988555908</v>
      </c>
      <c r="AM10" s="69">
        <v>434.26776123046875</v>
      </c>
      <c r="AN10" s="69">
        <v>4947.204345703125</v>
      </c>
      <c r="AO10" s="69">
        <v>2775.2950878143315</v>
      </c>
      <c r="AP10" s="69">
        <v>515.71092734336867</v>
      </c>
      <c r="AQ10" s="69">
        <v>2328.9211720784506</v>
      </c>
      <c r="AR10" s="69">
        <v>400.06904783248899</v>
      </c>
      <c r="AS10" s="69">
        <v>649.84471708933529</v>
      </c>
    </row>
    <row r="11" spans="1:49" x14ac:dyDescent="0.25">
      <c r="A11" s="11">
        <v>43224</v>
      </c>
      <c r="B11" s="59"/>
      <c r="C11" s="60">
        <v>100.09703585306872</v>
      </c>
      <c r="D11" s="60">
        <v>1125.9704882939652</v>
      </c>
      <c r="E11" s="60">
        <v>23.816479903459559</v>
      </c>
      <c r="F11" s="60">
        <v>0</v>
      </c>
      <c r="G11" s="60">
        <v>2937.2954902648985</v>
      </c>
      <c r="H11" s="61">
        <v>40.641040424505839</v>
      </c>
      <c r="I11" s="59">
        <v>127.11485557556161</v>
      </c>
      <c r="J11" s="60">
        <v>436.639507293701</v>
      </c>
      <c r="K11" s="60">
        <v>24.100945484638125</v>
      </c>
      <c r="L11" s="60">
        <v>0</v>
      </c>
      <c r="M11" s="60">
        <v>0</v>
      </c>
      <c r="N11" s="61">
        <v>0</v>
      </c>
      <c r="O11" s="49">
        <v>0</v>
      </c>
      <c r="P11" s="60">
        <v>0</v>
      </c>
      <c r="Q11" s="50">
        <v>0</v>
      </c>
      <c r="R11" s="50">
        <v>0</v>
      </c>
      <c r="S11" s="60">
        <v>0</v>
      </c>
      <c r="T11" s="64">
        <v>0</v>
      </c>
      <c r="U11" s="65">
        <v>268.07269834707762</v>
      </c>
      <c r="V11" s="62">
        <v>229.87923826875581</v>
      </c>
      <c r="W11" s="62">
        <v>37.834511547345848</v>
      </c>
      <c r="X11" s="62">
        <v>32.444067405602418</v>
      </c>
      <c r="Y11" s="66">
        <v>130.24934551404053</v>
      </c>
      <c r="Z11" s="66">
        <v>111.69216602955132</v>
      </c>
      <c r="AA11" s="67">
        <v>0</v>
      </c>
      <c r="AB11" s="68">
        <v>104.38830092747979</v>
      </c>
      <c r="AC11" s="69">
        <v>0</v>
      </c>
      <c r="AD11" s="412">
        <v>9.8853657470231653</v>
      </c>
      <c r="AE11" s="412">
        <v>8.100348500643987</v>
      </c>
      <c r="AF11" s="69">
        <v>17.586968111329607</v>
      </c>
      <c r="AG11" s="68">
        <v>9.33561556168954</v>
      </c>
      <c r="AH11" s="68">
        <v>8.0055306165963724</v>
      </c>
      <c r="AI11" s="68">
        <v>0.53835054878779176</v>
      </c>
      <c r="AJ11" s="69">
        <v>256.49649184544882</v>
      </c>
      <c r="AK11" s="69">
        <v>884.30608968734737</v>
      </c>
      <c r="AL11" s="69">
        <v>2927.4871697743729</v>
      </c>
      <c r="AM11" s="69">
        <v>434.26776123046875</v>
      </c>
      <c r="AN11" s="69">
        <v>4947.204345703125</v>
      </c>
      <c r="AO11" s="69">
        <v>2780.4039512634281</v>
      </c>
      <c r="AP11" s="69">
        <v>505.27218518257138</v>
      </c>
      <c r="AQ11" s="69">
        <v>2393.0629238128658</v>
      </c>
      <c r="AR11" s="69">
        <v>403.36547679901122</v>
      </c>
      <c r="AS11" s="69">
        <v>743.33931058247879</v>
      </c>
    </row>
    <row r="12" spans="1:49" x14ac:dyDescent="0.25">
      <c r="A12" s="11">
        <v>43225</v>
      </c>
      <c r="B12" s="59"/>
      <c r="C12" s="60">
        <v>100.53425961335535</v>
      </c>
      <c r="D12" s="60">
        <v>1145.3423273086535</v>
      </c>
      <c r="E12" s="60">
        <v>24.006446194152058</v>
      </c>
      <c r="F12" s="60">
        <v>0</v>
      </c>
      <c r="G12" s="60">
        <v>2982.9183176676675</v>
      </c>
      <c r="H12" s="61">
        <v>41.257667412360604</v>
      </c>
      <c r="I12" s="59">
        <v>130.28039242426553</v>
      </c>
      <c r="J12" s="60">
        <v>451.36461181640647</v>
      </c>
      <c r="K12" s="60">
        <v>24.889959367116301</v>
      </c>
      <c r="L12" s="60">
        <v>1.8882751464843751E-5</v>
      </c>
      <c r="M12" s="60">
        <v>0</v>
      </c>
      <c r="N12" s="61">
        <v>0</v>
      </c>
      <c r="O12" s="49">
        <v>0</v>
      </c>
      <c r="P12" s="60">
        <v>0</v>
      </c>
      <c r="Q12" s="50">
        <v>0</v>
      </c>
      <c r="R12" s="50">
        <v>0</v>
      </c>
      <c r="S12" s="60">
        <v>0</v>
      </c>
      <c r="T12" s="64">
        <v>0</v>
      </c>
      <c r="U12" s="65">
        <v>280.29502551808292</v>
      </c>
      <c r="V12" s="62">
        <v>234.03205046136182</v>
      </c>
      <c r="W12" s="62">
        <v>39.169061528679279</v>
      </c>
      <c r="X12" s="62">
        <v>32.704168642524365</v>
      </c>
      <c r="Y12" s="66">
        <v>135.68535135752282</v>
      </c>
      <c r="Z12" s="66">
        <v>113.29034804337891</v>
      </c>
      <c r="AA12" s="67">
        <v>0</v>
      </c>
      <c r="AB12" s="68">
        <v>106.73566904067987</v>
      </c>
      <c r="AC12" s="69">
        <v>0</v>
      </c>
      <c r="AD12" s="412">
        <v>10.218587294053348</v>
      </c>
      <c r="AE12" s="412">
        <v>8.1820826699300753</v>
      </c>
      <c r="AF12" s="69">
        <v>18.303856237729395</v>
      </c>
      <c r="AG12" s="68">
        <v>9.8194377418845278</v>
      </c>
      <c r="AH12" s="68">
        <v>8.1987296951249817</v>
      </c>
      <c r="AI12" s="68">
        <v>0.54497427533697451</v>
      </c>
      <c r="AJ12" s="69">
        <v>240.97629289627076</v>
      </c>
      <c r="AK12" s="69">
        <v>854.09021568298328</v>
      </c>
      <c r="AL12" s="69">
        <v>2903.9318314870193</v>
      </c>
      <c r="AM12" s="69">
        <v>434.26776123046875</v>
      </c>
      <c r="AN12" s="69">
        <v>4947.204345703125</v>
      </c>
      <c r="AO12" s="69">
        <v>2644.8263707478845</v>
      </c>
      <c r="AP12" s="69">
        <v>493.40332533518483</v>
      </c>
      <c r="AQ12" s="69">
        <v>2443.593564097087</v>
      </c>
      <c r="AR12" s="69">
        <v>398.73690579732255</v>
      </c>
      <c r="AS12" s="69">
        <v>747.91076854070025</v>
      </c>
    </row>
    <row r="13" spans="1:49" x14ac:dyDescent="0.25">
      <c r="A13" s="11">
        <v>43226</v>
      </c>
      <c r="B13" s="59"/>
      <c r="C13" s="60">
        <v>100.38439981937425</v>
      </c>
      <c r="D13" s="60">
        <v>1144.5950250625606</v>
      </c>
      <c r="E13" s="60">
        <v>24.257128213345997</v>
      </c>
      <c r="F13" s="60">
        <v>0</v>
      </c>
      <c r="G13" s="60">
        <v>3033.7889760335374</v>
      </c>
      <c r="H13" s="61">
        <v>41.38824222485227</v>
      </c>
      <c r="I13" s="59">
        <v>139.61892109711977</v>
      </c>
      <c r="J13" s="60">
        <v>501.2399204889935</v>
      </c>
      <c r="K13" s="60">
        <v>27.54369282722466</v>
      </c>
      <c r="L13" s="60">
        <v>2.0771026611328129E-4</v>
      </c>
      <c r="M13" s="60">
        <v>0</v>
      </c>
      <c r="N13" s="61">
        <v>0</v>
      </c>
      <c r="O13" s="49">
        <v>0</v>
      </c>
      <c r="P13" s="60">
        <v>0</v>
      </c>
      <c r="Q13" s="50">
        <v>0</v>
      </c>
      <c r="R13" s="50">
        <v>0</v>
      </c>
      <c r="S13" s="60">
        <v>0</v>
      </c>
      <c r="T13" s="64">
        <v>0</v>
      </c>
      <c r="U13" s="65">
        <v>312.5239845459003</v>
      </c>
      <c r="V13" s="62">
        <v>234.39883249359494</v>
      </c>
      <c r="W13" s="62">
        <v>45.542729145449535</v>
      </c>
      <c r="X13" s="62">
        <v>34.157898491459726</v>
      </c>
      <c r="Y13" s="66">
        <v>152.62032377475003</v>
      </c>
      <c r="Z13" s="66">
        <v>114.46809677527881</v>
      </c>
      <c r="AA13" s="67">
        <v>0</v>
      </c>
      <c r="AB13" s="68">
        <v>112.27013620800341</v>
      </c>
      <c r="AC13" s="69">
        <v>0</v>
      </c>
      <c r="AD13" s="412">
        <v>11.346931457336947</v>
      </c>
      <c r="AE13" s="412">
        <v>8.176108567732447</v>
      </c>
      <c r="AF13" s="69">
        <v>19.390078568458549</v>
      </c>
      <c r="AG13" s="68">
        <v>10.907662576912085</v>
      </c>
      <c r="AH13" s="68">
        <v>8.1809509019835271</v>
      </c>
      <c r="AI13" s="68">
        <v>0.57142246549083331</v>
      </c>
      <c r="AJ13" s="69">
        <v>230.19189777374265</v>
      </c>
      <c r="AK13" s="69">
        <v>848.500731309255</v>
      </c>
      <c r="AL13" s="69">
        <v>2987.6931432088213</v>
      </c>
      <c r="AM13" s="69">
        <v>434.26776123046875</v>
      </c>
      <c r="AN13" s="69">
        <v>4947.204345703125</v>
      </c>
      <c r="AO13" s="69">
        <v>2610.339717229208</v>
      </c>
      <c r="AP13" s="69">
        <v>509.48855206171675</v>
      </c>
      <c r="AQ13" s="69">
        <v>2575.6984428405758</v>
      </c>
      <c r="AR13" s="69">
        <v>407.94740543365475</v>
      </c>
      <c r="AS13" s="69">
        <v>791.86134834289544</v>
      </c>
    </row>
    <row r="14" spans="1:49" x14ac:dyDescent="0.25">
      <c r="A14" s="11">
        <v>43227</v>
      </c>
      <c r="B14" s="59"/>
      <c r="C14" s="60">
        <v>100.3535730123515</v>
      </c>
      <c r="D14" s="60">
        <v>1144.4150967915866</v>
      </c>
      <c r="E14" s="60">
        <v>24.352806937694535</v>
      </c>
      <c r="F14" s="60">
        <v>0</v>
      </c>
      <c r="G14" s="60">
        <v>3077.7167496999045</v>
      </c>
      <c r="H14" s="61">
        <v>41.437575254837725</v>
      </c>
      <c r="I14" s="59">
        <v>191.35163664817784</v>
      </c>
      <c r="J14" s="60">
        <v>596.70945437749265</v>
      </c>
      <c r="K14" s="60">
        <v>32.686890957752915</v>
      </c>
      <c r="L14" s="60">
        <v>1.5106201171875003E-4</v>
      </c>
      <c r="M14" s="60">
        <v>0</v>
      </c>
      <c r="N14" s="61">
        <v>0</v>
      </c>
      <c r="O14" s="49">
        <v>0</v>
      </c>
      <c r="P14" s="60">
        <v>0</v>
      </c>
      <c r="Q14" s="50">
        <v>0</v>
      </c>
      <c r="R14" s="50">
        <v>0</v>
      </c>
      <c r="S14" s="60">
        <v>0</v>
      </c>
      <c r="T14" s="64">
        <v>0</v>
      </c>
      <c r="U14" s="65">
        <v>343.42523110781349</v>
      </c>
      <c r="V14" s="62">
        <v>230.321493190452</v>
      </c>
      <c r="W14" s="62">
        <v>50.630001379165734</v>
      </c>
      <c r="X14" s="62">
        <v>33.955506065374777</v>
      </c>
      <c r="Y14" s="66">
        <v>166.71207900034145</v>
      </c>
      <c r="Z14" s="66">
        <v>111.80708780301856</v>
      </c>
      <c r="AA14" s="67">
        <v>0</v>
      </c>
      <c r="AB14" s="68">
        <v>123.1435877323155</v>
      </c>
      <c r="AC14" s="69">
        <v>0</v>
      </c>
      <c r="AD14" s="412">
        <v>13.512039077077276</v>
      </c>
      <c r="AE14" s="412">
        <v>8.1756942445905345</v>
      </c>
      <c r="AF14" s="69">
        <v>19.957503547933356</v>
      </c>
      <c r="AG14" s="68">
        <v>11.752381538725471</v>
      </c>
      <c r="AH14" s="68">
        <v>7.8818497284300646</v>
      </c>
      <c r="AI14" s="68">
        <v>0.59856591168838102</v>
      </c>
      <c r="AJ14" s="69">
        <v>230.54820141792297</v>
      </c>
      <c r="AK14" s="69">
        <v>845.60775254567466</v>
      </c>
      <c r="AL14" s="69">
        <v>2932.1200964609779</v>
      </c>
      <c r="AM14" s="69">
        <v>434.26776123046875</v>
      </c>
      <c r="AN14" s="69">
        <v>4947.204345703125</v>
      </c>
      <c r="AO14" s="69">
        <v>2644.6119558970131</v>
      </c>
      <c r="AP14" s="69">
        <v>493.27806576093042</v>
      </c>
      <c r="AQ14" s="69">
        <v>2696.660236358643</v>
      </c>
      <c r="AR14" s="69">
        <v>401.71344798405971</v>
      </c>
      <c r="AS14" s="69">
        <v>828.37854754130046</v>
      </c>
    </row>
    <row r="15" spans="1:49" x14ac:dyDescent="0.25">
      <c r="A15" s="11">
        <v>43228</v>
      </c>
      <c r="B15" s="59"/>
      <c r="C15" s="60">
        <v>100.80589280923159</v>
      </c>
      <c r="D15" s="60">
        <v>1147.776582590737</v>
      </c>
      <c r="E15" s="60">
        <v>24.164071374138171</v>
      </c>
      <c r="F15" s="60">
        <v>0</v>
      </c>
      <c r="G15" s="60">
        <v>3109.0311205545968</v>
      </c>
      <c r="H15" s="61">
        <v>41.532424896955526</v>
      </c>
      <c r="I15" s="59">
        <v>264.10247750282286</v>
      </c>
      <c r="J15" s="60">
        <v>744.72158056894978</v>
      </c>
      <c r="K15" s="60">
        <v>40.652248692512558</v>
      </c>
      <c r="L15" s="60">
        <v>4.5318603515624961E-4</v>
      </c>
      <c r="M15" s="60">
        <v>0</v>
      </c>
      <c r="N15" s="61">
        <v>0</v>
      </c>
      <c r="O15" s="49">
        <v>0</v>
      </c>
      <c r="P15" s="60">
        <v>0</v>
      </c>
      <c r="Q15" s="50">
        <v>0</v>
      </c>
      <c r="R15" s="50">
        <v>0</v>
      </c>
      <c r="S15" s="60">
        <v>0</v>
      </c>
      <c r="T15" s="64">
        <v>0</v>
      </c>
      <c r="U15" s="65">
        <v>431.98071933661976</v>
      </c>
      <c r="V15" s="62">
        <v>217.46443703629618</v>
      </c>
      <c r="W15" s="62">
        <v>67.226174698782799</v>
      </c>
      <c r="X15" s="62">
        <v>33.842487825440301</v>
      </c>
      <c r="Y15" s="66">
        <v>242.0300886372635</v>
      </c>
      <c r="Z15" s="66">
        <v>121.84094015162121</v>
      </c>
      <c r="AA15" s="67">
        <v>0</v>
      </c>
      <c r="AB15" s="68">
        <v>139.94663131501881</v>
      </c>
      <c r="AC15" s="69">
        <v>0</v>
      </c>
      <c r="AD15" s="412">
        <v>16.860779038299768</v>
      </c>
      <c r="AE15" s="412">
        <v>8.1993413923255911</v>
      </c>
      <c r="AF15" s="69">
        <v>24.80313195983566</v>
      </c>
      <c r="AG15" s="68">
        <v>16.280084257626182</v>
      </c>
      <c r="AH15" s="68">
        <v>8.1955957743321051</v>
      </c>
      <c r="AI15" s="68">
        <v>0.66515350079626034</v>
      </c>
      <c r="AJ15" s="69">
        <v>225.58476729393007</v>
      </c>
      <c r="AK15" s="69">
        <v>844.97660439809147</v>
      </c>
      <c r="AL15" s="69">
        <v>3187.8443367004397</v>
      </c>
      <c r="AM15" s="69">
        <v>434.26776123046875</v>
      </c>
      <c r="AN15" s="69">
        <v>4947.204345703125</v>
      </c>
      <c r="AO15" s="69">
        <v>2595.9941037495928</v>
      </c>
      <c r="AP15" s="69">
        <v>517.14632841746004</v>
      </c>
      <c r="AQ15" s="69">
        <v>3398.8794682820635</v>
      </c>
      <c r="AR15" s="69">
        <v>404.76663254102073</v>
      </c>
      <c r="AS15" s="69">
        <v>786.40725485483802</v>
      </c>
    </row>
    <row r="16" spans="1:49" x14ac:dyDescent="0.25">
      <c r="A16" s="11">
        <v>43229</v>
      </c>
      <c r="B16" s="49"/>
      <c r="C16" s="50">
        <v>106.57576686541275</v>
      </c>
      <c r="D16" s="50">
        <v>1211.528241411844</v>
      </c>
      <c r="E16" s="50">
        <v>25.521421611805753</v>
      </c>
      <c r="F16" s="50">
        <v>0</v>
      </c>
      <c r="G16" s="50">
        <v>3341.931324768073</v>
      </c>
      <c r="H16" s="51">
        <v>43.43335429628695</v>
      </c>
      <c r="I16" s="49">
        <v>252.2523565411567</v>
      </c>
      <c r="J16" s="50">
        <v>766.46563647588061</v>
      </c>
      <c r="K16" s="50">
        <v>41.984497143825003</v>
      </c>
      <c r="L16" s="60">
        <v>7.8363418579101448E-4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50">
        <v>0</v>
      </c>
      <c r="S16" s="50">
        <v>0</v>
      </c>
      <c r="T16" s="52">
        <v>0</v>
      </c>
      <c r="U16" s="71">
        <v>439.33339912263392</v>
      </c>
      <c r="V16" s="66">
        <v>227.4563923448174</v>
      </c>
      <c r="W16" s="62">
        <v>68.069226192846017</v>
      </c>
      <c r="X16" s="62">
        <v>35.241528757995241</v>
      </c>
      <c r="Y16" s="66">
        <v>240.01898553163383</v>
      </c>
      <c r="Z16" s="66">
        <v>124.26519962359889</v>
      </c>
      <c r="AA16" s="67">
        <v>0</v>
      </c>
      <c r="AB16" s="68">
        <v>145.60748495525692</v>
      </c>
      <c r="AC16" s="69">
        <v>0</v>
      </c>
      <c r="AD16" s="412">
        <v>17.353986162357813</v>
      </c>
      <c r="AE16" s="412">
        <v>8.6561054896395451</v>
      </c>
      <c r="AF16" s="69">
        <v>25.443480322096093</v>
      </c>
      <c r="AG16" s="68">
        <v>16.551118794359915</v>
      </c>
      <c r="AH16" s="68">
        <v>8.5690224730325095</v>
      </c>
      <c r="AI16" s="68">
        <v>0.65887841227407207</v>
      </c>
      <c r="AJ16" s="69">
        <v>230.88290966351829</v>
      </c>
      <c r="AK16" s="69">
        <v>849.85741259256986</v>
      </c>
      <c r="AL16" s="69">
        <v>3017.3200083414713</v>
      </c>
      <c r="AM16" s="69">
        <v>434.26776123046875</v>
      </c>
      <c r="AN16" s="69">
        <v>4947.204345703125</v>
      </c>
      <c r="AO16" s="69">
        <v>2712.226317214966</v>
      </c>
      <c r="AP16" s="69">
        <v>520.36099648475647</v>
      </c>
      <c r="AQ16" s="69">
        <v>3497.4839852650966</v>
      </c>
      <c r="AR16" s="69">
        <v>402.25157186190296</v>
      </c>
      <c r="AS16" s="69">
        <v>835.31358693440757</v>
      </c>
    </row>
    <row r="17" spans="1:45" x14ac:dyDescent="0.25">
      <c r="A17" s="11">
        <v>43230</v>
      </c>
      <c r="B17" s="59"/>
      <c r="C17" s="60">
        <v>114.79212822119368</v>
      </c>
      <c r="D17" s="60">
        <v>1301.3287049611406</v>
      </c>
      <c r="E17" s="60">
        <v>27.734937134881868</v>
      </c>
      <c r="F17" s="60">
        <v>0</v>
      </c>
      <c r="G17" s="60">
        <v>3906.3114265441955</v>
      </c>
      <c r="H17" s="61">
        <v>46.49141763846081</v>
      </c>
      <c r="I17" s="59">
        <v>267.44766660928713</v>
      </c>
      <c r="J17" s="60">
        <v>774.77855434417643</v>
      </c>
      <c r="K17" s="60">
        <v>42.386906244357469</v>
      </c>
      <c r="L17" s="60">
        <v>8.6860656738281116E-4</v>
      </c>
      <c r="M17" s="60">
        <v>0</v>
      </c>
      <c r="N17" s="61">
        <v>0</v>
      </c>
      <c r="O17" s="49">
        <v>0</v>
      </c>
      <c r="P17" s="60">
        <v>0</v>
      </c>
      <c r="Q17" s="50">
        <v>0</v>
      </c>
      <c r="R17" s="50">
        <v>0</v>
      </c>
      <c r="S17" s="60">
        <v>0</v>
      </c>
      <c r="T17" s="64">
        <v>0</v>
      </c>
      <c r="U17" s="65">
        <v>449.77196108986055</v>
      </c>
      <c r="V17" s="62">
        <v>239.22013729456609</v>
      </c>
      <c r="W17" s="62">
        <v>69.953994879430724</v>
      </c>
      <c r="X17" s="62">
        <v>37.206419490470196</v>
      </c>
      <c r="Y17" s="66">
        <v>245.31643831387069</v>
      </c>
      <c r="Z17" s="66">
        <v>130.47641278450752</v>
      </c>
      <c r="AA17" s="67">
        <v>0</v>
      </c>
      <c r="AB17" s="68">
        <v>150.82750622431521</v>
      </c>
      <c r="AC17" s="69">
        <v>0</v>
      </c>
      <c r="AD17" s="412">
        <v>17.540699928513458</v>
      </c>
      <c r="AE17" s="412">
        <v>9.2965818493010399</v>
      </c>
      <c r="AF17" s="69">
        <v>26.082188777128884</v>
      </c>
      <c r="AG17" s="68">
        <v>16.793612980382949</v>
      </c>
      <c r="AH17" s="68">
        <v>8.9320161112408289</v>
      </c>
      <c r="AI17" s="68">
        <v>0.65279698002996256</v>
      </c>
      <c r="AJ17" s="69">
        <v>230.95964601834621</v>
      </c>
      <c r="AK17" s="69">
        <v>843.14861100514725</v>
      </c>
      <c r="AL17" s="69">
        <v>3043.2362119038903</v>
      </c>
      <c r="AM17" s="69">
        <v>434.26776123046875</v>
      </c>
      <c r="AN17" s="69">
        <v>4947.204345703125</v>
      </c>
      <c r="AO17" s="69">
        <v>2772.2332157135015</v>
      </c>
      <c r="AP17" s="69">
        <v>573.83194039662681</v>
      </c>
      <c r="AQ17" s="69">
        <v>3419.358616129557</v>
      </c>
      <c r="AR17" s="69">
        <v>409.98145456314103</v>
      </c>
      <c r="AS17" s="69">
        <v>825.58560428619376</v>
      </c>
    </row>
    <row r="18" spans="1:45" x14ac:dyDescent="0.25">
      <c r="A18" s="11">
        <v>43231</v>
      </c>
      <c r="B18" s="59"/>
      <c r="C18" s="60">
        <v>115.05303337573891</v>
      </c>
      <c r="D18" s="60">
        <v>1298.9657613754275</v>
      </c>
      <c r="E18" s="60">
        <v>27.876898704469216</v>
      </c>
      <c r="F18" s="60">
        <v>0</v>
      </c>
      <c r="G18" s="60">
        <v>4143.2522326151529</v>
      </c>
      <c r="H18" s="61">
        <v>46.414296418428435</v>
      </c>
      <c r="I18" s="59">
        <v>273.39614680608133</v>
      </c>
      <c r="J18" s="60">
        <v>812.29139410654716</v>
      </c>
      <c r="K18" s="60">
        <v>44.535358840227047</v>
      </c>
      <c r="L18" s="60">
        <v>0</v>
      </c>
      <c r="M18" s="60">
        <v>0</v>
      </c>
      <c r="N18" s="61">
        <v>0</v>
      </c>
      <c r="O18" s="49">
        <v>0</v>
      </c>
      <c r="P18" s="60">
        <v>0</v>
      </c>
      <c r="Q18" s="50">
        <v>0</v>
      </c>
      <c r="R18" s="50">
        <v>0</v>
      </c>
      <c r="S18" s="60">
        <v>0</v>
      </c>
      <c r="T18" s="64">
        <v>0</v>
      </c>
      <c r="U18" s="65">
        <v>470.23597422190642</v>
      </c>
      <c r="V18" s="62">
        <v>243.24909454437633</v>
      </c>
      <c r="W18" s="62">
        <v>73.450103215513749</v>
      </c>
      <c r="X18" s="62">
        <v>37.995117517175203</v>
      </c>
      <c r="Y18" s="66">
        <v>270.89796968085597</v>
      </c>
      <c r="Z18" s="66">
        <v>140.13322980619444</v>
      </c>
      <c r="AA18" s="67">
        <v>0</v>
      </c>
      <c r="AB18" s="68">
        <v>154.91229613622201</v>
      </c>
      <c r="AC18" s="69">
        <v>0</v>
      </c>
      <c r="AD18" s="412">
        <v>18.388512916845809</v>
      </c>
      <c r="AE18" s="412">
        <v>9.2793959427849355</v>
      </c>
      <c r="AF18" s="69">
        <v>27.19047933287089</v>
      </c>
      <c r="AG18" s="68">
        <v>17.68662096363898</v>
      </c>
      <c r="AH18" s="68">
        <v>9.1491395188844393</v>
      </c>
      <c r="AI18" s="68">
        <v>0.65906911694033254</v>
      </c>
      <c r="AJ18" s="69">
        <v>232.12384893099465</v>
      </c>
      <c r="AK18" s="69">
        <v>850.1518994649249</v>
      </c>
      <c r="AL18" s="69">
        <v>3098.431669235229</v>
      </c>
      <c r="AM18" s="69">
        <v>457.09196119308473</v>
      </c>
      <c r="AN18" s="69">
        <v>4947.204345703125</v>
      </c>
      <c r="AO18" s="69">
        <v>2747.6788983662927</v>
      </c>
      <c r="AP18" s="69">
        <v>520.29960414568575</v>
      </c>
      <c r="AQ18" s="69">
        <v>3328.2416197458906</v>
      </c>
      <c r="AR18" s="69">
        <v>402.91260716120399</v>
      </c>
      <c r="AS18" s="69">
        <v>733.97650111516327</v>
      </c>
    </row>
    <row r="19" spans="1:45" x14ac:dyDescent="0.25">
      <c r="A19" s="11">
        <v>43232</v>
      </c>
      <c r="B19" s="59"/>
      <c r="C19" s="60">
        <v>113.73205616871506</v>
      </c>
      <c r="D19" s="60">
        <v>1288.1567995389298</v>
      </c>
      <c r="E19" s="60">
        <v>27.342799271643212</v>
      </c>
      <c r="F19" s="60">
        <v>0</v>
      </c>
      <c r="G19" s="60">
        <v>4147.2679995218887</v>
      </c>
      <c r="H19" s="61">
        <v>46.164723773797341</v>
      </c>
      <c r="I19" s="59">
        <v>279.64208186467459</v>
      </c>
      <c r="J19" s="60">
        <v>867.52669623692987</v>
      </c>
      <c r="K19" s="60">
        <v>47.666021722555179</v>
      </c>
      <c r="L19" s="60">
        <v>0</v>
      </c>
      <c r="M19" s="60">
        <v>0</v>
      </c>
      <c r="N19" s="61">
        <v>0</v>
      </c>
      <c r="O19" s="49">
        <v>0</v>
      </c>
      <c r="P19" s="60">
        <v>0</v>
      </c>
      <c r="Q19" s="50">
        <v>0</v>
      </c>
      <c r="R19" s="50">
        <v>0</v>
      </c>
      <c r="S19" s="60">
        <v>0</v>
      </c>
      <c r="T19" s="64">
        <v>0</v>
      </c>
      <c r="U19" s="65">
        <v>463.24986079737454</v>
      </c>
      <c r="V19" s="62">
        <v>229.83681441209328</v>
      </c>
      <c r="W19" s="62">
        <v>72.294646603922942</v>
      </c>
      <c r="X19" s="62">
        <v>35.868270410040189</v>
      </c>
      <c r="Y19" s="66">
        <v>294.91242197454676</v>
      </c>
      <c r="Z19" s="66">
        <v>146.31786716679136</v>
      </c>
      <c r="AA19" s="67">
        <v>0</v>
      </c>
      <c r="AB19" s="68">
        <v>160.65899284150845</v>
      </c>
      <c r="AC19" s="69">
        <v>0</v>
      </c>
      <c r="AD19" s="412">
        <v>19.640556580359334</v>
      </c>
      <c r="AE19" s="412">
        <v>9.2026163083478139</v>
      </c>
      <c r="AF19" s="69">
        <v>27.412092521124425</v>
      </c>
      <c r="AG19" s="68">
        <v>19.253402943283582</v>
      </c>
      <c r="AH19" s="68">
        <v>9.552384519792172</v>
      </c>
      <c r="AI19" s="68">
        <v>0.66838662084705214</v>
      </c>
      <c r="AJ19" s="69">
        <v>225.97012227376302</v>
      </c>
      <c r="AK19" s="69">
        <v>836.0785744984945</v>
      </c>
      <c r="AL19" s="69">
        <v>3234.3649885813402</v>
      </c>
      <c r="AM19" s="69">
        <v>596.17341613769531</v>
      </c>
      <c r="AN19" s="69">
        <v>4947.204345703125</v>
      </c>
      <c r="AO19" s="69">
        <v>2833.3378611246744</v>
      </c>
      <c r="AP19" s="69">
        <v>456.0722690582275</v>
      </c>
      <c r="AQ19" s="69">
        <v>3428.919798660278</v>
      </c>
      <c r="AR19" s="69">
        <v>394.345371278127</v>
      </c>
      <c r="AS19" s="69">
        <v>666.7191137949626</v>
      </c>
    </row>
    <row r="20" spans="1:45" x14ac:dyDescent="0.25">
      <c r="A20" s="11">
        <v>43233</v>
      </c>
      <c r="B20" s="59"/>
      <c r="C20" s="60">
        <v>114.44754547278198</v>
      </c>
      <c r="D20" s="60">
        <v>1324.7580743789686</v>
      </c>
      <c r="E20" s="60">
        <v>27.498280493418449</v>
      </c>
      <c r="F20" s="60">
        <v>0</v>
      </c>
      <c r="G20" s="60">
        <v>4214.2216822306445</v>
      </c>
      <c r="H20" s="61">
        <v>46.608846171697103</v>
      </c>
      <c r="I20" s="59">
        <v>278.93480884234128</v>
      </c>
      <c r="J20" s="60">
        <v>833.92141958872492</v>
      </c>
      <c r="K20" s="60">
        <v>46.21961334347715</v>
      </c>
      <c r="L20" s="60">
        <v>0</v>
      </c>
      <c r="M20" s="60">
        <v>0</v>
      </c>
      <c r="N20" s="61">
        <v>0</v>
      </c>
      <c r="O20" s="49">
        <v>0</v>
      </c>
      <c r="P20" s="60">
        <v>0</v>
      </c>
      <c r="Q20" s="50">
        <v>0</v>
      </c>
      <c r="R20" s="50">
        <v>0</v>
      </c>
      <c r="S20" s="60">
        <v>0</v>
      </c>
      <c r="T20" s="64">
        <v>0</v>
      </c>
      <c r="U20" s="65">
        <v>454.22191589693097</v>
      </c>
      <c r="V20" s="62">
        <v>229.1751226900015</v>
      </c>
      <c r="W20" s="62">
        <v>71.160662508171839</v>
      </c>
      <c r="X20" s="62">
        <v>35.903713559943313</v>
      </c>
      <c r="Y20" s="66">
        <v>303.95089371366686</v>
      </c>
      <c r="Z20" s="66">
        <v>153.35672040618036</v>
      </c>
      <c r="AA20" s="67">
        <v>0</v>
      </c>
      <c r="AB20" s="68">
        <v>157.32737777497906</v>
      </c>
      <c r="AC20" s="69">
        <v>0</v>
      </c>
      <c r="AD20" s="412">
        <v>18.880911934249198</v>
      </c>
      <c r="AE20" s="412">
        <v>9.2743117395234069</v>
      </c>
      <c r="AF20" s="69">
        <v>27.836440532737321</v>
      </c>
      <c r="AG20" s="68">
        <v>18.251645274409803</v>
      </c>
      <c r="AH20" s="68">
        <v>9.208765360424378</v>
      </c>
      <c r="AI20" s="68">
        <v>0.66465303513186214</v>
      </c>
      <c r="AJ20" s="69">
        <v>228.03964150746663</v>
      </c>
      <c r="AK20" s="69">
        <v>833.11319440205887</v>
      </c>
      <c r="AL20" s="69">
        <v>3064.7287707010905</v>
      </c>
      <c r="AM20" s="69">
        <v>596.17341613769531</v>
      </c>
      <c r="AN20" s="69">
        <v>4947.204345703125</v>
      </c>
      <c r="AO20" s="69">
        <v>2813.6590657552083</v>
      </c>
      <c r="AP20" s="69">
        <v>428.04398078918456</v>
      </c>
      <c r="AQ20" s="69">
        <v>3411.4562133789054</v>
      </c>
      <c r="AR20" s="69">
        <v>397.20663963953649</v>
      </c>
      <c r="AS20" s="69">
        <v>612.28807217280064</v>
      </c>
    </row>
    <row r="21" spans="1:45" x14ac:dyDescent="0.25">
      <c r="A21" s="11">
        <v>43234</v>
      </c>
      <c r="B21" s="59"/>
      <c r="C21" s="60">
        <v>124.58212770621044</v>
      </c>
      <c r="D21" s="60">
        <v>1271.5347510655715</v>
      </c>
      <c r="E21" s="60">
        <v>27.587989723185775</v>
      </c>
      <c r="F21" s="60">
        <v>0</v>
      </c>
      <c r="G21" s="60">
        <v>4196.7879748026544</v>
      </c>
      <c r="H21" s="61">
        <v>46.537825292348899</v>
      </c>
      <c r="I21" s="59">
        <v>291.80306517283105</v>
      </c>
      <c r="J21" s="60">
        <v>829.83578287760474</v>
      </c>
      <c r="K21" s="60">
        <v>46.025981867313313</v>
      </c>
      <c r="L21" s="60">
        <v>0</v>
      </c>
      <c r="M21" s="60">
        <v>0</v>
      </c>
      <c r="N21" s="61">
        <v>0</v>
      </c>
      <c r="O21" s="49">
        <v>0</v>
      </c>
      <c r="P21" s="60">
        <v>0</v>
      </c>
      <c r="Q21" s="50">
        <v>0</v>
      </c>
      <c r="R21" s="50">
        <v>0</v>
      </c>
      <c r="S21" s="60">
        <v>0</v>
      </c>
      <c r="T21" s="64">
        <v>0</v>
      </c>
      <c r="U21" s="65">
        <v>456.60208186805437</v>
      </c>
      <c r="V21" s="62">
        <v>225.97859969966623</v>
      </c>
      <c r="W21" s="62">
        <v>71.427596804178904</v>
      </c>
      <c r="X21" s="62">
        <v>35.350492138984698</v>
      </c>
      <c r="Y21" s="66">
        <v>294.57112153555636</v>
      </c>
      <c r="Z21" s="66">
        <v>145.78726685657384</v>
      </c>
      <c r="AA21" s="67">
        <v>0</v>
      </c>
      <c r="AB21" s="68">
        <v>156.61584244833952</v>
      </c>
      <c r="AC21" s="69">
        <v>0</v>
      </c>
      <c r="AD21" s="412">
        <v>18.786059285163894</v>
      </c>
      <c r="AE21" s="412">
        <v>9.2374979007496361</v>
      </c>
      <c r="AF21" s="69">
        <v>27.299156137969742</v>
      </c>
      <c r="AG21" s="68">
        <v>18.014062773822072</v>
      </c>
      <c r="AH21" s="68">
        <v>8.9154054310828705</v>
      </c>
      <c r="AI21" s="68">
        <v>0.66893496138705721</v>
      </c>
      <c r="AJ21" s="69">
        <v>228.15658467610677</v>
      </c>
      <c r="AK21" s="69">
        <v>818.9727016448976</v>
      </c>
      <c r="AL21" s="69">
        <v>3136.4206143697106</v>
      </c>
      <c r="AM21" s="69">
        <v>596.17341613769531</v>
      </c>
      <c r="AN21" s="69">
        <v>4947.204345703125</v>
      </c>
      <c r="AO21" s="69">
        <v>2924.834931182862</v>
      </c>
      <c r="AP21" s="69">
        <v>424.67769877115887</v>
      </c>
      <c r="AQ21" s="69">
        <v>3468.5632442474362</v>
      </c>
      <c r="AR21" s="69">
        <v>406.17680778503421</v>
      </c>
      <c r="AS21" s="69">
        <v>711.24266697565724</v>
      </c>
    </row>
    <row r="22" spans="1:45" x14ac:dyDescent="0.25">
      <c r="A22" s="11">
        <v>43235</v>
      </c>
      <c r="B22" s="59"/>
      <c r="C22" s="60">
        <v>122.52953696250916</v>
      </c>
      <c r="D22" s="60">
        <v>1269.1978923797603</v>
      </c>
      <c r="E22" s="60">
        <v>27.48510897060239</v>
      </c>
      <c r="F22" s="60">
        <v>0</v>
      </c>
      <c r="G22" s="60">
        <v>3893.1801099141353</v>
      </c>
      <c r="H22" s="61">
        <v>46.504222921530506</v>
      </c>
      <c r="I22" s="59">
        <v>280.88938287099194</v>
      </c>
      <c r="J22" s="60">
        <v>813.89235706329384</v>
      </c>
      <c r="K22" s="60">
        <v>45.054809951782403</v>
      </c>
      <c r="L22" s="60">
        <v>0</v>
      </c>
      <c r="M22" s="60">
        <v>0</v>
      </c>
      <c r="N22" s="61">
        <v>0</v>
      </c>
      <c r="O22" s="49">
        <v>0</v>
      </c>
      <c r="P22" s="60">
        <v>0</v>
      </c>
      <c r="Q22" s="50">
        <v>0</v>
      </c>
      <c r="R22" s="50">
        <v>0</v>
      </c>
      <c r="S22" s="60">
        <v>0</v>
      </c>
      <c r="T22" s="64">
        <v>0</v>
      </c>
      <c r="U22" s="65">
        <v>449.87429415441403</v>
      </c>
      <c r="V22" s="62">
        <v>232.58487313532041</v>
      </c>
      <c r="W22" s="62">
        <v>70.487472460697717</v>
      </c>
      <c r="X22" s="62">
        <v>36.442001805672433</v>
      </c>
      <c r="Y22" s="66">
        <v>297.63398667192763</v>
      </c>
      <c r="Z22" s="66">
        <v>153.87668050908732</v>
      </c>
      <c r="AA22" s="67">
        <v>0</v>
      </c>
      <c r="AB22" s="68">
        <v>155.68820414013513</v>
      </c>
      <c r="AC22" s="69">
        <v>0</v>
      </c>
      <c r="AD22" s="412">
        <v>18.425990415978024</v>
      </c>
      <c r="AE22" s="412">
        <v>9.23937361843827</v>
      </c>
      <c r="AF22" s="69">
        <v>27.355198760165113</v>
      </c>
      <c r="AG22" s="68">
        <v>17.777720130853268</v>
      </c>
      <c r="AH22" s="68">
        <v>9.1910758960824488</v>
      </c>
      <c r="AI22" s="68">
        <v>0.65919591342147255</v>
      </c>
      <c r="AJ22" s="69">
        <v>224.12051989237466</v>
      </c>
      <c r="AK22" s="69">
        <v>800.08348814646411</v>
      </c>
      <c r="AL22" s="69">
        <v>2997.271505482991</v>
      </c>
      <c r="AM22" s="69">
        <v>596.17341613769531</v>
      </c>
      <c r="AN22" s="69">
        <v>4947.204345703125</v>
      </c>
      <c r="AO22" s="69">
        <v>2873.577650960287</v>
      </c>
      <c r="AP22" s="69">
        <v>444.61756041844689</v>
      </c>
      <c r="AQ22" s="69">
        <v>3468.30519712766</v>
      </c>
      <c r="AR22" s="69">
        <v>417.85353002548209</v>
      </c>
      <c r="AS22" s="69">
        <v>762.45847403208427</v>
      </c>
    </row>
    <row r="23" spans="1:45" x14ac:dyDescent="0.25">
      <c r="A23" s="11">
        <v>43236</v>
      </c>
      <c r="B23" s="59"/>
      <c r="C23" s="60">
        <v>115.8436778783794</v>
      </c>
      <c r="D23" s="60">
        <v>1291.5422613779697</v>
      </c>
      <c r="E23" s="60">
        <v>27.883290911714237</v>
      </c>
      <c r="F23" s="60">
        <v>0</v>
      </c>
      <c r="G23" s="60">
        <v>3707.6146842956605</v>
      </c>
      <c r="H23" s="61">
        <v>53.491740961869468</v>
      </c>
      <c r="I23" s="59">
        <v>273.90317705472313</v>
      </c>
      <c r="J23" s="60">
        <v>773.84213787714623</v>
      </c>
      <c r="K23" s="60">
        <v>42.172237443923976</v>
      </c>
      <c r="L23" s="60">
        <v>0</v>
      </c>
      <c r="M23" s="60">
        <v>0</v>
      </c>
      <c r="N23" s="61">
        <v>0</v>
      </c>
      <c r="O23" s="49">
        <v>0</v>
      </c>
      <c r="P23" s="60">
        <v>0</v>
      </c>
      <c r="Q23" s="50">
        <v>0</v>
      </c>
      <c r="R23" s="50">
        <v>0</v>
      </c>
      <c r="S23" s="60">
        <v>0</v>
      </c>
      <c r="T23" s="64">
        <v>0</v>
      </c>
      <c r="U23" s="65">
        <v>450.72534106679063</v>
      </c>
      <c r="V23" s="62">
        <v>243.78238189378908</v>
      </c>
      <c r="W23" s="62">
        <v>67.489476525829957</v>
      </c>
      <c r="X23" s="62">
        <v>36.50281854863303</v>
      </c>
      <c r="Y23" s="66">
        <v>289.8620012629105</v>
      </c>
      <c r="Z23" s="66">
        <v>156.77673884748717</v>
      </c>
      <c r="AA23" s="67">
        <v>0</v>
      </c>
      <c r="AB23" s="68">
        <v>154.20320972866361</v>
      </c>
      <c r="AC23" s="69">
        <v>0</v>
      </c>
      <c r="AD23" s="412">
        <v>17.516365216461296</v>
      </c>
      <c r="AE23" s="412">
        <v>9.403306025870469</v>
      </c>
      <c r="AF23" s="69">
        <v>26.395076487461722</v>
      </c>
      <c r="AG23" s="68">
        <v>16.90092986166616</v>
      </c>
      <c r="AH23" s="68">
        <v>9.14115218848168</v>
      </c>
      <c r="AI23" s="68">
        <v>0.64898535490061615</v>
      </c>
      <c r="AJ23" s="69">
        <v>218.35205709139507</v>
      </c>
      <c r="AK23" s="69">
        <v>835.3231857299802</v>
      </c>
      <c r="AL23" s="69">
        <v>2986.9482719421385</v>
      </c>
      <c r="AM23" s="69">
        <v>596.17341613769531</v>
      </c>
      <c r="AN23" s="69">
        <v>4947.204345703125</v>
      </c>
      <c r="AO23" s="69">
        <v>2918.7177973429366</v>
      </c>
      <c r="AP23" s="69">
        <v>473.92476072311405</v>
      </c>
      <c r="AQ23" s="69">
        <v>3244.7823548634851</v>
      </c>
      <c r="AR23" s="69">
        <v>429.30018021265681</v>
      </c>
      <c r="AS23" s="69">
        <v>811.3520967165631</v>
      </c>
    </row>
    <row r="24" spans="1:45" x14ac:dyDescent="0.25">
      <c r="A24" s="11">
        <v>43237</v>
      </c>
      <c r="B24" s="59"/>
      <c r="C24" s="60">
        <v>116.98418656190222</v>
      </c>
      <c r="D24" s="60">
        <v>1304.1428955078118</v>
      </c>
      <c r="E24" s="60">
        <v>26.653041934470409</v>
      </c>
      <c r="F24" s="60">
        <v>0</v>
      </c>
      <c r="G24" s="60">
        <v>3762.5015190124541</v>
      </c>
      <c r="H24" s="61">
        <v>59.659662238756752</v>
      </c>
      <c r="I24" s="59">
        <v>267.30097250938439</v>
      </c>
      <c r="J24" s="60">
        <v>773.88725280761639</v>
      </c>
      <c r="K24" s="60">
        <v>42.185908319552787</v>
      </c>
      <c r="L24" s="60">
        <v>0</v>
      </c>
      <c r="M24" s="60">
        <v>0</v>
      </c>
      <c r="N24" s="61">
        <v>0</v>
      </c>
      <c r="O24" s="49">
        <v>0</v>
      </c>
      <c r="P24" s="60">
        <v>0</v>
      </c>
      <c r="Q24" s="50">
        <v>0</v>
      </c>
      <c r="R24" s="50">
        <v>0</v>
      </c>
      <c r="S24" s="60">
        <v>0</v>
      </c>
      <c r="T24" s="64">
        <v>0</v>
      </c>
      <c r="U24" s="65">
        <v>470.62940134384934</v>
      </c>
      <c r="V24" s="62">
        <v>256.63843698589011</v>
      </c>
      <c r="W24" s="62">
        <v>69.168137514601014</v>
      </c>
      <c r="X24" s="62">
        <v>37.718006249258963</v>
      </c>
      <c r="Y24" s="66">
        <v>289.89910032214186</v>
      </c>
      <c r="Z24" s="66">
        <v>158.08458157915416</v>
      </c>
      <c r="AA24" s="67">
        <v>0</v>
      </c>
      <c r="AB24" s="68">
        <v>155.29492752286879</v>
      </c>
      <c r="AC24" s="69">
        <v>0</v>
      </c>
      <c r="AD24" s="412">
        <v>17.521389131335042</v>
      </c>
      <c r="AE24" s="412">
        <v>9.4938765271916097</v>
      </c>
      <c r="AF24" s="69">
        <v>26.426590444644305</v>
      </c>
      <c r="AG24" s="68">
        <v>16.87097164433721</v>
      </c>
      <c r="AH24" s="68">
        <v>9.1998922737778486</v>
      </c>
      <c r="AI24" s="68">
        <v>0.64711977697887479</v>
      </c>
      <c r="AJ24" s="69">
        <v>215.56499760945638</v>
      </c>
      <c r="AK24" s="69">
        <v>844.38593893051166</v>
      </c>
      <c r="AL24" s="69">
        <v>3155.3814278920495</v>
      </c>
      <c r="AM24" s="69">
        <v>596.17341613769531</v>
      </c>
      <c r="AN24" s="69">
        <v>4947.204345703125</v>
      </c>
      <c r="AO24" s="69">
        <v>2933.4415172576905</v>
      </c>
      <c r="AP24" s="69">
        <v>517.86565319697058</v>
      </c>
      <c r="AQ24" s="69">
        <v>3262.7781347910559</v>
      </c>
      <c r="AR24" s="69">
        <v>429.82641220092768</v>
      </c>
      <c r="AS24" s="69">
        <v>871.50421040852848</v>
      </c>
    </row>
    <row r="25" spans="1:45" x14ac:dyDescent="0.25">
      <c r="A25" s="11">
        <v>43238</v>
      </c>
      <c r="B25" s="59"/>
      <c r="C25" s="60">
        <v>117.13949898878685</v>
      </c>
      <c r="D25" s="60">
        <v>1303.3400130589805</v>
      </c>
      <c r="E25" s="60">
        <v>26.287625732024484</v>
      </c>
      <c r="F25" s="60">
        <v>0</v>
      </c>
      <c r="G25" s="60">
        <v>3866.2769945780383</v>
      </c>
      <c r="H25" s="61">
        <v>59.503440527121114</v>
      </c>
      <c r="I25" s="59">
        <v>242.03300994237316</v>
      </c>
      <c r="J25" s="60">
        <v>702.8379708607979</v>
      </c>
      <c r="K25" s="60">
        <v>38.658759828408627</v>
      </c>
      <c r="L25" s="60">
        <v>0</v>
      </c>
      <c r="M25" s="60">
        <v>0</v>
      </c>
      <c r="N25" s="61">
        <v>0</v>
      </c>
      <c r="O25" s="49">
        <v>0</v>
      </c>
      <c r="P25" s="60">
        <v>0</v>
      </c>
      <c r="Q25" s="50">
        <v>0</v>
      </c>
      <c r="R25" s="50">
        <v>0</v>
      </c>
      <c r="S25" s="60">
        <v>0</v>
      </c>
      <c r="T25" s="64">
        <v>0</v>
      </c>
      <c r="U25" s="65">
        <v>421.3534558174747</v>
      </c>
      <c r="V25" s="62">
        <v>259.39534827493549</v>
      </c>
      <c r="W25" s="62">
        <v>61.497684134419814</v>
      </c>
      <c r="X25" s="62">
        <v>37.859457360331021</v>
      </c>
      <c r="Y25" s="66">
        <v>256.99424939204795</v>
      </c>
      <c r="Z25" s="66">
        <v>158.21185730249138</v>
      </c>
      <c r="AA25" s="67">
        <v>0</v>
      </c>
      <c r="AB25" s="68">
        <v>147.15590248107898</v>
      </c>
      <c r="AC25" s="69">
        <v>0</v>
      </c>
      <c r="AD25" s="412">
        <v>15.910596920818566</v>
      </c>
      <c r="AE25" s="412">
        <v>9.4875962100780349</v>
      </c>
      <c r="AF25" s="69">
        <v>24.65827194982106</v>
      </c>
      <c r="AG25" s="68">
        <v>15.073208730778941</v>
      </c>
      <c r="AH25" s="68">
        <v>9.2794307827747655</v>
      </c>
      <c r="AI25" s="68">
        <v>0.61895585168046341</v>
      </c>
      <c r="AJ25" s="69">
        <v>217.48093716303507</v>
      </c>
      <c r="AK25" s="69">
        <v>828.2729148864745</v>
      </c>
      <c r="AL25" s="69">
        <v>3147.3803985595705</v>
      </c>
      <c r="AM25" s="69">
        <v>596.17341613769531</v>
      </c>
      <c r="AN25" s="69">
        <v>4947.204345703125</v>
      </c>
      <c r="AO25" s="69">
        <v>2930.3484213511151</v>
      </c>
      <c r="AP25" s="69">
        <v>462.74265306790659</v>
      </c>
      <c r="AQ25" s="69">
        <v>3128.0627582550055</v>
      </c>
      <c r="AR25" s="69">
        <v>406.21809956232704</v>
      </c>
      <c r="AS25" s="69">
        <v>661.17907193501787</v>
      </c>
    </row>
    <row r="26" spans="1:45" x14ac:dyDescent="0.25">
      <c r="A26" s="11">
        <v>43239</v>
      </c>
      <c r="B26" s="59"/>
      <c r="C26" s="60">
        <v>117.09519527753146</v>
      </c>
      <c r="D26" s="60">
        <v>1302.0846840540576</v>
      </c>
      <c r="E26" s="60">
        <v>26.14681767026584</v>
      </c>
      <c r="F26" s="60">
        <v>0</v>
      </c>
      <c r="G26" s="60">
        <v>3882.6005627949976</v>
      </c>
      <c r="H26" s="61">
        <v>59.4362189094225</v>
      </c>
      <c r="I26" s="59">
        <v>207.11442681948407</v>
      </c>
      <c r="J26" s="60">
        <v>592.16336148579899</v>
      </c>
      <c r="K26" s="60">
        <v>32.760847751299558</v>
      </c>
      <c r="L26" s="60">
        <v>0</v>
      </c>
      <c r="M26" s="60">
        <v>0</v>
      </c>
      <c r="N26" s="61">
        <v>0</v>
      </c>
      <c r="O26" s="49">
        <v>0</v>
      </c>
      <c r="P26" s="60">
        <v>0</v>
      </c>
      <c r="Q26" s="50">
        <v>0</v>
      </c>
      <c r="R26" s="50">
        <v>0</v>
      </c>
      <c r="S26" s="60">
        <v>0</v>
      </c>
      <c r="T26" s="64">
        <v>0</v>
      </c>
      <c r="U26" s="65">
        <v>367.6648983632777</v>
      </c>
      <c r="V26" s="62">
        <v>263.97771411519619</v>
      </c>
      <c r="W26" s="62">
        <v>52.726975694093845</v>
      </c>
      <c r="X26" s="62">
        <v>37.857153559929294</v>
      </c>
      <c r="Y26" s="62">
        <v>211.82017959827323</v>
      </c>
      <c r="Z26" s="62">
        <v>152.08361489699212</v>
      </c>
      <c r="AA26" s="72">
        <v>0</v>
      </c>
      <c r="AB26" s="69">
        <v>134.60918557908786</v>
      </c>
      <c r="AC26" s="69">
        <v>0</v>
      </c>
      <c r="AD26" s="412">
        <v>13.404703106785941</v>
      </c>
      <c r="AE26" s="412">
        <v>9.4792700501384477</v>
      </c>
      <c r="AF26" s="69">
        <v>22.314291803704378</v>
      </c>
      <c r="AG26" s="69">
        <v>12.859281333488505</v>
      </c>
      <c r="AH26" s="69">
        <v>9.2327652345654414</v>
      </c>
      <c r="AI26" s="69">
        <v>0.58207741387271839</v>
      </c>
      <c r="AJ26" s="69">
        <v>217.50421721140543</v>
      </c>
      <c r="AK26" s="69">
        <v>809.50697619120263</v>
      </c>
      <c r="AL26" s="69">
        <v>2951.7343510945643</v>
      </c>
      <c r="AM26" s="69">
        <v>596.17341613769531</v>
      </c>
      <c r="AN26" s="69">
        <v>4947.204345703125</v>
      </c>
      <c r="AO26" s="69">
        <v>2920.3449119567867</v>
      </c>
      <c r="AP26" s="69">
        <v>398.49583950042728</v>
      </c>
      <c r="AQ26" s="69">
        <v>2851.2312281290692</v>
      </c>
      <c r="AR26" s="69">
        <v>405.33146479924517</v>
      </c>
      <c r="AS26" s="69">
        <v>637.7238961855569</v>
      </c>
    </row>
    <row r="27" spans="1:45" x14ac:dyDescent="0.25">
      <c r="A27" s="11">
        <v>43240</v>
      </c>
      <c r="B27" s="59"/>
      <c r="C27" s="60">
        <v>105.7356729547184</v>
      </c>
      <c r="D27" s="60">
        <v>1306.1170557657874</v>
      </c>
      <c r="E27" s="60">
        <v>25.979011936982481</v>
      </c>
      <c r="F27" s="60">
        <v>0</v>
      </c>
      <c r="G27" s="60">
        <v>4089.4990984598826</v>
      </c>
      <c r="H27" s="61">
        <v>59.453340180714669</v>
      </c>
      <c r="I27" s="59">
        <v>208.36160229047198</v>
      </c>
      <c r="J27" s="60">
        <v>592.0837003707876</v>
      </c>
      <c r="K27" s="60">
        <v>32.756551057100332</v>
      </c>
      <c r="L27" s="60">
        <v>0</v>
      </c>
      <c r="M27" s="60">
        <v>0</v>
      </c>
      <c r="N27" s="61">
        <v>0</v>
      </c>
      <c r="O27" s="49">
        <v>0</v>
      </c>
      <c r="P27" s="60">
        <v>0</v>
      </c>
      <c r="Q27" s="50">
        <v>0</v>
      </c>
      <c r="R27" s="50">
        <v>0</v>
      </c>
      <c r="S27" s="60">
        <v>0</v>
      </c>
      <c r="T27" s="64">
        <v>0</v>
      </c>
      <c r="U27" s="65">
        <v>367.21542072463728</v>
      </c>
      <c r="V27" s="62">
        <v>263.39458009764007</v>
      </c>
      <c r="W27" s="62">
        <v>52.334375289819647</v>
      </c>
      <c r="X27" s="62">
        <v>37.538158873973231</v>
      </c>
      <c r="Y27" s="66">
        <v>206.7847569708658</v>
      </c>
      <c r="Z27" s="66">
        <v>148.32161494050106</v>
      </c>
      <c r="AA27" s="67">
        <v>0</v>
      </c>
      <c r="AB27" s="68">
        <v>134.84481186337027</v>
      </c>
      <c r="AC27" s="69">
        <v>0</v>
      </c>
      <c r="AD27" s="412">
        <v>13.404132346625691</v>
      </c>
      <c r="AE27" s="412">
        <v>9.5097820122743357</v>
      </c>
      <c r="AF27" s="69">
        <v>22.205141811900695</v>
      </c>
      <c r="AG27" s="68">
        <v>12.798995810534164</v>
      </c>
      <c r="AH27" s="68">
        <v>9.1804045716125877</v>
      </c>
      <c r="AI27" s="68">
        <v>0.58231778792884759</v>
      </c>
      <c r="AJ27" s="69">
        <v>226.84142373402915</v>
      </c>
      <c r="AK27" s="69">
        <v>823.4671898523967</v>
      </c>
      <c r="AL27" s="69">
        <v>3143.1767407735192</v>
      </c>
      <c r="AM27" s="69">
        <v>558.06863482793165</v>
      </c>
      <c r="AN27" s="69">
        <v>4947.204345703125</v>
      </c>
      <c r="AO27" s="69">
        <v>3000.5669666290287</v>
      </c>
      <c r="AP27" s="69">
        <v>398.20097084045409</v>
      </c>
      <c r="AQ27" s="69">
        <v>2906.5263017018638</v>
      </c>
      <c r="AR27" s="69">
        <v>407.93818101882931</v>
      </c>
      <c r="AS27" s="69">
        <v>604.53610445658376</v>
      </c>
    </row>
    <row r="28" spans="1:45" x14ac:dyDescent="0.25">
      <c r="A28" s="11">
        <v>43241</v>
      </c>
      <c r="B28" s="59"/>
      <c r="C28" s="60">
        <v>101.97647256851215</v>
      </c>
      <c r="D28" s="60">
        <v>1320.0579710006702</v>
      </c>
      <c r="E28" s="60">
        <v>27.616869014998208</v>
      </c>
      <c r="F28" s="60">
        <v>0</v>
      </c>
      <c r="G28" s="60">
        <v>4118.3310231526748</v>
      </c>
      <c r="H28" s="61">
        <v>52.497070554892211</v>
      </c>
      <c r="I28" s="59">
        <v>209.16026337941551</v>
      </c>
      <c r="J28" s="60">
        <v>594.99925524393666</v>
      </c>
      <c r="K28" s="60">
        <v>32.433722255627316</v>
      </c>
      <c r="L28" s="60">
        <v>0</v>
      </c>
      <c r="M28" s="60">
        <v>0</v>
      </c>
      <c r="N28" s="61">
        <v>0</v>
      </c>
      <c r="O28" s="49">
        <v>0</v>
      </c>
      <c r="P28" s="60">
        <v>0</v>
      </c>
      <c r="Q28" s="50">
        <v>0</v>
      </c>
      <c r="R28" s="50">
        <v>0</v>
      </c>
      <c r="S28" s="60">
        <v>0</v>
      </c>
      <c r="T28" s="64">
        <v>0</v>
      </c>
      <c r="U28" s="65">
        <v>364.58449363055462</v>
      </c>
      <c r="V28" s="62">
        <v>262.19117786213104</v>
      </c>
      <c r="W28" s="62">
        <v>51.842721025034841</v>
      </c>
      <c r="X28" s="62">
        <v>37.282726848239683</v>
      </c>
      <c r="Y28" s="66">
        <v>204.31386583958127</v>
      </c>
      <c r="Z28" s="66">
        <v>146.93245070463351</v>
      </c>
      <c r="AA28" s="67">
        <v>0</v>
      </c>
      <c r="AB28" s="68">
        <v>135.96866332160207</v>
      </c>
      <c r="AC28" s="69">
        <v>0</v>
      </c>
      <c r="AD28" s="412">
        <v>13.471833823272904</v>
      </c>
      <c r="AE28" s="412">
        <v>9.6093572097931013</v>
      </c>
      <c r="AF28" s="69">
        <v>21.968059927556194</v>
      </c>
      <c r="AG28" s="68">
        <v>12.645596709951407</v>
      </c>
      <c r="AH28" s="68">
        <v>9.094089172951545</v>
      </c>
      <c r="AI28" s="68">
        <v>0.58168258631080139</v>
      </c>
      <c r="AJ28" s="69">
        <v>221.3553106625875</v>
      </c>
      <c r="AK28" s="69">
        <v>829.88178517023732</v>
      </c>
      <c r="AL28" s="69">
        <v>2885.7240994771323</v>
      </c>
      <c r="AM28" s="69">
        <v>451.39535522460938</v>
      </c>
      <c r="AN28" s="69">
        <v>4947.204345703125</v>
      </c>
      <c r="AO28" s="69">
        <v>2940.6670340220135</v>
      </c>
      <c r="AP28" s="69">
        <v>445.92194080352789</v>
      </c>
      <c r="AQ28" s="69">
        <v>2775.2780836741135</v>
      </c>
      <c r="AR28" s="69">
        <v>398.07752526601155</v>
      </c>
      <c r="AS28" s="69">
        <v>847.40828406016021</v>
      </c>
    </row>
    <row r="29" spans="1:45" x14ac:dyDescent="0.25">
      <c r="A29" s="11">
        <v>43242</v>
      </c>
      <c r="B29" s="59"/>
      <c r="C29" s="60">
        <v>96.861960160731883</v>
      </c>
      <c r="D29" s="60">
        <v>1316.0837338765475</v>
      </c>
      <c r="E29" s="60">
        <v>29.798388806482144</v>
      </c>
      <c r="F29" s="60">
        <v>0</v>
      </c>
      <c r="G29" s="60">
        <v>3944.8790626525893</v>
      </c>
      <c r="H29" s="61">
        <v>42.147339999675815</v>
      </c>
      <c r="I29" s="59">
        <v>258.18002327283205</v>
      </c>
      <c r="J29" s="60">
        <v>748.15404774348008</v>
      </c>
      <c r="K29" s="60">
        <v>40.910773013035502</v>
      </c>
      <c r="L29" s="60">
        <v>0</v>
      </c>
      <c r="M29" s="60">
        <v>0</v>
      </c>
      <c r="N29" s="61">
        <v>0</v>
      </c>
      <c r="O29" s="49">
        <v>0</v>
      </c>
      <c r="P29" s="60">
        <v>0</v>
      </c>
      <c r="Q29" s="50">
        <v>0</v>
      </c>
      <c r="R29" s="50">
        <v>0</v>
      </c>
      <c r="S29" s="60">
        <v>0</v>
      </c>
      <c r="T29" s="64">
        <v>0</v>
      </c>
      <c r="U29" s="65">
        <v>433.00964824522754</v>
      </c>
      <c r="V29" s="62">
        <v>245.55707100068042</v>
      </c>
      <c r="W29" s="62">
        <v>64.067865256842254</v>
      </c>
      <c r="X29" s="62">
        <v>36.33248681984729</v>
      </c>
      <c r="Y29" s="66">
        <v>260.72386774476797</v>
      </c>
      <c r="Z29" s="66">
        <v>147.85487936083106</v>
      </c>
      <c r="AA29" s="67">
        <v>0</v>
      </c>
      <c r="AB29" s="68">
        <v>152.93104131486598</v>
      </c>
      <c r="AC29" s="69">
        <v>0</v>
      </c>
      <c r="AD29" s="412">
        <v>16.938766517701332</v>
      </c>
      <c r="AE29" s="412">
        <v>9.5814366045954866</v>
      </c>
      <c r="AF29" s="69">
        <v>25.341144710116904</v>
      </c>
      <c r="AG29" s="68">
        <v>16.035477483019346</v>
      </c>
      <c r="AH29" s="68">
        <v>9.0936192733460484</v>
      </c>
      <c r="AI29" s="68">
        <v>0.6381239102419165</v>
      </c>
      <c r="AJ29" s="69">
        <v>220.40896320343018</v>
      </c>
      <c r="AK29" s="69">
        <v>836.56160996754966</v>
      </c>
      <c r="AL29" s="69">
        <v>3091.3268487294517</v>
      </c>
      <c r="AM29" s="69">
        <v>451.39535522460938</v>
      </c>
      <c r="AN29" s="69">
        <v>4947.204345703125</v>
      </c>
      <c r="AO29" s="69">
        <v>2876.5241102854411</v>
      </c>
      <c r="AP29" s="69">
        <v>494.07396276791894</v>
      </c>
      <c r="AQ29" s="69">
        <v>3216.2297618230182</v>
      </c>
      <c r="AR29" s="69">
        <v>406.72158095041902</v>
      </c>
      <c r="AS29" s="69">
        <v>821.21314436594628</v>
      </c>
    </row>
    <row r="30" spans="1:45" x14ac:dyDescent="0.25">
      <c r="A30" s="11">
        <v>43243</v>
      </c>
      <c r="B30" s="59"/>
      <c r="C30" s="60">
        <v>86.743210220337261</v>
      </c>
      <c r="D30" s="60">
        <v>1325.3423743565879</v>
      </c>
      <c r="E30" s="60">
        <v>31.192594381173436</v>
      </c>
      <c r="F30" s="60">
        <v>0</v>
      </c>
      <c r="G30" s="60">
        <v>4074.3331428527958</v>
      </c>
      <c r="H30" s="61">
        <v>42.065974887212185</v>
      </c>
      <c r="I30" s="59">
        <v>264.9644470850626</v>
      </c>
      <c r="J30" s="60">
        <v>769.24583622614591</v>
      </c>
      <c r="K30" s="60">
        <v>41.981243773301401</v>
      </c>
      <c r="L30" s="60">
        <v>0</v>
      </c>
      <c r="M30" s="60">
        <v>0</v>
      </c>
      <c r="N30" s="61">
        <v>0</v>
      </c>
      <c r="O30" s="49">
        <v>0</v>
      </c>
      <c r="P30" s="60">
        <v>0</v>
      </c>
      <c r="Q30" s="50">
        <v>0</v>
      </c>
      <c r="R30" s="50">
        <v>0</v>
      </c>
      <c r="S30" s="60">
        <v>0</v>
      </c>
      <c r="T30" s="64">
        <v>0</v>
      </c>
      <c r="U30" s="65">
        <v>451.36692433653934</v>
      </c>
      <c r="V30" s="62">
        <v>247.47799705102815</v>
      </c>
      <c r="W30" s="62">
        <v>66.824076100553299</v>
      </c>
      <c r="X30" s="62">
        <v>36.638680453732256</v>
      </c>
      <c r="Y30" s="66">
        <v>274.51717800355271</v>
      </c>
      <c r="Z30" s="66">
        <v>150.51382302387307</v>
      </c>
      <c r="AA30" s="67">
        <v>0</v>
      </c>
      <c r="AB30" s="68">
        <v>154.69555912017756</v>
      </c>
      <c r="AC30" s="69">
        <v>0</v>
      </c>
      <c r="AD30" s="412">
        <v>17.416673539628881</v>
      </c>
      <c r="AE30" s="412">
        <v>9.4892668116153782</v>
      </c>
      <c r="AF30" s="69">
        <v>26.376460433006297</v>
      </c>
      <c r="AG30" s="68">
        <v>16.890853978745948</v>
      </c>
      <c r="AH30" s="68">
        <v>9.2610124618363532</v>
      </c>
      <c r="AI30" s="68">
        <v>0.64587565928123691</v>
      </c>
      <c r="AJ30" s="69">
        <v>220.1799640973409</v>
      </c>
      <c r="AK30" s="69">
        <v>838.52255102793379</v>
      </c>
      <c r="AL30" s="69">
        <v>3064.5390140533441</v>
      </c>
      <c r="AM30" s="69">
        <v>451.39535522460938</v>
      </c>
      <c r="AN30" s="69">
        <v>4947.204345703125</v>
      </c>
      <c r="AO30" s="69">
        <v>2831.3565682729081</v>
      </c>
      <c r="AP30" s="69">
        <v>533.30520532925914</v>
      </c>
      <c r="AQ30" s="69">
        <v>3232.5280881245926</v>
      </c>
      <c r="AR30" s="69">
        <v>422.27358957926435</v>
      </c>
      <c r="AS30" s="69">
        <v>814.62243598302211</v>
      </c>
    </row>
    <row r="31" spans="1:45" x14ac:dyDescent="0.25">
      <c r="A31" s="11">
        <v>43244</v>
      </c>
      <c r="B31" s="59"/>
      <c r="C31" s="60">
        <v>83.695188121001692</v>
      </c>
      <c r="D31" s="60">
        <v>1340.1394875208523</v>
      </c>
      <c r="E31" s="60">
        <v>32.989751198887838</v>
      </c>
      <c r="F31" s="60">
        <v>0</v>
      </c>
      <c r="G31" s="60">
        <v>4037.1137519836402</v>
      </c>
      <c r="H31" s="61">
        <v>42.057110285758988</v>
      </c>
      <c r="I31" s="59">
        <v>279.19618012110396</v>
      </c>
      <c r="J31" s="60">
        <v>810.52889556884679</v>
      </c>
      <c r="K31" s="60">
        <v>44.358052325248671</v>
      </c>
      <c r="L31" s="60">
        <v>0</v>
      </c>
      <c r="M31" s="60">
        <v>0</v>
      </c>
      <c r="N31" s="61">
        <v>0</v>
      </c>
      <c r="O31" s="49">
        <v>0</v>
      </c>
      <c r="P31" s="60">
        <v>0</v>
      </c>
      <c r="Q31" s="50">
        <v>0</v>
      </c>
      <c r="R31" s="50">
        <v>0</v>
      </c>
      <c r="S31" s="60">
        <v>0</v>
      </c>
      <c r="T31" s="64">
        <v>0</v>
      </c>
      <c r="U31" s="65">
        <v>481.5873024346281</v>
      </c>
      <c r="V31" s="62">
        <v>249.91678997260303</v>
      </c>
      <c r="W31" s="62">
        <v>72.741396973120345</v>
      </c>
      <c r="X31" s="62">
        <v>37.748703792107897</v>
      </c>
      <c r="Y31" s="66">
        <v>296.93176913138115</v>
      </c>
      <c r="Z31" s="66">
        <v>154.09092849218973</v>
      </c>
      <c r="AA31" s="67">
        <v>0</v>
      </c>
      <c r="AB31" s="68">
        <v>159.38501699235815</v>
      </c>
      <c r="AC31" s="69">
        <v>0</v>
      </c>
      <c r="AD31" s="412">
        <v>18.349555227293578</v>
      </c>
      <c r="AE31" s="412">
        <v>9.4932935511375884</v>
      </c>
      <c r="AF31" s="69">
        <v>27.29080984459986</v>
      </c>
      <c r="AG31" s="68">
        <v>17.814380121693976</v>
      </c>
      <c r="AH31" s="68">
        <v>9.244663787558741</v>
      </c>
      <c r="AI31" s="68">
        <v>0.65835216430549592</v>
      </c>
      <c r="AJ31" s="69">
        <v>236.71875</v>
      </c>
      <c r="AK31" s="69">
        <v>843.958408387502</v>
      </c>
      <c r="AL31" s="69">
        <v>3568.0407399495443</v>
      </c>
      <c r="AM31" s="69">
        <v>451.39535522460938</v>
      </c>
      <c r="AN31" s="69">
        <v>4947.204345703125</v>
      </c>
      <c r="AO31" s="69">
        <v>2835.1483712514246</v>
      </c>
      <c r="AP31" s="69">
        <v>554.04984758694968</v>
      </c>
      <c r="AQ31" s="69">
        <v>3347.9886044820155</v>
      </c>
      <c r="AR31" s="69">
        <v>439.4889282544454</v>
      </c>
      <c r="AS31" s="69">
        <v>831.34634024302181</v>
      </c>
    </row>
    <row r="32" spans="1:45" x14ac:dyDescent="0.25">
      <c r="A32" s="11">
        <v>43245</v>
      </c>
      <c r="B32" s="59"/>
      <c r="C32" s="60">
        <v>84.411252057552716</v>
      </c>
      <c r="D32" s="60">
        <v>1351.9243639310187</v>
      </c>
      <c r="E32" s="60">
        <v>33.338616093496483</v>
      </c>
      <c r="F32" s="60">
        <v>0</v>
      </c>
      <c r="G32" s="60">
        <v>4226.7871770222982</v>
      </c>
      <c r="H32" s="61">
        <v>42.005726164579471</v>
      </c>
      <c r="I32" s="59">
        <v>309.34569951693243</v>
      </c>
      <c r="J32" s="60">
        <v>833.54161237080962</v>
      </c>
      <c r="K32" s="60">
        <v>45.569276010990173</v>
      </c>
      <c r="L32" s="60">
        <v>0</v>
      </c>
      <c r="M32" s="60">
        <v>0</v>
      </c>
      <c r="N32" s="61">
        <v>0</v>
      </c>
      <c r="O32" s="49">
        <v>0</v>
      </c>
      <c r="P32" s="60">
        <v>0</v>
      </c>
      <c r="Q32" s="50">
        <v>0</v>
      </c>
      <c r="R32" s="50">
        <v>0</v>
      </c>
      <c r="S32" s="60">
        <v>0</v>
      </c>
      <c r="T32" s="64">
        <v>0</v>
      </c>
      <c r="U32" s="65">
        <v>486.03590247078097</v>
      </c>
      <c r="V32" s="62">
        <v>252.96869072142837</v>
      </c>
      <c r="W32" s="62">
        <v>74.217010133197761</v>
      </c>
      <c r="X32" s="62">
        <v>38.627969224521827</v>
      </c>
      <c r="Y32" s="66">
        <v>300.87286400999909</v>
      </c>
      <c r="Z32" s="66">
        <v>156.59628042969817</v>
      </c>
      <c r="AA32" s="67">
        <v>0</v>
      </c>
      <c r="AB32" s="68">
        <v>162.62047006819049</v>
      </c>
      <c r="AC32" s="69">
        <v>0</v>
      </c>
      <c r="AD32" s="412">
        <v>18.871011894597139</v>
      </c>
      <c r="AE32" s="412">
        <v>9.5777387243110788</v>
      </c>
      <c r="AF32" s="69">
        <v>27.594619605276293</v>
      </c>
      <c r="AG32" s="68">
        <v>17.991795212088888</v>
      </c>
      <c r="AH32" s="68">
        <v>9.3642483104502823</v>
      </c>
      <c r="AI32" s="68">
        <v>0.65768996153501147</v>
      </c>
      <c r="AJ32" s="69">
        <v>223.12160609563193</v>
      </c>
      <c r="AK32" s="69">
        <v>850.95441058476763</v>
      </c>
      <c r="AL32" s="69">
        <v>3180.3693243662519</v>
      </c>
      <c r="AM32" s="69">
        <v>451.39535522460938</v>
      </c>
      <c r="AN32" s="69">
        <v>4947.204345703125</v>
      </c>
      <c r="AO32" s="69">
        <v>2899.6688111623125</v>
      </c>
      <c r="AP32" s="69">
        <v>577.67503104209891</v>
      </c>
      <c r="AQ32" s="69">
        <v>3446.7813400268556</v>
      </c>
      <c r="AR32" s="69">
        <v>442.49660987854003</v>
      </c>
      <c r="AS32" s="69">
        <v>894.37746152877821</v>
      </c>
    </row>
    <row r="33" spans="1:45" x14ac:dyDescent="0.25">
      <c r="A33" s="11">
        <v>43246</v>
      </c>
      <c r="B33" s="59"/>
      <c r="C33" s="60">
        <v>84.15987828175237</v>
      </c>
      <c r="D33" s="60">
        <v>1367.9896974563574</v>
      </c>
      <c r="E33" s="60">
        <v>33.442358246942355</v>
      </c>
      <c r="F33" s="60">
        <v>0</v>
      </c>
      <c r="G33" s="60">
        <v>4382.6782582600863</v>
      </c>
      <c r="H33" s="61">
        <v>42.210299996535078</v>
      </c>
      <c r="I33" s="59">
        <v>326.07836998303782</v>
      </c>
      <c r="J33" s="60">
        <v>856.77820091247702</v>
      </c>
      <c r="K33" s="60">
        <v>47.287770867347753</v>
      </c>
      <c r="L33" s="60">
        <v>0</v>
      </c>
      <c r="M33" s="60">
        <v>0</v>
      </c>
      <c r="N33" s="61">
        <v>0</v>
      </c>
      <c r="O33" s="49">
        <v>0</v>
      </c>
      <c r="P33" s="60">
        <v>0</v>
      </c>
      <c r="Q33" s="50">
        <v>0</v>
      </c>
      <c r="R33" s="50">
        <v>0</v>
      </c>
      <c r="S33" s="60">
        <v>0</v>
      </c>
      <c r="T33" s="64">
        <v>0</v>
      </c>
      <c r="U33" s="65">
        <v>504.9052271267642</v>
      </c>
      <c r="V33" s="62">
        <v>255.08900297407465</v>
      </c>
      <c r="W33" s="62">
        <v>78.021999612987486</v>
      </c>
      <c r="X33" s="62">
        <v>39.418395813762835</v>
      </c>
      <c r="Y33" s="66">
        <v>317.03161128489455</v>
      </c>
      <c r="Z33" s="66">
        <v>160.17120300801355</v>
      </c>
      <c r="AA33" s="67">
        <v>0</v>
      </c>
      <c r="AB33" s="68">
        <v>165.19177605310796</v>
      </c>
      <c r="AC33" s="69">
        <v>0</v>
      </c>
      <c r="AD33" s="412">
        <v>19.395275299506682</v>
      </c>
      <c r="AE33" s="412">
        <v>9.5665986484253285</v>
      </c>
      <c r="AF33" s="69">
        <v>28.842602184083713</v>
      </c>
      <c r="AG33" s="68">
        <v>19.00070434819747</v>
      </c>
      <c r="AH33" s="68">
        <v>9.5995653591638828</v>
      </c>
      <c r="AI33" s="68">
        <v>0.66435402681908717</v>
      </c>
      <c r="AJ33" s="69">
        <v>222.66064716974893</v>
      </c>
      <c r="AK33" s="69">
        <v>864.79099486668906</v>
      </c>
      <c r="AL33" s="69">
        <v>3289.235701370239</v>
      </c>
      <c r="AM33" s="69">
        <v>451.39535522460938</v>
      </c>
      <c r="AN33" s="69">
        <v>4947.204345703125</v>
      </c>
      <c r="AO33" s="69">
        <v>2843.9148665110265</v>
      </c>
      <c r="AP33" s="69">
        <v>589.60839746793113</v>
      </c>
      <c r="AQ33" s="69">
        <v>3598.9497052510578</v>
      </c>
      <c r="AR33" s="69">
        <v>449.37931248346968</v>
      </c>
      <c r="AS33" s="69">
        <v>910.44038105010998</v>
      </c>
    </row>
    <row r="34" spans="1:45" x14ac:dyDescent="0.25">
      <c r="A34" s="11">
        <v>43247</v>
      </c>
      <c r="B34" s="59"/>
      <c r="C34" s="60">
        <v>84.477672545115198</v>
      </c>
      <c r="D34" s="60">
        <v>1378.8612881978322</v>
      </c>
      <c r="E34" s="60">
        <v>33.454270680248747</v>
      </c>
      <c r="F34" s="60">
        <v>0</v>
      </c>
      <c r="G34" s="60">
        <v>4433.835331217455</v>
      </c>
      <c r="H34" s="61">
        <v>42.282462112108952</v>
      </c>
      <c r="I34" s="59">
        <v>326.44225781758661</v>
      </c>
      <c r="J34" s="60">
        <v>856.8420683542887</v>
      </c>
      <c r="K34" s="60">
        <v>47.116555374860887</v>
      </c>
      <c r="L34" s="60">
        <v>0</v>
      </c>
      <c r="M34" s="60">
        <v>0</v>
      </c>
      <c r="N34" s="61">
        <v>0</v>
      </c>
      <c r="O34" s="49">
        <v>0</v>
      </c>
      <c r="P34" s="60">
        <v>0</v>
      </c>
      <c r="Q34" s="50">
        <v>0</v>
      </c>
      <c r="R34" s="50">
        <v>0</v>
      </c>
      <c r="S34" s="60">
        <v>0</v>
      </c>
      <c r="T34" s="64">
        <v>0</v>
      </c>
      <c r="U34" s="65">
        <v>498.1022664905588</v>
      </c>
      <c r="V34" s="62">
        <v>246.54795221874795</v>
      </c>
      <c r="W34" s="62">
        <v>76.482738567010799</v>
      </c>
      <c r="X34" s="62">
        <v>37.857010181132722</v>
      </c>
      <c r="Y34" s="66">
        <v>315.62801745378113</v>
      </c>
      <c r="Z34" s="66">
        <v>156.2278403476567</v>
      </c>
      <c r="AA34" s="67">
        <v>0</v>
      </c>
      <c r="AB34" s="68">
        <v>165.24549913406207</v>
      </c>
      <c r="AC34" s="69">
        <v>0</v>
      </c>
      <c r="AD34" s="412">
        <v>19.395744102932028</v>
      </c>
      <c r="AE34" s="412">
        <v>9.5817264117822702</v>
      </c>
      <c r="AF34" s="69">
        <v>28.282395403914965</v>
      </c>
      <c r="AG34" s="68">
        <v>18.745458480547658</v>
      </c>
      <c r="AH34" s="68">
        <v>9.2785251397128228</v>
      </c>
      <c r="AI34" s="68">
        <v>0.6689077018656</v>
      </c>
      <c r="AJ34" s="69">
        <v>230.30787784258524</v>
      </c>
      <c r="AK34" s="69">
        <v>863.36113704045636</v>
      </c>
      <c r="AL34" s="69">
        <v>3226.7172945658363</v>
      </c>
      <c r="AM34" s="69">
        <v>451.39535522460938</v>
      </c>
      <c r="AN34" s="69">
        <v>4947.204345703125</v>
      </c>
      <c r="AO34" s="69">
        <v>2856.5007509867351</v>
      </c>
      <c r="AP34" s="69">
        <v>565.52035174369803</v>
      </c>
      <c r="AQ34" s="69">
        <v>3555.202649815878</v>
      </c>
      <c r="AR34" s="69">
        <v>452.79697545369464</v>
      </c>
      <c r="AS34" s="69">
        <v>872.8324663480123</v>
      </c>
    </row>
    <row r="35" spans="1:45" x14ac:dyDescent="0.25">
      <c r="A35" s="11">
        <v>43248</v>
      </c>
      <c r="B35" s="59"/>
      <c r="C35" s="60">
        <v>84.304919620355349</v>
      </c>
      <c r="D35" s="60">
        <v>1380.2547429402653</v>
      </c>
      <c r="E35" s="60">
        <v>33.17669967959327</v>
      </c>
      <c r="F35" s="60">
        <v>0</v>
      </c>
      <c r="G35" s="60">
        <v>4455.4560434977202</v>
      </c>
      <c r="H35" s="61">
        <v>42.230703576405929</v>
      </c>
      <c r="I35" s="59">
        <v>326.16560815175387</v>
      </c>
      <c r="J35" s="60">
        <v>856.48344446818089</v>
      </c>
      <c r="K35" s="60">
        <v>46.974074391523985</v>
      </c>
      <c r="L35" s="60">
        <v>0</v>
      </c>
      <c r="M35" s="60">
        <v>0</v>
      </c>
      <c r="N35" s="61">
        <v>0</v>
      </c>
      <c r="O35" s="49">
        <v>0</v>
      </c>
      <c r="P35" s="60">
        <v>0</v>
      </c>
      <c r="Q35" s="50">
        <v>0</v>
      </c>
      <c r="R35" s="50">
        <v>0</v>
      </c>
      <c r="S35" s="60">
        <v>0</v>
      </c>
      <c r="T35" s="64">
        <v>0</v>
      </c>
      <c r="U35" s="65">
        <v>502.75897885377248</v>
      </c>
      <c r="V35" s="62">
        <v>253.97404375128127</v>
      </c>
      <c r="W35" s="62">
        <v>77.748758637020927</v>
      </c>
      <c r="X35" s="62">
        <v>39.275612088928469</v>
      </c>
      <c r="Y35" s="66">
        <v>319.83010961226353</v>
      </c>
      <c r="Z35" s="66">
        <v>161.5655804632928</v>
      </c>
      <c r="AA35" s="67">
        <v>0</v>
      </c>
      <c r="AB35" s="68">
        <v>165.15660945044826</v>
      </c>
      <c r="AC35" s="69">
        <v>0</v>
      </c>
      <c r="AD35" s="412">
        <v>19.387069250104879</v>
      </c>
      <c r="AE35" s="412">
        <v>9.5748337760981297</v>
      </c>
      <c r="AF35" s="69">
        <v>28.729306073983491</v>
      </c>
      <c r="AG35" s="68">
        <v>18.92243512276459</v>
      </c>
      <c r="AH35" s="68">
        <v>9.5588692949978427</v>
      </c>
      <c r="AI35" s="68">
        <v>0.66438091616911932</v>
      </c>
      <c r="AJ35" s="69">
        <v>231.81010080973306</v>
      </c>
      <c r="AK35" s="69">
        <v>834.40122652053822</v>
      </c>
      <c r="AL35" s="69">
        <v>3106.1798756917319</v>
      </c>
      <c r="AM35" s="69">
        <v>451.39535522460938</v>
      </c>
      <c r="AN35" s="69">
        <v>4947.204345703125</v>
      </c>
      <c r="AO35" s="69">
        <v>2811.8676485697433</v>
      </c>
      <c r="AP35" s="69">
        <v>511.3372158527373</v>
      </c>
      <c r="AQ35" s="69">
        <v>3541.2816666920971</v>
      </c>
      <c r="AR35" s="69">
        <v>431.9195902824402</v>
      </c>
      <c r="AS35" s="69">
        <v>680.10648422241218</v>
      </c>
    </row>
    <row r="36" spans="1:45" x14ac:dyDescent="0.25">
      <c r="A36" s="11">
        <v>43249</v>
      </c>
      <c r="B36" s="65"/>
      <c r="C36" s="66">
        <v>84.710570979118572</v>
      </c>
      <c r="D36" s="66">
        <v>1340.9973505020132</v>
      </c>
      <c r="E36" s="66">
        <v>33.330868313213188</v>
      </c>
      <c r="F36" s="66">
        <v>0</v>
      </c>
      <c r="G36" s="66">
        <v>4192.4372446695988</v>
      </c>
      <c r="H36" s="67">
        <v>42.113238839308551</v>
      </c>
      <c r="I36" s="71">
        <v>326.17930475870799</v>
      </c>
      <c r="J36" s="66">
        <v>856.29205977122058</v>
      </c>
      <c r="K36" s="66">
        <v>46.946877185503617</v>
      </c>
      <c r="L36" s="66">
        <v>0</v>
      </c>
      <c r="M36" s="66">
        <v>0</v>
      </c>
      <c r="N36" s="67">
        <v>0</v>
      </c>
      <c r="O36" s="49">
        <v>0</v>
      </c>
      <c r="P36" s="66">
        <v>0</v>
      </c>
      <c r="Q36" s="50">
        <v>0</v>
      </c>
      <c r="R36" s="50">
        <v>0</v>
      </c>
      <c r="S36" s="66">
        <v>0</v>
      </c>
      <c r="T36" s="67">
        <v>0</v>
      </c>
      <c r="U36" s="71">
        <v>500.48694902576528</v>
      </c>
      <c r="V36" s="66">
        <v>248.3560667721689</v>
      </c>
      <c r="W36" s="62">
        <v>77.153967624465167</v>
      </c>
      <c r="X36" s="62">
        <v>38.2860251848305</v>
      </c>
      <c r="Y36" s="66">
        <v>321.33056328458849</v>
      </c>
      <c r="Z36" s="66">
        <v>159.4534982108745</v>
      </c>
      <c r="AA36" s="67">
        <v>0</v>
      </c>
      <c r="AB36" s="68">
        <v>165.14699245029189</v>
      </c>
      <c r="AC36" s="394">
        <v>0</v>
      </c>
      <c r="AD36" s="412">
        <v>19.38558415226716</v>
      </c>
      <c r="AE36" s="412">
        <v>9.5734362819575569</v>
      </c>
      <c r="AF36" s="394">
        <v>28.312683222028959</v>
      </c>
      <c r="AG36" s="68">
        <v>18.762724403282874</v>
      </c>
      <c r="AH36" s="68">
        <v>9.3106052891094144</v>
      </c>
      <c r="AI36" s="68">
        <v>0.66834695452486581</v>
      </c>
      <c r="AJ36" s="394">
        <v>224.80119961102804</v>
      </c>
      <c r="AK36" s="394">
        <v>833.08111937840783</v>
      </c>
      <c r="AL36" s="394">
        <v>3119.8402544657392</v>
      </c>
      <c r="AM36" s="394">
        <v>451.39535522460938</v>
      </c>
      <c r="AN36" s="394">
        <v>4947.204345703125</v>
      </c>
      <c r="AO36" s="394">
        <v>2871.2605424245198</v>
      </c>
      <c r="AP36" s="394">
        <v>499.62272550264998</v>
      </c>
      <c r="AQ36" s="394">
        <v>3575.7527477264407</v>
      </c>
      <c r="AR36" s="394">
        <v>423.88966382344557</v>
      </c>
      <c r="AS36" s="394">
        <v>792.3240650494896</v>
      </c>
    </row>
    <row r="37" spans="1:45" x14ac:dyDescent="0.25">
      <c r="A37" s="11">
        <v>43250</v>
      </c>
      <c r="B37" s="65"/>
      <c r="C37" s="66">
        <v>84.235360002517908</v>
      </c>
      <c r="D37" s="66">
        <v>1319.9896486918149</v>
      </c>
      <c r="E37" s="66">
        <v>33.387769046922521</v>
      </c>
      <c r="F37" s="66">
        <v>0</v>
      </c>
      <c r="G37" s="66">
        <v>4039.0457639058382</v>
      </c>
      <c r="H37" s="67">
        <v>42.112026228507425</v>
      </c>
      <c r="I37" s="71">
        <v>308.54245705604546</v>
      </c>
      <c r="J37" s="66">
        <v>754.74602279663259</v>
      </c>
      <c r="K37" s="66">
        <v>41.246426133314792</v>
      </c>
      <c r="L37" s="66">
        <v>0</v>
      </c>
      <c r="M37" s="66">
        <v>0</v>
      </c>
      <c r="N37" s="67">
        <v>0</v>
      </c>
      <c r="O37" s="49">
        <v>0</v>
      </c>
      <c r="P37" s="66">
        <v>0</v>
      </c>
      <c r="Q37" s="50">
        <v>0</v>
      </c>
      <c r="R37" s="50">
        <v>0</v>
      </c>
      <c r="S37" s="66">
        <v>0</v>
      </c>
      <c r="T37" s="67">
        <v>0</v>
      </c>
      <c r="U37" s="71">
        <v>504.68428433167952</v>
      </c>
      <c r="V37" s="66">
        <v>254.97893414536242</v>
      </c>
      <c r="W37" s="62">
        <v>77.731857621581284</v>
      </c>
      <c r="X37" s="62">
        <v>39.272049518514685</v>
      </c>
      <c r="Y37" s="66">
        <v>333.16289094919978</v>
      </c>
      <c r="Z37" s="66">
        <v>168.32210050587901</v>
      </c>
      <c r="AA37" s="67">
        <v>0</v>
      </c>
      <c r="AB37" s="68">
        <v>165.02748480902824</v>
      </c>
      <c r="AC37" s="394">
        <v>0</v>
      </c>
      <c r="AD37" s="412">
        <v>19.397180447131454</v>
      </c>
      <c r="AE37" s="412">
        <v>9.5541257205470966</v>
      </c>
      <c r="AF37" s="394">
        <v>28.842790998352879</v>
      </c>
      <c r="AG37" s="68">
        <v>19.001821286726358</v>
      </c>
      <c r="AH37" s="68">
        <v>9.6001882541798373</v>
      </c>
      <c r="AI37" s="68">
        <v>0.66435266583455332</v>
      </c>
      <c r="AJ37" s="394">
        <v>221.49762867291767</v>
      </c>
      <c r="AK37" s="394">
        <v>839.23447818756097</v>
      </c>
      <c r="AL37" s="394">
        <v>3110.6759628295904</v>
      </c>
      <c r="AM37" s="394">
        <v>451.39535522460938</v>
      </c>
      <c r="AN37" s="394">
        <v>4947.204345703125</v>
      </c>
      <c r="AO37" s="394">
        <v>2836.6333096822104</v>
      </c>
      <c r="AP37" s="394">
        <v>549.56355320612579</v>
      </c>
      <c r="AQ37" s="394">
        <v>3497.4668512980143</v>
      </c>
      <c r="AR37" s="394">
        <v>429.04460093180336</v>
      </c>
      <c r="AS37" s="394">
        <v>821.78989063898712</v>
      </c>
    </row>
    <row r="38" spans="1:45" ht="15.75" thickBot="1" x14ac:dyDescent="0.3">
      <c r="A38" s="11">
        <v>43251</v>
      </c>
      <c r="B38" s="385"/>
      <c r="C38" s="387">
        <v>84.024430771669515</v>
      </c>
      <c r="D38" s="387">
        <v>1311.7743522644066</v>
      </c>
      <c r="E38" s="387">
        <v>33.410038471221931</v>
      </c>
      <c r="F38" s="387">
        <v>0</v>
      </c>
      <c r="G38" s="387">
        <v>3993.9364865620951</v>
      </c>
      <c r="H38" s="388">
        <v>42.113095919291247</v>
      </c>
      <c r="I38" s="389">
        <v>295.17860428492236</v>
      </c>
      <c r="J38" s="387">
        <v>686.67401676178133</v>
      </c>
      <c r="K38" s="387">
        <v>37.51308240294459</v>
      </c>
      <c r="L38" s="387">
        <v>0</v>
      </c>
      <c r="M38" s="387">
        <v>0</v>
      </c>
      <c r="N38" s="388">
        <v>0</v>
      </c>
      <c r="O38" s="49">
        <v>0</v>
      </c>
      <c r="P38" s="387">
        <v>0</v>
      </c>
      <c r="Q38" s="50">
        <v>0</v>
      </c>
      <c r="R38" s="50">
        <v>0</v>
      </c>
      <c r="S38" s="387">
        <v>0</v>
      </c>
      <c r="T38" s="391">
        <v>0</v>
      </c>
      <c r="U38" s="389">
        <v>502.78691257409798</v>
      </c>
      <c r="V38" s="387">
        <v>254.1239329916958</v>
      </c>
      <c r="W38" s="386">
        <v>76.231410063294618</v>
      </c>
      <c r="X38" s="386">
        <v>38.52969370982224</v>
      </c>
      <c r="Y38" s="387">
        <v>314.4578101178156</v>
      </c>
      <c r="Z38" s="387">
        <v>158.93662597138166</v>
      </c>
      <c r="AA38" s="388">
        <v>0</v>
      </c>
      <c r="AB38" s="392">
        <v>164.95417793061702</v>
      </c>
      <c r="AC38" s="85">
        <v>0</v>
      </c>
      <c r="AD38" s="412">
        <v>19.406206922726891</v>
      </c>
      <c r="AE38" s="412">
        <v>9.5501881860898585</v>
      </c>
      <c r="AF38" s="85">
        <v>28.723190581798519</v>
      </c>
      <c r="AG38" s="392">
        <v>18.920859540838446</v>
      </c>
      <c r="AH38" s="392">
        <v>9.5631829744428849</v>
      </c>
      <c r="AI38" s="392">
        <v>0.66426173639811281</v>
      </c>
      <c r="AJ38" s="85">
        <v>237.2014799118042</v>
      </c>
      <c r="AK38" s="85">
        <v>842.54028806686392</v>
      </c>
      <c r="AL38" s="85">
        <v>3130.7384333292644</v>
      </c>
      <c r="AM38" s="85">
        <v>451.39535522460938</v>
      </c>
      <c r="AN38" s="85">
        <v>4947.204345703125</v>
      </c>
      <c r="AO38" s="85">
        <v>2878.475108718872</v>
      </c>
      <c r="AP38" s="85">
        <v>572.12475309371939</v>
      </c>
      <c r="AQ38" s="85">
        <v>3541.779664230347</v>
      </c>
      <c r="AR38" s="85">
        <v>470.17302745183309</v>
      </c>
      <c r="AS38" s="85">
        <v>868.32437448501571</v>
      </c>
    </row>
    <row r="39" spans="1:45" ht="15.75" thickTop="1" x14ac:dyDescent="0.25">
      <c r="A39" s="46" t="s">
        <v>171</v>
      </c>
      <c r="B39" s="29">
        <f t="shared" ref="B39:AC39" si="0">SUM(B8:B36)</f>
        <v>0</v>
      </c>
      <c r="C39" s="30">
        <f t="shared" si="0"/>
        <v>2970.0510487675692</v>
      </c>
      <c r="D39" s="30">
        <f t="shared" si="0"/>
        <v>36614.180511474588</v>
      </c>
      <c r="E39" s="30">
        <f t="shared" si="0"/>
        <v>803.69878212759932</v>
      </c>
      <c r="F39" s="30">
        <f t="shared" si="0"/>
        <v>0</v>
      </c>
      <c r="G39" s="30">
        <f t="shared" si="0"/>
        <v>109409.89790712997</v>
      </c>
      <c r="H39" s="31">
        <f t="shared" si="0"/>
        <v>1329.5769927998385</v>
      </c>
      <c r="I39" s="29">
        <f t="shared" si="0"/>
        <v>6963.8859728177422</v>
      </c>
      <c r="J39" s="30">
        <f t="shared" si="0"/>
        <v>20333.142223072056</v>
      </c>
      <c r="K39" s="30">
        <f t="shared" si="0"/>
        <v>1117.1042353232704</v>
      </c>
      <c r="L39" s="30">
        <f t="shared" si="0"/>
        <v>2.5491714477539036E-3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11940.648315737817</v>
      </c>
      <c r="V39" s="262">
        <f t="shared" si="0"/>
        <v>7001.5680089836351</v>
      </c>
      <c r="W39" s="262">
        <f t="shared" si="0"/>
        <v>1795.9124064022287</v>
      </c>
      <c r="X39" s="262">
        <f t="shared" si="0"/>
        <v>1046.2897711819419</v>
      </c>
      <c r="Y39" s="262">
        <f t="shared" si="0"/>
        <v>7010.4278308796293</v>
      </c>
      <c r="Z39" s="262">
        <f t="shared" si="0"/>
        <v>4039.5877706599849</v>
      </c>
      <c r="AA39" s="270">
        <f t="shared" si="0"/>
        <v>0</v>
      </c>
      <c r="AB39" s="273">
        <f t="shared" si="0"/>
        <v>4126.8729241371111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SUM(AJ8:AJ36)</f>
        <v>6678.587206474941</v>
      </c>
      <c r="AK39" s="273">
        <f t="shared" si="1"/>
        <v>24476.055694961546</v>
      </c>
      <c r="AL39" s="273">
        <f t="shared" si="1"/>
        <v>88940.190917460131</v>
      </c>
      <c r="AM39" s="273">
        <f t="shared" si="1"/>
        <v>14191.086767101287</v>
      </c>
      <c r="AN39" s="273">
        <f t="shared" si="1"/>
        <v>143196.33763809205</v>
      </c>
      <c r="AO39" s="273">
        <f t="shared" si="1"/>
        <v>81506.556073633852</v>
      </c>
      <c r="AP39" s="273">
        <f t="shared" si="1"/>
        <v>14359.798523982368</v>
      </c>
      <c r="AQ39" s="273">
        <f t="shared" si="1"/>
        <v>90170.268652264276</v>
      </c>
      <c r="AR39" s="273">
        <f t="shared" si="1"/>
        <v>11982.084926541647</v>
      </c>
      <c r="AS39" s="273">
        <f t="shared" si="1"/>
        <v>22077.995839246105</v>
      </c>
    </row>
    <row r="40" spans="1:45" ht="15.75" thickBot="1" x14ac:dyDescent="0.3">
      <c r="A40" s="47" t="s">
        <v>172</v>
      </c>
      <c r="B40" s="32">
        <f>Projection!$AB$30</f>
        <v>0.82128400199999985</v>
      </c>
      <c r="C40" s="33">
        <f>Projection!$AB$28</f>
        <v>1.2667292399999999</v>
      </c>
      <c r="D40" s="33">
        <f>Projection!$AB$31</f>
        <v>3.0824639999999999</v>
      </c>
      <c r="E40" s="33">
        <f>Projection!$AB$26</f>
        <v>3.9898560000000005</v>
      </c>
      <c r="F40" s="33">
        <f>Projection!$AB$23</f>
        <v>0</v>
      </c>
      <c r="G40" s="33">
        <f>Projection!$AB$24</f>
        <v>5.5265000000000002E-2</v>
      </c>
      <c r="H40" s="34">
        <f>Projection!$AB$29</f>
        <v>3.5497125</v>
      </c>
      <c r="I40" s="32">
        <f>Projection!$AB$30</f>
        <v>0.82128400199999985</v>
      </c>
      <c r="J40" s="33">
        <f>Projection!$AB$28</f>
        <v>1.2667292399999999</v>
      </c>
      <c r="K40" s="33">
        <f>Projection!$AB$26</f>
        <v>3.9898560000000005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1.2667292399999999</v>
      </c>
      <c r="T40" s="38">
        <f>Projection!$AB$28</f>
        <v>1.2667292399999999</v>
      </c>
      <c r="U40" s="26">
        <f>Projection!$AB$27</f>
        <v>0.29460000000000003</v>
      </c>
      <c r="V40" s="27">
        <f>Projection!$AB$27</f>
        <v>0.29460000000000003</v>
      </c>
      <c r="W40" s="27">
        <f>Projection!$AB$22</f>
        <v>0.74349432000000004</v>
      </c>
      <c r="X40" s="27">
        <f>Projection!$AB$22</f>
        <v>0.74349432000000004</v>
      </c>
      <c r="Y40" s="27">
        <f>Projection!$AB$31</f>
        <v>3.0824639999999999</v>
      </c>
      <c r="Z40" s="27">
        <f>Projection!$AB$31</f>
        <v>3.0824639999999999</v>
      </c>
      <c r="AA40" s="28">
        <v>0</v>
      </c>
      <c r="AB40" s="41">
        <f>Projection!$AB$27</f>
        <v>0.29460000000000003</v>
      </c>
      <c r="AC40" s="41">
        <f>Projection!$AB$30</f>
        <v>0.82128400199999985</v>
      </c>
      <c r="AD40" s="404">
        <f>SUM(AD8:AD38)</f>
        <v>499.12525058138215</v>
      </c>
      <c r="AE40" s="404">
        <f>SUM(AE8:AE38)</f>
        <v>281.2032542939661</v>
      </c>
      <c r="AF40" s="277">
        <f>SUM(AF8:AF36)</f>
        <v>704.77173679537248</v>
      </c>
      <c r="AG40" s="277">
        <f>SUM(AG8:AG36)</f>
        <v>441.5402093265667</v>
      </c>
      <c r="AH40" s="277">
        <f>SUM(AH8:AH36)</f>
        <v>256.81970982155082</v>
      </c>
      <c r="AI40" s="277">
        <f>IF(SUM(AG40:AH40)&gt;0, AG40/(AG40+AH40), 0)</f>
        <v>0.63225307927919461</v>
      </c>
      <c r="AJ40" s="313">
        <v>6.2E-2</v>
      </c>
      <c r="AK40" s="313">
        <f t="shared" ref="AK40:AS40" si="2">$AJ$40</f>
        <v>6.2E-2</v>
      </c>
      <c r="AL40" s="313">
        <f t="shared" si="2"/>
        <v>6.2E-2</v>
      </c>
      <c r="AM40" s="313">
        <f t="shared" si="2"/>
        <v>6.2E-2</v>
      </c>
      <c r="AN40" s="313">
        <f t="shared" si="2"/>
        <v>6.2E-2</v>
      </c>
      <c r="AO40" s="313">
        <f t="shared" si="2"/>
        <v>6.2E-2</v>
      </c>
      <c r="AP40" s="313">
        <f t="shared" si="2"/>
        <v>6.2E-2</v>
      </c>
      <c r="AQ40" s="313">
        <f t="shared" si="2"/>
        <v>6.2E-2</v>
      </c>
      <c r="AR40" s="313">
        <f t="shared" si="2"/>
        <v>6.2E-2</v>
      </c>
      <c r="AS40" s="313">
        <f t="shared" si="2"/>
        <v>6.2E-2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3762.2505077665455</v>
      </c>
      <c r="D41" s="36">
        <f t="shared" si="3"/>
        <v>112861.893316122</v>
      </c>
      <c r="E41" s="36">
        <f t="shared" si="3"/>
        <v>3206.6424080644952</v>
      </c>
      <c r="F41" s="36">
        <f t="shared" si="3"/>
        <v>0</v>
      </c>
      <c r="G41" s="36">
        <f t="shared" si="3"/>
        <v>6046.5380078375383</v>
      </c>
      <c r="H41" s="37">
        <f t="shared" si="3"/>
        <v>4719.6160710539971</v>
      </c>
      <c r="I41" s="35">
        <f t="shared" si="3"/>
        <v>5719.3281412274173</v>
      </c>
      <c r="J41" s="36">
        <f t="shared" si="3"/>
        <v>25756.585795043975</v>
      </c>
      <c r="K41" s="36">
        <f t="shared" si="3"/>
        <v>4457.0850359299629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3517.7149938163611</v>
      </c>
      <c r="V41" s="268">
        <f t="shared" si="3"/>
        <v>2062.6619354465793</v>
      </c>
      <c r="W41" s="268">
        <f t="shared" si="3"/>
        <v>1335.2506733775888</v>
      </c>
      <c r="X41" s="268">
        <f t="shared" si="3"/>
        <v>777.91050194787351</v>
      </c>
      <c r="Y41" s="268">
        <f t="shared" si="3"/>
        <v>21609.391413284546</v>
      </c>
      <c r="Z41" s="268">
        <f t="shared" si="3"/>
        <v>12451.88387789966</v>
      </c>
      <c r="AA41" s="272">
        <f t="shared" si="3"/>
        <v>0</v>
      </c>
      <c r="AB41" s="275">
        <f t="shared" si="3"/>
        <v>1215.7767634507929</v>
      </c>
      <c r="AC41" s="275">
        <f t="shared" si="3"/>
        <v>0</v>
      </c>
      <c r="AJ41" s="278">
        <f t="shared" ref="AJ41:AS41" si="4">AJ40*AJ39</f>
        <v>414.07240680144633</v>
      </c>
      <c r="AK41" s="278">
        <f t="shared" si="4"/>
        <v>1517.5154530876159</v>
      </c>
      <c r="AL41" s="278">
        <f t="shared" si="4"/>
        <v>5514.2918368825285</v>
      </c>
      <c r="AM41" s="278">
        <f t="shared" si="4"/>
        <v>879.84737956027982</v>
      </c>
      <c r="AN41" s="278">
        <f t="shared" si="4"/>
        <v>8878.1729335617074</v>
      </c>
      <c r="AO41" s="278">
        <f t="shared" si="4"/>
        <v>5053.4064765652984</v>
      </c>
      <c r="AP41" s="278">
        <f t="shared" si="4"/>
        <v>890.30750848690684</v>
      </c>
      <c r="AQ41" s="278">
        <f t="shared" si="4"/>
        <v>5590.5566564403853</v>
      </c>
      <c r="AR41" s="278">
        <f t="shared" si="4"/>
        <v>742.88926544558217</v>
      </c>
      <c r="AS41" s="278">
        <f t="shared" si="4"/>
        <v>1368.8357420332584</v>
      </c>
    </row>
    <row r="42" spans="1:45" ht="49.5" customHeight="1" thickTop="1" thickBot="1" x14ac:dyDescent="0.3">
      <c r="A42" s="637">
        <f>APRIL!$A$42+30</f>
        <v>43222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9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506.52</v>
      </c>
      <c r="AK42" s="278" t="s">
        <v>197</v>
      </c>
      <c r="AL42" s="278">
        <v>758.83</v>
      </c>
      <c r="AM42" s="278">
        <v>552.30999999999995</v>
      </c>
      <c r="AN42" s="278">
        <v>371.91</v>
      </c>
      <c r="AO42" s="278">
        <v>3623.17</v>
      </c>
      <c r="AP42" s="278">
        <v>341.26</v>
      </c>
      <c r="AQ42" s="278" t="s">
        <v>197</v>
      </c>
      <c r="AR42" s="278">
        <v>60.28</v>
      </c>
      <c r="AS42" s="278">
        <v>189.37</v>
      </c>
    </row>
    <row r="43" spans="1:45" ht="38.25" customHeight="1" thickTop="1" thickBot="1" x14ac:dyDescent="0.3">
      <c r="A43" s="634" t="s">
        <v>49</v>
      </c>
      <c r="B43" s="630"/>
      <c r="C43" s="289"/>
      <c r="D43" s="630" t="s">
        <v>47</v>
      </c>
      <c r="E43" s="630"/>
      <c r="F43" s="289"/>
      <c r="G43" s="630" t="s">
        <v>48</v>
      </c>
      <c r="H43" s="630"/>
      <c r="I43" s="290"/>
      <c r="J43" s="630" t="s">
        <v>50</v>
      </c>
      <c r="K43" s="631"/>
      <c r="L43" s="44"/>
      <c r="M43" s="44"/>
      <c r="N43" s="44"/>
      <c r="O43" s="45"/>
      <c r="P43" s="45"/>
      <c r="Q43" s="45"/>
      <c r="R43" s="621" t="s">
        <v>166</v>
      </c>
      <c r="S43" s="622"/>
      <c r="T43" s="622"/>
      <c r="U43" s="623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209500.52944226933</v>
      </c>
      <c r="C44" s="12"/>
      <c r="D44" s="282" t="s">
        <v>135</v>
      </c>
      <c r="E44" s="283">
        <f>SUM(B41:H41)+P41+R41+T41+V41+X41+Z41</f>
        <v>145889.39662613868</v>
      </c>
      <c r="F44" s="12"/>
      <c r="G44" s="282" t="s">
        <v>135</v>
      </c>
      <c r="H44" s="283">
        <f>SUM(I41:N41)+O41+Q41+S41+U41+W41+Y41</f>
        <v>62395.356052679854</v>
      </c>
      <c r="I44" s="12"/>
      <c r="J44" s="282" t="s">
        <v>198</v>
      </c>
      <c r="K44" s="283">
        <v>145446.01</v>
      </c>
      <c r="L44" s="12"/>
      <c r="M44" s="12"/>
      <c r="N44" s="12"/>
      <c r="O44" s="12"/>
      <c r="P44" s="12"/>
      <c r="Q44" s="12"/>
      <c r="R44" s="320" t="s">
        <v>135</v>
      </c>
      <c r="S44" s="321"/>
      <c r="T44" s="31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30849.895658865007</v>
      </c>
      <c r="C45" s="12"/>
      <c r="D45" s="284" t="s">
        <v>183</v>
      </c>
      <c r="E45" s="285">
        <f>AJ41*(1-$AI$40)+AK41+AL41*0.5+AN41+AO41*(1-$AI$40)+AP41*(1-$AI$40)+AQ41*(1-$AI$40)+AR41*0.5+AS41*0.5</f>
        <v>18602.663172555986</v>
      </c>
      <c r="F45" s="24"/>
      <c r="G45" s="284" t="s">
        <v>183</v>
      </c>
      <c r="H45" s="285">
        <f>AJ41*AI40+AL41*0.5+AM41+AO41*AI40+AP41*AI40+AQ41*AI40+AR41*0.5+AS41*0.5</f>
        <v>12247.232486309025</v>
      </c>
      <c r="I45" s="12"/>
      <c r="J45" s="12"/>
      <c r="K45" s="288"/>
      <c r="L45" s="12"/>
      <c r="M45" s="12"/>
      <c r="N45" s="12"/>
      <c r="O45" s="12"/>
      <c r="P45" s="12"/>
      <c r="Q45" s="12"/>
      <c r="R45" s="318" t="s">
        <v>141</v>
      </c>
      <c r="S45" s="319"/>
      <c r="T45" s="254">
        <f>$W$39+$X$39</f>
        <v>2842.2021775841704</v>
      </c>
      <c r="U45" s="256">
        <f>(T45*8.34*0.895)/27000</f>
        <v>0.7857425820052415</v>
      </c>
    </row>
    <row r="46" spans="1:45" ht="32.25" thickBot="1" x14ac:dyDescent="0.3">
      <c r="A46" s="286" t="s">
        <v>184</v>
      </c>
      <c r="B46" s="287">
        <f>SUM(AJ42:AS42)</f>
        <v>6403.65</v>
      </c>
      <c r="C46" s="12"/>
      <c r="D46" s="286" t="s">
        <v>184</v>
      </c>
      <c r="E46" s="287">
        <f>AJ42*(1-$AI$40)+AL42*0.5+AN42+AO42*(1-$AI$40)+AP42*(1-$AI$40)+AR42*0.5+AS42*0.5</f>
        <v>2520.3280951966849</v>
      </c>
      <c r="F46" s="23"/>
      <c r="G46" s="286" t="s">
        <v>184</v>
      </c>
      <c r="H46" s="287">
        <f>AJ42*AI40+AL42*0.5+AM42+AO42*AI40+AP42*AI40+AR42*0.5+AS42*0.5</f>
        <v>3883.3219048033152</v>
      </c>
      <c r="I46" s="12"/>
      <c r="J46" s="632" t="s">
        <v>199</v>
      </c>
      <c r="K46" s="633"/>
      <c r="L46" s="12"/>
      <c r="M46" s="12"/>
      <c r="N46" s="12"/>
      <c r="O46" s="12"/>
      <c r="P46" s="12"/>
      <c r="Q46" s="12"/>
      <c r="R46" s="318" t="s">
        <v>145</v>
      </c>
      <c r="S46" s="31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145446.01</v>
      </c>
      <c r="C47" s="12"/>
      <c r="D47" s="286" t="s">
        <v>187</v>
      </c>
      <c r="E47" s="287">
        <f>K44*0.5</f>
        <v>72723.005000000005</v>
      </c>
      <c r="F47" s="24"/>
      <c r="G47" s="286" t="s">
        <v>185</v>
      </c>
      <c r="H47" s="287">
        <f>K44*0.5</f>
        <v>72723.005000000005</v>
      </c>
      <c r="I47" s="12"/>
      <c r="J47" s="282" t="s">
        <v>198</v>
      </c>
      <c r="K47" s="283">
        <v>405313.89</v>
      </c>
      <c r="L47" s="12"/>
      <c r="M47" s="12"/>
      <c r="N47" s="12"/>
      <c r="O47" s="12"/>
      <c r="P47" s="12"/>
      <c r="Q47" s="12"/>
      <c r="R47" s="318" t="s">
        <v>148</v>
      </c>
      <c r="S47" s="319"/>
      <c r="T47" s="254">
        <f>$G$39</f>
        <v>109409.89790712997</v>
      </c>
      <c r="U47" s="256">
        <f>T47/40000</f>
        <v>2.7352474476782493</v>
      </c>
    </row>
    <row r="48" spans="1:45" ht="24" thickBot="1" x14ac:dyDescent="0.3">
      <c r="A48" s="286" t="s">
        <v>186</v>
      </c>
      <c r="B48" s="287">
        <f>K47</f>
        <v>405313.89</v>
      </c>
      <c r="C48" s="12"/>
      <c r="D48" s="286" t="s">
        <v>186</v>
      </c>
      <c r="E48" s="287">
        <f>K47*0.5</f>
        <v>202656.94500000001</v>
      </c>
      <c r="F48" s="23"/>
      <c r="G48" s="286" t="s">
        <v>186</v>
      </c>
      <c r="H48" s="287">
        <f>K47*0.5</f>
        <v>202656.94500000001</v>
      </c>
      <c r="I48" s="12"/>
      <c r="J48" s="12"/>
      <c r="K48" s="86"/>
      <c r="L48" s="12"/>
      <c r="M48" s="12"/>
      <c r="N48" s="12"/>
      <c r="O48" s="12"/>
      <c r="P48" s="12"/>
      <c r="Q48" s="12"/>
      <c r="R48" s="318" t="s">
        <v>150</v>
      </c>
      <c r="S48" s="319"/>
      <c r="T48" s="254">
        <f>$L$39</f>
        <v>2.5491714477539036E-3</v>
      </c>
      <c r="U48" s="256">
        <f>T48*9.34*0.107</f>
        <v>2.5475909614562963E-3</v>
      </c>
    </row>
    <row r="49" spans="1:25" ht="48" thickTop="1" thickBot="1" x14ac:dyDescent="0.3">
      <c r="A49" s="291" t="s">
        <v>194</v>
      </c>
      <c r="B49" s="292">
        <f>AF40</f>
        <v>704.77173679537248</v>
      </c>
      <c r="C49" s="12"/>
      <c r="D49" s="291" t="s">
        <v>195</v>
      </c>
      <c r="E49" s="292">
        <f>AH40</f>
        <v>256.81970982155082</v>
      </c>
      <c r="F49" s="23"/>
      <c r="G49" s="291" t="s">
        <v>196</v>
      </c>
      <c r="H49" s="292">
        <f>AG40</f>
        <v>441.5402093265667</v>
      </c>
      <c r="I49" s="12"/>
      <c r="J49" s="12"/>
      <c r="K49" s="86"/>
      <c r="L49" s="12"/>
      <c r="M49" s="12"/>
      <c r="N49" s="12"/>
      <c r="O49" s="12"/>
      <c r="P49" s="12"/>
      <c r="Q49" s="12"/>
      <c r="R49" s="318" t="s">
        <v>152</v>
      </c>
      <c r="S49" s="319"/>
      <c r="T49" s="254">
        <f>$E$39+$K$39</f>
        <v>1920.8030174508697</v>
      </c>
      <c r="U49" s="256">
        <f>(T49*8.34*1.04)/45000</f>
        <v>0.37022837893693028</v>
      </c>
    </row>
    <row r="50" spans="1:25" ht="48" customHeight="1" thickTop="1" thickBot="1" x14ac:dyDescent="0.3">
      <c r="A50" s="291" t="s">
        <v>223</v>
      </c>
      <c r="B50" s="292">
        <f>SUM(E50+H50)</f>
        <v>780.32850487534824</v>
      </c>
      <c r="C50" s="12"/>
      <c r="D50" s="291" t="s">
        <v>226</v>
      </c>
      <c r="E50" s="292">
        <f>AE40</f>
        <v>281.2032542939661</v>
      </c>
      <c r="F50" s="23"/>
      <c r="G50" s="291" t="s">
        <v>227</v>
      </c>
      <c r="H50" s="292">
        <f>AD40</f>
        <v>499.12525058138215</v>
      </c>
      <c r="I50" s="12"/>
      <c r="J50" s="12"/>
      <c r="K50" s="86"/>
      <c r="L50" s="12"/>
      <c r="M50" s="12"/>
      <c r="N50" s="12"/>
      <c r="O50" s="12"/>
      <c r="P50" s="12"/>
      <c r="Q50" s="12"/>
      <c r="R50" s="318"/>
      <c r="S50" s="319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1022.0233787672942</v>
      </c>
      <c r="C51" s="12"/>
      <c r="D51" s="291" t="s">
        <v>188</v>
      </c>
      <c r="E51" s="294">
        <f>SUM(E44:E48)/E50</f>
        <v>1573.2120135118364</v>
      </c>
      <c r="F51" s="375">
        <f>E44/E49</f>
        <v>568.06152739409606</v>
      </c>
      <c r="G51" s="291" t="s">
        <v>189</v>
      </c>
      <c r="H51" s="294">
        <f>SUM(H44:H48)/H50</f>
        <v>709.05220689909379</v>
      </c>
      <c r="I51" s="365">
        <f>H44/H49</f>
        <v>141.31296478715882</v>
      </c>
      <c r="J51" s="12"/>
      <c r="K51" s="86"/>
      <c r="L51" s="12"/>
      <c r="M51" s="12"/>
      <c r="N51" s="12"/>
      <c r="O51" s="12"/>
      <c r="P51" s="12"/>
      <c r="Q51" s="12"/>
      <c r="R51" s="318" t="s">
        <v>153</v>
      </c>
      <c r="S51" s="319"/>
      <c r="T51" s="254">
        <f>$U$39+$V$39+$AB$39</f>
        <v>23069.089248858563</v>
      </c>
      <c r="U51" s="256">
        <f>T51/2000/8</f>
        <v>1.4418180780536602</v>
      </c>
    </row>
    <row r="52" spans="1:25" ht="57" customHeight="1" thickTop="1" thickBot="1" x14ac:dyDescent="0.3">
      <c r="A52" s="281" t="s">
        <v>191</v>
      </c>
      <c r="B52" s="294">
        <f>B51/1000</f>
        <v>1.0220233787672941</v>
      </c>
      <c r="C52" s="12"/>
      <c r="D52" s="281" t="s">
        <v>192</v>
      </c>
      <c r="E52" s="294">
        <f>E51/1000</f>
        <v>1.5732120135118364</v>
      </c>
      <c r="F52" s="12"/>
      <c r="G52" s="281" t="s">
        <v>193</v>
      </c>
      <c r="H52" s="294">
        <f>H51/1000</f>
        <v>0.70905220689909376</v>
      </c>
      <c r="I52" s="12"/>
      <c r="J52" s="12"/>
      <c r="K52" s="86"/>
      <c r="L52" s="12"/>
      <c r="M52" s="12"/>
      <c r="N52" s="12"/>
      <c r="O52" s="12"/>
      <c r="P52" s="12"/>
      <c r="Q52" s="12"/>
      <c r="R52" s="318" t="s">
        <v>154</v>
      </c>
      <c r="S52" s="319"/>
      <c r="T52" s="254">
        <f>$C$39+$J$39+$S$39+$T$39</f>
        <v>23303.193271839627</v>
      </c>
      <c r="U52" s="256">
        <f>(T52*8.34*1.4)/45000</f>
        <v>6.0464018809333213</v>
      </c>
    </row>
    <row r="53" spans="1:25" ht="16.5" thickTop="1" thickBot="1" x14ac:dyDescent="0.3">
      <c r="A53" s="303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8" t="s">
        <v>155</v>
      </c>
      <c r="S53" s="319"/>
      <c r="T53" s="254">
        <f>$H$39</f>
        <v>1329.5769927998385</v>
      </c>
      <c r="U53" s="256">
        <f>(T53*8.34*1.135)/45000</f>
        <v>0.27968095235875534</v>
      </c>
    </row>
    <row r="54" spans="1:25" ht="48" customHeight="1" thickTop="1" thickBot="1" x14ac:dyDescent="0.3">
      <c r="A54" s="624" t="s">
        <v>51</v>
      </c>
      <c r="B54" s="625"/>
      <c r="C54" s="625"/>
      <c r="D54" s="625"/>
      <c r="E54" s="626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8" t="s">
        <v>156</v>
      </c>
      <c r="S54" s="319"/>
      <c r="T54" s="254">
        <f>$B$39+$I$39+$AC$39</f>
        <v>6963.8859728177422</v>
      </c>
      <c r="U54" s="256">
        <f>(T54*8.34*1.029*0.03)/3300</f>
        <v>0.54330085886077872</v>
      </c>
    </row>
    <row r="55" spans="1:25" ht="45.75" customHeight="1" thickBot="1" x14ac:dyDescent="0.3">
      <c r="A55" s="627" t="s">
        <v>200</v>
      </c>
      <c r="B55" s="628"/>
      <c r="C55" s="628"/>
      <c r="D55" s="628"/>
      <c r="E55" s="629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5" t="s">
        <v>158</v>
      </c>
      <c r="S55" s="636"/>
      <c r="T55" s="258">
        <f>$D$39+$Y$39+$Z$39</f>
        <v>47664.196113014201</v>
      </c>
      <c r="U55" s="259">
        <f>(T55*1.54*8.34)/45000</f>
        <v>13.603997093269092</v>
      </c>
    </row>
    <row r="56" spans="1:25" ht="24" thickTop="1" x14ac:dyDescent="0.25">
      <c r="A56" s="642"/>
      <c r="B56" s="64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44"/>
      <c r="B57" s="645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40"/>
      <c r="B58" s="64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41"/>
      <c r="B59" s="64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40"/>
      <c r="B60" s="64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41"/>
      <c r="B61" s="641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  <row r="65" spans="1:3" x14ac:dyDescent="0.25">
      <c r="A65" s="12"/>
      <c r="B65" s="12"/>
      <c r="C65" s="12"/>
    </row>
  </sheetData>
  <sheetProtection algorithmName="SHA-512" hashValue="HzmJeHuDL7T7hFs82aNvO3QWaKELzQWG8hukD3Xblt5JchbT4EOH/yMi+Gc65wQz+1kgSHc1YwchyC6U/wmrzw==" saltValue="Hr+btzfok3HEfnbzQ6f9dg==" spinCount="100000" sheet="1" objects="1" scenarios="1" selectLockedCells="1" selectUnlockedCells="1"/>
  <mergeCells count="36"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R43:U43"/>
    <mergeCell ref="AD4:AD5"/>
    <mergeCell ref="AE4:AE5"/>
    <mergeCell ref="A54:E54"/>
    <mergeCell ref="A55:E55"/>
    <mergeCell ref="R55:S55"/>
    <mergeCell ref="A42:K42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Linder, Kevin</cp:lastModifiedBy>
  <cp:lastPrinted>2018-06-19T09:19:18Z</cp:lastPrinted>
  <dcterms:created xsi:type="dcterms:W3CDTF">2010-10-11T23:47:50Z</dcterms:created>
  <dcterms:modified xsi:type="dcterms:W3CDTF">2019-02-01T17:54:47Z</dcterms:modified>
</cp:coreProperties>
</file>