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K:\Dept\Water\Divisions\Water Treatment\Binney\Operations\BWPF Operating Reports\BWPF Cost Reports and Query Tool\Previous Years BWPF Cost Reports\"/>
    </mc:Choice>
  </mc:AlternateContent>
  <xr:revisionPtr revIDLastSave="0" documentId="10_ncr:100000_{BD15156A-5300-4B31-BFDF-6A3098B9737B}" xr6:coauthVersionLast="31" xr6:coauthVersionMax="41" xr10:uidLastSave="{00000000-0000-0000-0000-000000000000}"/>
  <bookViews>
    <workbookView xWindow="-120" yWindow="-120" windowWidth="25440" windowHeight="15390" tabRatio="928" firstSheet="4" activeTab="4" xr2:uid="{00000000-000D-0000-FFFF-FFFF00000000}"/>
  </bookViews>
  <sheets>
    <sheet name="Instructions" sheetId="29" r:id="rId1"/>
    <sheet name="Yearly Summary " sheetId="27" r:id="rId2"/>
    <sheet name="Projection Instructions" sheetId="30" r:id="rId3"/>
    <sheet name="Projection" sheetId="28" r:id="rId4"/>
    <sheet name="JANUARY" sheetId="22" r:id="rId5"/>
    <sheet name="FEBRUARY" sheetId="21" r:id="rId6"/>
    <sheet name="MARCH" sheetId="20" r:id="rId7"/>
    <sheet name="APRIL" sheetId="19" r:id="rId8"/>
    <sheet name="MAY" sheetId="18" r:id="rId9"/>
    <sheet name="JUNE" sheetId="17" r:id="rId10"/>
    <sheet name="JULY" sheetId="24" r:id="rId11"/>
    <sheet name="AUGUST" sheetId="23" r:id="rId12"/>
    <sheet name="SEPTEMBER" sheetId="16" r:id="rId13"/>
    <sheet name="OCTOBER" sheetId="6" r:id="rId14"/>
    <sheet name="NOVEMBER" sheetId="25" r:id="rId15"/>
    <sheet name="DECEMBER" sheetId="26" r:id="rId16"/>
  </sheets>
  <externalReferences>
    <externalReference r:id="rId17"/>
  </externalReferences>
  <definedNames>
    <definedName name="_xlnm.Print_Area" localSheetId="7">APRIL!$A$42:$K$55</definedName>
    <definedName name="_xlnm.Print_Area" localSheetId="11">AUGUST!$A$42:$K$55</definedName>
    <definedName name="_xlnm.Print_Area" localSheetId="15">DECEMBER!$A$42:$K$55</definedName>
    <definedName name="_xlnm.Print_Area" localSheetId="5">FEBRUARY!$A$42:$K$55</definedName>
    <definedName name="_xlnm.Print_Area" localSheetId="4">JANUARY!$A$42:$K$55</definedName>
    <definedName name="_xlnm.Print_Area" localSheetId="10">JULY!$A$42:$K$55</definedName>
    <definedName name="_xlnm.Print_Area" localSheetId="9">JUNE!$A$42:$K$55</definedName>
    <definedName name="_xlnm.Print_Area" localSheetId="6">MARCH!$A$42:$K$55</definedName>
    <definedName name="_xlnm.Print_Area" localSheetId="8">MAY!$A$42:$K$55</definedName>
    <definedName name="_xlnm.Print_Area" localSheetId="14">NOVEMBER!$A$42:$K$55</definedName>
    <definedName name="_xlnm.Print_Area" localSheetId="13">OCTOBER!$A$42:$K$55</definedName>
    <definedName name="_xlnm.Print_Area" localSheetId="12">SEPTEMBER!$A$42:$K$55</definedName>
  </definedNames>
  <calcPr calcId="179017"/>
</workbook>
</file>

<file path=xl/calcChain.xml><?xml version="1.0" encoding="utf-8"?>
<calcChain xmlns="http://schemas.openxmlformats.org/spreadsheetml/2006/main">
  <c r="F51" i="26" l="1"/>
  <c r="I51" i="26"/>
  <c r="AS39" i="18" l="1"/>
  <c r="AR39" i="18"/>
  <c r="AQ39" i="18"/>
  <c r="AP39" i="18"/>
  <c r="AO39" i="18"/>
  <c r="AN39" i="18"/>
  <c r="AM39" i="18"/>
  <c r="AL39" i="18"/>
  <c r="AK39" i="18"/>
  <c r="AJ39" i="18"/>
  <c r="AH40" i="18"/>
  <c r="AG40" i="18"/>
  <c r="AF40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AS39" i="17"/>
  <c r="AR39" i="17"/>
  <c r="AQ39" i="17"/>
  <c r="AP39" i="17"/>
  <c r="AO39" i="17"/>
  <c r="AN39" i="17"/>
  <c r="AM39" i="17"/>
  <c r="AL39" i="17"/>
  <c r="AK39" i="17"/>
  <c r="AJ39" i="17"/>
  <c r="AH40" i="17"/>
  <c r="AG40" i="17"/>
  <c r="AF40" i="17"/>
  <c r="AE40" i="17"/>
  <c r="AD40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A42" i="21" l="1"/>
  <c r="A42" i="20" s="1"/>
  <c r="A42" i="19" s="1"/>
  <c r="A42" i="18" s="1"/>
  <c r="A42" i="17" s="1"/>
  <c r="A42" i="24" s="1"/>
  <c r="A42" i="23" s="1"/>
  <c r="A42" i="16" s="1"/>
  <c r="A42" i="6" s="1"/>
  <c r="A42" i="25" s="1"/>
  <c r="A42" i="26" s="1"/>
  <c r="AE40" i="26" l="1"/>
  <c r="AF15" i="27" s="1"/>
  <c r="AD40" i="26"/>
  <c r="AE15" i="27" s="1"/>
  <c r="AE40" i="25"/>
  <c r="AF14" i="27" s="1"/>
  <c r="AD40" i="25"/>
  <c r="AE14" i="27" s="1"/>
  <c r="AE40" i="6"/>
  <c r="AF13" i="27" s="1"/>
  <c r="AD40" i="6"/>
  <c r="AE13" i="27" s="1"/>
  <c r="AE40" i="23"/>
  <c r="AF11" i="27" s="1"/>
  <c r="AD40" i="23"/>
  <c r="AE11" i="27" s="1"/>
  <c r="AE40" i="24"/>
  <c r="AF10" i="27" s="1"/>
  <c r="AD40" i="24"/>
  <c r="AE10" i="27" s="1"/>
  <c r="AF9" i="27"/>
  <c r="AE9" i="27"/>
  <c r="AE40" i="18"/>
  <c r="AF8" i="27" s="1"/>
  <c r="AD40" i="18"/>
  <c r="AE8" i="27" s="1"/>
  <c r="AE40" i="19"/>
  <c r="AF7" i="27" s="1"/>
  <c r="AD40" i="19"/>
  <c r="AE7" i="27" s="1"/>
  <c r="AE40" i="20"/>
  <c r="AF6" i="27" s="1"/>
  <c r="AD40" i="20"/>
  <c r="AE6" i="27" s="1"/>
  <c r="AE40" i="22"/>
  <c r="AF4" i="27" s="1"/>
  <c r="AD40" i="22"/>
  <c r="AE4" i="27" s="1"/>
  <c r="AE40" i="21"/>
  <c r="AF5" i="27" s="1"/>
  <c r="AD40" i="21"/>
  <c r="AE5" i="27" s="1"/>
  <c r="AG10" i="27" l="1"/>
  <c r="AG11" i="27"/>
  <c r="AG13" i="27"/>
  <c r="AG15" i="27"/>
  <c r="AG9" i="27"/>
  <c r="AG8" i="27"/>
  <c r="AG7" i="27"/>
  <c r="AG4" i="27"/>
  <c r="AG5" i="27"/>
  <c r="AG6" i="27"/>
  <c r="AG14" i="27"/>
  <c r="H50" i="26"/>
  <c r="E50" i="26"/>
  <c r="H50" i="25"/>
  <c r="E50" i="25"/>
  <c r="H50" i="6"/>
  <c r="E50" i="6"/>
  <c r="H50" i="23"/>
  <c r="E50" i="23"/>
  <c r="H50" i="24"/>
  <c r="E50" i="24"/>
  <c r="H50" i="17"/>
  <c r="E50" i="17"/>
  <c r="H50" i="18"/>
  <c r="E50" i="18"/>
  <c r="H50" i="19"/>
  <c r="E50" i="19"/>
  <c r="B50" i="19" l="1"/>
  <c r="B50" i="17"/>
  <c r="B50" i="26"/>
  <c r="B50" i="25"/>
  <c r="B50" i="6"/>
  <c r="B50" i="23"/>
  <c r="B50" i="24"/>
  <c r="B50" i="18"/>
  <c r="H50" i="20"/>
  <c r="E50" i="20"/>
  <c r="B50" i="20" l="1"/>
  <c r="H50" i="21"/>
  <c r="E50" i="21"/>
  <c r="B50" i="21" l="1"/>
  <c r="H50" i="22"/>
  <c r="E50" i="22"/>
  <c r="B50" i="22" l="1"/>
  <c r="C39" i="21" l="1"/>
  <c r="AB22" i="28" l="1"/>
  <c r="AC22" i="28"/>
  <c r="AD22" i="28"/>
  <c r="AA22" i="28"/>
  <c r="AI22" i="28" l="1"/>
  <c r="AH22" i="28"/>
  <c r="AG22" i="28"/>
  <c r="AF22" i="28"/>
  <c r="AB28" i="28" l="1"/>
  <c r="S40" i="17" s="1"/>
  <c r="J40" i="19" l="1"/>
  <c r="T40" i="19"/>
  <c r="J40" i="18"/>
  <c r="T40" i="18"/>
  <c r="J40" i="17"/>
  <c r="T40" i="17"/>
  <c r="C40" i="19"/>
  <c r="S40" i="19"/>
  <c r="C40" i="18"/>
  <c r="S40" i="18"/>
  <c r="C40" i="17"/>
  <c r="AH19" i="28"/>
  <c r="AF19" i="28"/>
  <c r="AI10" i="28"/>
  <c r="AG10" i="28"/>
  <c r="AH40" i="24" l="1"/>
  <c r="E49" i="24" s="1"/>
  <c r="AG40" i="24"/>
  <c r="AF40" i="24"/>
  <c r="B49" i="24" s="1"/>
  <c r="H48" i="26"/>
  <c r="E48" i="26"/>
  <c r="B48" i="26"/>
  <c r="H47" i="26"/>
  <c r="E47" i="26"/>
  <c r="B47" i="26"/>
  <c r="B46" i="26"/>
  <c r="AS40" i="26"/>
  <c r="AR40" i="26"/>
  <c r="AQ40" i="26"/>
  <c r="AP40" i="26"/>
  <c r="AO40" i="26"/>
  <c r="AN40" i="26"/>
  <c r="AM40" i="26"/>
  <c r="AL40" i="26"/>
  <c r="AK40" i="26"/>
  <c r="L39" i="26"/>
  <c r="B39" i="26"/>
  <c r="H48" i="25"/>
  <c r="E48" i="25"/>
  <c r="B48" i="25"/>
  <c r="H47" i="25"/>
  <c r="E47" i="25"/>
  <c r="B47" i="25"/>
  <c r="B46" i="25"/>
  <c r="AS40" i="25"/>
  <c r="AR40" i="25"/>
  <c r="AQ40" i="25"/>
  <c r="AP40" i="25"/>
  <c r="AO40" i="25"/>
  <c r="AN40" i="25"/>
  <c r="AM40" i="25"/>
  <c r="AL40" i="25"/>
  <c r="AK40" i="25"/>
  <c r="AH40" i="25"/>
  <c r="E49" i="25" s="1"/>
  <c r="AG40" i="25"/>
  <c r="AF40" i="25"/>
  <c r="B49" i="25" s="1"/>
  <c r="AS39" i="25"/>
  <c r="AR39" i="25"/>
  <c r="AQ39" i="25"/>
  <c r="AP39" i="25"/>
  <c r="AO39" i="25"/>
  <c r="AN39" i="25"/>
  <c r="AM39" i="25"/>
  <c r="AL39" i="25"/>
  <c r="AK39" i="25"/>
  <c r="AJ39" i="25"/>
  <c r="AJ41" i="25" s="1"/>
  <c r="AC39" i="25"/>
  <c r="AB39" i="25"/>
  <c r="AA39" i="25"/>
  <c r="AA41" i="25" s="1"/>
  <c r="Z39" i="25"/>
  <c r="Y39" i="25"/>
  <c r="X39" i="25"/>
  <c r="W39" i="25"/>
  <c r="V39" i="25"/>
  <c r="U39" i="25"/>
  <c r="T39" i="25"/>
  <c r="S39" i="25"/>
  <c r="R39" i="25"/>
  <c r="R41" i="25" s="1"/>
  <c r="Q39" i="25"/>
  <c r="Q41" i="25" s="1"/>
  <c r="P39" i="25"/>
  <c r="P41" i="25" s="1"/>
  <c r="O39" i="25"/>
  <c r="O41" i="25" s="1"/>
  <c r="N39" i="25"/>
  <c r="M39" i="25"/>
  <c r="L39" i="25"/>
  <c r="K39" i="25"/>
  <c r="J39" i="25"/>
  <c r="I39" i="25"/>
  <c r="H39" i="25"/>
  <c r="T53" i="25" s="1"/>
  <c r="U53" i="25" s="1"/>
  <c r="G39" i="25"/>
  <c r="T47" i="25" s="1"/>
  <c r="U47" i="25" s="1"/>
  <c r="F39" i="25"/>
  <c r="E39" i="25"/>
  <c r="D39" i="25"/>
  <c r="C39" i="25"/>
  <c r="B39" i="25"/>
  <c r="H48" i="6"/>
  <c r="E48" i="6"/>
  <c r="B48" i="6"/>
  <c r="H47" i="6"/>
  <c r="E47" i="6"/>
  <c r="B47" i="6"/>
  <c r="B46" i="6"/>
  <c r="AS40" i="6"/>
  <c r="AR40" i="6"/>
  <c r="AQ40" i="6"/>
  <c r="AP40" i="6"/>
  <c r="AO40" i="6"/>
  <c r="AN40" i="6"/>
  <c r="AM40" i="6"/>
  <c r="AL40" i="6"/>
  <c r="AK40" i="6"/>
  <c r="AH40" i="6"/>
  <c r="E49" i="6" s="1"/>
  <c r="AG40" i="6"/>
  <c r="AF40" i="6"/>
  <c r="B49" i="6" s="1"/>
  <c r="AS39" i="6"/>
  <c r="AR39" i="6"/>
  <c r="AQ39" i="6"/>
  <c r="AP39" i="6"/>
  <c r="AO39" i="6"/>
  <c r="AN39" i="6"/>
  <c r="AM39" i="6"/>
  <c r="AL39" i="6"/>
  <c r="AK39" i="6"/>
  <c r="AJ39" i="6"/>
  <c r="AJ41" i="6" s="1"/>
  <c r="AC39" i="6"/>
  <c r="AB39" i="6"/>
  <c r="AA39" i="6"/>
  <c r="AA41" i="6" s="1"/>
  <c r="Z39" i="6"/>
  <c r="Y39" i="6"/>
  <c r="X39" i="6"/>
  <c r="W39" i="6"/>
  <c r="V39" i="6"/>
  <c r="U39" i="6"/>
  <c r="T39" i="6"/>
  <c r="S39" i="6"/>
  <c r="R39" i="6"/>
  <c r="R41" i="6" s="1"/>
  <c r="Q39" i="6"/>
  <c r="Q41" i="6" s="1"/>
  <c r="P39" i="6"/>
  <c r="P41" i="6" s="1"/>
  <c r="O39" i="6"/>
  <c r="O41" i="6" s="1"/>
  <c r="N39" i="6"/>
  <c r="M39" i="6"/>
  <c r="L39" i="6"/>
  <c r="K39" i="6"/>
  <c r="J39" i="6"/>
  <c r="I39" i="6"/>
  <c r="H39" i="6"/>
  <c r="T53" i="6" s="1"/>
  <c r="U53" i="6" s="1"/>
  <c r="G39" i="6"/>
  <c r="T47" i="6" s="1"/>
  <c r="U47" i="6" s="1"/>
  <c r="F39" i="6"/>
  <c r="E39" i="6"/>
  <c r="D39" i="6"/>
  <c r="C39" i="6"/>
  <c r="B39" i="6"/>
  <c r="AH40" i="23"/>
  <c r="E49" i="23" s="1"/>
  <c r="AG40" i="23"/>
  <c r="AF40" i="23"/>
  <c r="B49" i="23" s="1"/>
  <c r="H48" i="23"/>
  <c r="E48" i="23"/>
  <c r="B48" i="23"/>
  <c r="H47" i="23"/>
  <c r="E47" i="23"/>
  <c r="B47" i="23"/>
  <c r="B46" i="23"/>
  <c r="AS40" i="23"/>
  <c r="AR40" i="23"/>
  <c r="AQ40" i="23"/>
  <c r="AP40" i="23"/>
  <c r="AO40" i="23"/>
  <c r="AN40" i="23"/>
  <c r="AM40" i="23"/>
  <c r="AL40" i="23"/>
  <c r="AK40" i="23"/>
  <c r="AS39" i="23"/>
  <c r="AR39" i="23"/>
  <c r="AQ39" i="23"/>
  <c r="AP39" i="23"/>
  <c r="AO39" i="23"/>
  <c r="AN39" i="23"/>
  <c r="AM39" i="23"/>
  <c r="AL39" i="23"/>
  <c r="AK39" i="23"/>
  <c r="AJ39" i="23"/>
  <c r="AJ41" i="23" s="1"/>
  <c r="AC39" i="23"/>
  <c r="AB39" i="23"/>
  <c r="AA39" i="23"/>
  <c r="AA41" i="23" s="1"/>
  <c r="Z39" i="23"/>
  <c r="Y39" i="23"/>
  <c r="X39" i="23"/>
  <c r="W39" i="23"/>
  <c r="V39" i="23"/>
  <c r="U39" i="23"/>
  <c r="T39" i="23"/>
  <c r="S39" i="23"/>
  <c r="R39" i="23"/>
  <c r="R41" i="23" s="1"/>
  <c r="Q39" i="23"/>
  <c r="Q41" i="23" s="1"/>
  <c r="P39" i="23"/>
  <c r="P41" i="23" s="1"/>
  <c r="O39" i="23"/>
  <c r="O41" i="23" s="1"/>
  <c r="N39" i="23"/>
  <c r="M39" i="23"/>
  <c r="L39" i="23"/>
  <c r="K39" i="23"/>
  <c r="J39" i="23"/>
  <c r="I39" i="23"/>
  <c r="H39" i="23"/>
  <c r="T53" i="23" s="1"/>
  <c r="U53" i="23" s="1"/>
  <c r="G39" i="23"/>
  <c r="T47" i="23" s="1"/>
  <c r="U47" i="23" s="1"/>
  <c r="F39" i="23"/>
  <c r="E39" i="23"/>
  <c r="D39" i="23"/>
  <c r="C39" i="23"/>
  <c r="B39" i="23"/>
  <c r="H48" i="24"/>
  <c r="E48" i="24"/>
  <c r="B48" i="24"/>
  <c r="H47" i="24"/>
  <c r="E47" i="24"/>
  <c r="B47" i="24"/>
  <c r="B46" i="24"/>
  <c r="AS40" i="24"/>
  <c r="AR40" i="24"/>
  <c r="AQ40" i="24"/>
  <c r="AP40" i="24"/>
  <c r="AO40" i="24"/>
  <c r="AN40" i="24"/>
  <c r="AM40" i="24"/>
  <c r="AL40" i="24"/>
  <c r="AK40" i="24"/>
  <c r="AS39" i="24"/>
  <c r="AR39" i="24"/>
  <c r="AQ39" i="24"/>
  <c r="AP39" i="24"/>
  <c r="AO39" i="24"/>
  <c r="AN39" i="24"/>
  <c r="AM39" i="24"/>
  <c r="AL39" i="24"/>
  <c r="AK39" i="24"/>
  <c r="AJ39" i="24"/>
  <c r="AJ41" i="24" s="1"/>
  <c r="AC39" i="24"/>
  <c r="AB39" i="24"/>
  <c r="AA39" i="24"/>
  <c r="AA41" i="24" s="1"/>
  <c r="Z39" i="24"/>
  <c r="Y39" i="24"/>
  <c r="X39" i="24"/>
  <c r="W39" i="24"/>
  <c r="V39" i="24"/>
  <c r="U39" i="24"/>
  <c r="T39" i="24"/>
  <c r="S39" i="24"/>
  <c r="R39" i="24"/>
  <c r="R41" i="24" s="1"/>
  <c r="Q39" i="24"/>
  <c r="Q41" i="24" s="1"/>
  <c r="P39" i="24"/>
  <c r="P41" i="24" s="1"/>
  <c r="O39" i="24"/>
  <c r="O41" i="24" s="1"/>
  <c r="N39" i="24"/>
  <c r="M39" i="24"/>
  <c r="L39" i="24"/>
  <c r="K39" i="24"/>
  <c r="J39" i="24"/>
  <c r="I39" i="24"/>
  <c r="H39" i="24"/>
  <c r="T53" i="24" s="1"/>
  <c r="U53" i="24" s="1"/>
  <c r="G39" i="24"/>
  <c r="T47" i="24" s="1"/>
  <c r="U47" i="24" s="1"/>
  <c r="F39" i="24"/>
  <c r="E39" i="24"/>
  <c r="D39" i="24"/>
  <c r="C39" i="24"/>
  <c r="B39" i="24"/>
  <c r="H48" i="17"/>
  <c r="E48" i="17"/>
  <c r="B48" i="17"/>
  <c r="H47" i="17"/>
  <c r="E47" i="17"/>
  <c r="B47" i="17"/>
  <c r="B46" i="17"/>
  <c r="AS40" i="17"/>
  <c r="AR40" i="17"/>
  <c r="AQ40" i="17"/>
  <c r="AP40" i="17"/>
  <c r="AO40" i="17"/>
  <c r="AN40" i="17"/>
  <c r="AM40" i="17"/>
  <c r="AL40" i="17"/>
  <c r="AK40" i="17"/>
  <c r="E49" i="17"/>
  <c r="B49" i="17"/>
  <c r="AJ41" i="17"/>
  <c r="AA41" i="17"/>
  <c r="T41" i="17"/>
  <c r="S41" i="17"/>
  <c r="R41" i="17"/>
  <c r="Q41" i="17"/>
  <c r="P41" i="17"/>
  <c r="O41" i="17"/>
  <c r="J41" i="17"/>
  <c r="T53" i="17"/>
  <c r="U53" i="17" s="1"/>
  <c r="T47" i="17"/>
  <c r="U47" i="17" s="1"/>
  <c r="B39" i="17"/>
  <c r="H48" i="18"/>
  <c r="E48" i="18"/>
  <c r="B48" i="18"/>
  <c r="H47" i="18"/>
  <c r="E47" i="18"/>
  <c r="B47" i="18"/>
  <c r="B46" i="18"/>
  <c r="AS40" i="18"/>
  <c r="AR40" i="18"/>
  <c r="AQ40" i="18"/>
  <c r="AP40" i="18"/>
  <c r="AO40" i="18"/>
  <c r="AN40" i="18"/>
  <c r="AM40" i="18"/>
  <c r="AL40" i="18"/>
  <c r="AK40" i="18"/>
  <c r="E49" i="18"/>
  <c r="B49" i="18"/>
  <c r="AJ41" i="18"/>
  <c r="AA41" i="18"/>
  <c r="T41" i="18"/>
  <c r="S41" i="18"/>
  <c r="R41" i="18"/>
  <c r="Q41" i="18"/>
  <c r="P41" i="18"/>
  <c r="O41" i="18"/>
  <c r="J41" i="18"/>
  <c r="T53" i="18"/>
  <c r="U53" i="18" s="1"/>
  <c r="T47" i="18"/>
  <c r="U47" i="18" s="1"/>
  <c r="B39" i="18"/>
  <c r="H48" i="19"/>
  <c r="E48" i="19"/>
  <c r="B48" i="19"/>
  <c r="H47" i="19"/>
  <c r="E47" i="19"/>
  <c r="B47" i="19"/>
  <c r="B46" i="19"/>
  <c r="AS40" i="19"/>
  <c r="AR40" i="19"/>
  <c r="AQ40" i="19"/>
  <c r="AP40" i="19"/>
  <c r="AO40" i="19"/>
  <c r="AN40" i="19"/>
  <c r="AM40" i="19"/>
  <c r="AL40" i="19"/>
  <c r="AK40" i="19"/>
  <c r="AH40" i="19"/>
  <c r="E49" i="19" s="1"/>
  <c r="AG40" i="19"/>
  <c r="AF40" i="19"/>
  <c r="B49" i="19" s="1"/>
  <c r="AS39" i="19"/>
  <c r="AR39" i="19"/>
  <c r="AQ39" i="19"/>
  <c r="AP39" i="19"/>
  <c r="AO39" i="19"/>
  <c r="AN39" i="19"/>
  <c r="AM39" i="19"/>
  <c r="AL39" i="19"/>
  <c r="AK39" i="19"/>
  <c r="AJ39" i="19"/>
  <c r="AJ41" i="19" s="1"/>
  <c r="AC39" i="19"/>
  <c r="AB39" i="19"/>
  <c r="AA39" i="19"/>
  <c r="AA41" i="19" s="1"/>
  <c r="Z39" i="19"/>
  <c r="Y39" i="19"/>
  <c r="X39" i="19"/>
  <c r="W39" i="19"/>
  <c r="V39" i="19"/>
  <c r="U39" i="19"/>
  <c r="T39" i="19"/>
  <c r="T41" i="19" s="1"/>
  <c r="S39" i="19"/>
  <c r="S41" i="19" s="1"/>
  <c r="R39" i="19"/>
  <c r="R41" i="19" s="1"/>
  <c r="Q39" i="19"/>
  <c r="Q41" i="19" s="1"/>
  <c r="P39" i="19"/>
  <c r="P41" i="19" s="1"/>
  <c r="O39" i="19"/>
  <c r="O41" i="19" s="1"/>
  <c r="N39" i="19"/>
  <c r="M39" i="19"/>
  <c r="L39" i="19"/>
  <c r="K39" i="19"/>
  <c r="J39" i="19"/>
  <c r="J41" i="19" s="1"/>
  <c r="I39" i="19"/>
  <c r="H39" i="19"/>
  <c r="T53" i="19" s="1"/>
  <c r="U53" i="19" s="1"/>
  <c r="G39" i="19"/>
  <c r="T47" i="19" s="1"/>
  <c r="U47" i="19" s="1"/>
  <c r="F39" i="19"/>
  <c r="E39" i="19"/>
  <c r="D39" i="19"/>
  <c r="C39" i="19"/>
  <c r="B39" i="19"/>
  <c r="H48" i="20"/>
  <c r="E48" i="20"/>
  <c r="B48" i="20"/>
  <c r="H47" i="20"/>
  <c r="E47" i="20"/>
  <c r="B47" i="20"/>
  <c r="B46" i="20"/>
  <c r="AS40" i="20"/>
  <c r="AR40" i="20"/>
  <c r="AQ40" i="20"/>
  <c r="AP40" i="20"/>
  <c r="AO40" i="20"/>
  <c r="AN40" i="20"/>
  <c r="AM40" i="20"/>
  <c r="AL40" i="20"/>
  <c r="AK40" i="20"/>
  <c r="AH40" i="20"/>
  <c r="E49" i="20" s="1"/>
  <c r="AG40" i="20"/>
  <c r="AF40" i="20"/>
  <c r="B49" i="20" s="1"/>
  <c r="AS39" i="20"/>
  <c r="AR39" i="20"/>
  <c r="AQ39" i="20"/>
  <c r="AP39" i="20"/>
  <c r="AO39" i="20"/>
  <c r="AN39" i="20"/>
  <c r="AM39" i="20"/>
  <c r="AL39" i="20"/>
  <c r="AK39" i="20"/>
  <c r="AJ39" i="20"/>
  <c r="AJ41" i="20" s="1"/>
  <c r="AC39" i="20"/>
  <c r="AB39" i="20"/>
  <c r="AA39" i="20"/>
  <c r="AA41" i="20" s="1"/>
  <c r="Z39" i="20"/>
  <c r="Y39" i="20"/>
  <c r="X39" i="20"/>
  <c r="W39" i="20"/>
  <c r="V39" i="20"/>
  <c r="U39" i="20"/>
  <c r="T39" i="20"/>
  <c r="S39" i="20"/>
  <c r="R39" i="20"/>
  <c r="R41" i="20" s="1"/>
  <c r="Q39" i="20"/>
  <c r="Q41" i="20" s="1"/>
  <c r="P39" i="20"/>
  <c r="P41" i="20" s="1"/>
  <c r="O39" i="20"/>
  <c r="O41" i="20" s="1"/>
  <c r="N39" i="20"/>
  <c r="M39" i="20"/>
  <c r="L39" i="20"/>
  <c r="K39" i="20"/>
  <c r="J39" i="20"/>
  <c r="I39" i="20"/>
  <c r="H39" i="20"/>
  <c r="T53" i="20" s="1"/>
  <c r="U53" i="20" s="1"/>
  <c r="G39" i="20"/>
  <c r="T47" i="20" s="1"/>
  <c r="U47" i="20" s="1"/>
  <c r="F39" i="20"/>
  <c r="E39" i="20"/>
  <c r="D39" i="20"/>
  <c r="C39" i="20"/>
  <c r="B39" i="20"/>
  <c r="AI40" i="25" l="1"/>
  <c r="E46" i="25" s="1"/>
  <c r="AI40" i="6"/>
  <c r="E46" i="6" s="1"/>
  <c r="AI40" i="24"/>
  <c r="E46" i="24" s="1"/>
  <c r="H49" i="19"/>
  <c r="AI40" i="19"/>
  <c r="H49" i="23"/>
  <c r="AI40" i="23"/>
  <c r="H46" i="23" s="1"/>
  <c r="AI40" i="17"/>
  <c r="E46" i="17" s="1"/>
  <c r="H49" i="18"/>
  <c r="AI40" i="18"/>
  <c r="H49" i="20"/>
  <c r="AI40" i="20"/>
  <c r="T54" i="24"/>
  <c r="U54" i="24" s="1"/>
  <c r="T49" i="18"/>
  <c r="U49" i="18" s="1"/>
  <c r="T54" i="19"/>
  <c r="U54" i="19" s="1"/>
  <c r="T54" i="17"/>
  <c r="U54" i="17" s="1"/>
  <c r="T54" i="23"/>
  <c r="U54" i="23" s="1"/>
  <c r="T55" i="19"/>
  <c r="U55" i="19" s="1"/>
  <c r="T55" i="17"/>
  <c r="U55" i="17" s="1"/>
  <c r="T45" i="24"/>
  <c r="U45" i="24" s="1"/>
  <c r="T45" i="20"/>
  <c r="U45" i="20" s="1"/>
  <c r="T54" i="20"/>
  <c r="U54" i="20" s="1"/>
  <c r="T54" i="6"/>
  <c r="U54" i="6" s="1"/>
  <c r="T49" i="25"/>
  <c r="U49" i="25" s="1"/>
  <c r="T52" i="19"/>
  <c r="U52" i="19" s="1"/>
  <c r="T45" i="19"/>
  <c r="U45" i="19" s="1"/>
  <c r="T55" i="18"/>
  <c r="U55" i="18" s="1"/>
  <c r="T52" i="17"/>
  <c r="U52" i="17" s="1"/>
  <c r="T45" i="17"/>
  <c r="U45" i="17" s="1"/>
  <c r="T45" i="23"/>
  <c r="U45" i="23" s="1"/>
  <c r="T55" i="20"/>
  <c r="U55" i="20" s="1"/>
  <c r="T49" i="19"/>
  <c r="U49" i="19" s="1"/>
  <c r="T51" i="19"/>
  <c r="U51" i="19" s="1"/>
  <c r="T54" i="18"/>
  <c r="U54" i="18" s="1"/>
  <c r="T49" i="17"/>
  <c r="U49" i="17" s="1"/>
  <c r="T51" i="17"/>
  <c r="U51" i="17" s="1"/>
  <c r="T55" i="24"/>
  <c r="U55" i="24" s="1"/>
  <c r="T55" i="23"/>
  <c r="U55" i="23" s="1"/>
  <c r="T55" i="6"/>
  <c r="U55" i="6" s="1"/>
  <c r="T52" i="20"/>
  <c r="U52" i="20" s="1"/>
  <c r="T51" i="18"/>
  <c r="U51" i="18" s="1"/>
  <c r="T52" i="24"/>
  <c r="U52" i="24" s="1"/>
  <c r="T52" i="23"/>
  <c r="U52" i="23" s="1"/>
  <c r="T52" i="6"/>
  <c r="U52" i="6" s="1"/>
  <c r="T49" i="20"/>
  <c r="U49" i="20" s="1"/>
  <c r="T51" i="20"/>
  <c r="U51" i="20" s="1"/>
  <c r="T52" i="18"/>
  <c r="U52" i="18" s="1"/>
  <c r="T45" i="18"/>
  <c r="U45" i="18" s="1"/>
  <c r="T49" i="24"/>
  <c r="U49" i="24" s="1"/>
  <c r="T51" i="24"/>
  <c r="U51" i="24" s="1"/>
  <c r="T49" i="23"/>
  <c r="U49" i="23" s="1"/>
  <c r="T51" i="23"/>
  <c r="U51" i="23" s="1"/>
  <c r="T49" i="6"/>
  <c r="U49" i="6" s="1"/>
  <c r="T46" i="19"/>
  <c r="U46" i="19" s="1"/>
  <c r="T46" i="20"/>
  <c r="U46" i="20" s="1"/>
  <c r="T51" i="25"/>
  <c r="U51" i="25" s="1"/>
  <c r="T45" i="25"/>
  <c r="U45" i="25" s="1"/>
  <c r="T52" i="25"/>
  <c r="U52" i="25" s="1"/>
  <c r="T54" i="25"/>
  <c r="U54" i="25" s="1"/>
  <c r="T55" i="25"/>
  <c r="U55" i="25" s="1"/>
  <c r="T46" i="25"/>
  <c r="U46" i="25" s="1"/>
  <c r="AL41" i="25"/>
  <c r="AN41" i="25"/>
  <c r="AP41" i="25"/>
  <c r="AR41" i="25"/>
  <c r="AK41" i="25"/>
  <c r="AM41" i="25"/>
  <c r="AO41" i="25"/>
  <c r="AQ41" i="25"/>
  <c r="AS41" i="25"/>
  <c r="T51" i="6"/>
  <c r="U51" i="6" s="1"/>
  <c r="T45" i="6"/>
  <c r="U45" i="6" s="1"/>
  <c r="AL41" i="6"/>
  <c r="AN41" i="6"/>
  <c r="AP41" i="6"/>
  <c r="AR41" i="6"/>
  <c r="AK41" i="6"/>
  <c r="AM41" i="6"/>
  <c r="AO41" i="6"/>
  <c r="AQ41" i="6"/>
  <c r="AS41" i="6"/>
  <c r="AL41" i="23"/>
  <c r="AN41" i="23"/>
  <c r="AP41" i="23"/>
  <c r="AR41" i="23"/>
  <c r="AK41" i="23"/>
  <c r="AM41" i="23"/>
  <c r="AO41" i="23"/>
  <c r="AQ41" i="23"/>
  <c r="AS41" i="23"/>
  <c r="AL41" i="24"/>
  <c r="AN41" i="24"/>
  <c r="AP41" i="24"/>
  <c r="AR41" i="24"/>
  <c r="AK41" i="24"/>
  <c r="AM41" i="24"/>
  <c r="AO41" i="24"/>
  <c r="AQ41" i="24"/>
  <c r="AS41" i="24"/>
  <c r="AL41" i="17"/>
  <c r="AN41" i="17"/>
  <c r="AP41" i="17"/>
  <c r="AR41" i="17"/>
  <c r="AK41" i="17"/>
  <c r="AM41" i="17"/>
  <c r="AO41" i="17"/>
  <c r="AQ41" i="17"/>
  <c r="AS41" i="17"/>
  <c r="AK41" i="19"/>
  <c r="AM41" i="19"/>
  <c r="AO41" i="19"/>
  <c r="AQ41" i="19"/>
  <c r="AS41" i="19"/>
  <c r="AL41" i="19"/>
  <c r="AN41" i="19"/>
  <c r="AP41" i="19"/>
  <c r="AR41" i="19"/>
  <c r="AL41" i="20"/>
  <c r="AN41" i="20"/>
  <c r="AP41" i="20"/>
  <c r="AR41" i="20"/>
  <c r="AK41" i="20"/>
  <c r="AM41" i="20"/>
  <c r="AO41" i="20"/>
  <c r="AQ41" i="20"/>
  <c r="AS41" i="20"/>
  <c r="T48" i="26"/>
  <c r="U48" i="26" s="1"/>
  <c r="T48" i="25"/>
  <c r="U48" i="25" s="1"/>
  <c r="H49" i="25"/>
  <c r="T46" i="6"/>
  <c r="U46" i="6" s="1"/>
  <c r="T48" i="6"/>
  <c r="U48" i="6" s="1"/>
  <c r="H49" i="6"/>
  <c r="T46" i="23"/>
  <c r="U46" i="23" s="1"/>
  <c r="T48" i="23"/>
  <c r="U48" i="23" s="1"/>
  <c r="T46" i="24"/>
  <c r="U46" i="24" s="1"/>
  <c r="T48" i="24"/>
  <c r="U48" i="24" s="1"/>
  <c r="H49" i="24"/>
  <c r="T46" i="17"/>
  <c r="U46" i="17" s="1"/>
  <c r="C41" i="17"/>
  <c r="T48" i="17"/>
  <c r="U48" i="17" s="1"/>
  <c r="H49" i="17"/>
  <c r="AK41" i="18"/>
  <c r="AM41" i="18"/>
  <c r="AO41" i="18"/>
  <c r="AQ41" i="18"/>
  <c r="AS41" i="18"/>
  <c r="T46" i="18"/>
  <c r="U46" i="18" s="1"/>
  <c r="AL41" i="18"/>
  <c r="AN41" i="18"/>
  <c r="AP41" i="18"/>
  <c r="AR41" i="18"/>
  <c r="C41" i="18"/>
  <c r="T48" i="18"/>
  <c r="U48" i="18" s="1"/>
  <c r="C41" i="19"/>
  <c r="T48" i="19"/>
  <c r="U48" i="19" s="1"/>
  <c r="T48" i="20"/>
  <c r="U48" i="20" s="1"/>
  <c r="E46" i="19" l="1"/>
  <c r="H46" i="19"/>
  <c r="H46" i="20"/>
  <c r="E46" i="20"/>
  <c r="E45" i="23"/>
  <c r="H45" i="6"/>
  <c r="H46" i="24"/>
  <c r="H45" i="19"/>
  <c r="E45" i="24"/>
  <c r="E46" i="23"/>
  <c r="E45" i="20"/>
  <c r="H46" i="17"/>
  <c r="E45" i="19"/>
  <c r="E45" i="17"/>
  <c r="H46" i="6"/>
  <c r="H45" i="20"/>
  <c r="B45" i="19"/>
  <c r="B45" i="24"/>
  <c r="H45" i="24"/>
  <c r="B45" i="23"/>
  <c r="B45" i="17"/>
  <c r="E45" i="6"/>
  <c r="B45" i="20"/>
  <c r="B45" i="6"/>
  <c r="E46" i="18"/>
  <c r="H46" i="18"/>
  <c r="E45" i="25"/>
  <c r="B45" i="25"/>
  <c r="H45" i="25"/>
  <c r="H46" i="25"/>
  <c r="H45" i="23"/>
  <c r="H45" i="17"/>
  <c r="E45" i="18"/>
  <c r="B45" i="18"/>
  <c r="H45" i="18"/>
  <c r="H48" i="21" l="1"/>
  <c r="E48" i="21"/>
  <c r="B48" i="21"/>
  <c r="H47" i="21"/>
  <c r="E47" i="21"/>
  <c r="B47" i="21"/>
  <c r="B46" i="21"/>
  <c r="AS40" i="21"/>
  <c r="AR40" i="21"/>
  <c r="AQ40" i="21"/>
  <c r="AP40" i="21"/>
  <c r="AO40" i="21"/>
  <c r="AN40" i="21"/>
  <c r="AM40" i="21"/>
  <c r="AL40" i="21"/>
  <c r="AK40" i="21"/>
  <c r="AH40" i="21"/>
  <c r="E49" i="21" s="1"/>
  <c r="AG40" i="21"/>
  <c r="AF40" i="21"/>
  <c r="B49" i="21" s="1"/>
  <c r="AS39" i="21"/>
  <c r="AR39" i="21"/>
  <c r="AQ39" i="21"/>
  <c r="AP39" i="21"/>
  <c r="AO39" i="21"/>
  <c r="AN39" i="21"/>
  <c r="AM39" i="21"/>
  <c r="AL39" i="21"/>
  <c r="AK39" i="21"/>
  <c r="AJ39" i="21"/>
  <c r="AJ41" i="21" s="1"/>
  <c r="AC39" i="21"/>
  <c r="AB39" i="21"/>
  <c r="AA39" i="21"/>
  <c r="AA41" i="21" s="1"/>
  <c r="Z39" i="21"/>
  <c r="Y39" i="21"/>
  <c r="X39" i="21"/>
  <c r="W39" i="21"/>
  <c r="V39" i="21"/>
  <c r="U39" i="21"/>
  <c r="T39" i="21"/>
  <c r="S39" i="21"/>
  <c r="R39" i="21"/>
  <c r="R41" i="21" s="1"/>
  <c r="Q39" i="21"/>
  <c r="Q41" i="21" s="1"/>
  <c r="P39" i="21"/>
  <c r="P41" i="21" s="1"/>
  <c r="O39" i="21"/>
  <c r="O41" i="21" s="1"/>
  <c r="N39" i="21"/>
  <c r="M39" i="21"/>
  <c r="L39" i="21"/>
  <c r="K39" i="21"/>
  <c r="J39" i="21"/>
  <c r="I39" i="21"/>
  <c r="H39" i="21"/>
  <c r="T53" i="21" s="1"/>
  <c r="U53" i="21" s="1"/>
  <c r="G39" i="21"/>
  <c r="T47" i="21" s="1"/>
  <c r="U47" i="21" s="1"/>
  <c r="F39" i="21"/>
  <c r="E39" i="21"/>
  <c r="D39" i="21"/>
  <c r="B39" i="21"/>
  <c r="AI40" i="21" l="1"/>
  <c r="H46" i="21" s="1"/>
  <c r="T49" i="21"/>
  <c r="U49" i="21" s="1"/>
  <c r="T52" i="21"/>
  <c r="U52" i="21" s="1"/>
  <c r="T51" i="21"/>
  <c r="U51" i="21" s="1"/>
  <c r="T55" i="21"/>
  <c r="U55" i="21" s="1"/>
  <c r="T54" i="21"/>
  <c r="U54" i="21" s="1"/>
  <c r="AL41" i="21"/>
  <c r="AN41" i="21"/>
  <c r="AP41" i="21"/>
  <c r="AR41" i="21"/>
  <c r="AK41" i="21"/>
  <c r="AM41" i="21"/>
  <c r="AO41" i="21"/>
  <c r="AQ41" i="21"/>
  <c r="AS41" i="21"/>
  <c r="T46" i="21"/>
  <c r="U46" i="21" s="1"/>
  <c r="T45" i="21"/>
  <c r="U45" i="21" s="1"/>
  <c r="T48" i="21"/>
  <c r="U48" i="21" s="1"/>
  <c r="H49" i="21"/>
  <c r="E46" i="21" l="1"/>
  <c r="E45" i="21"/>
  <c r="B45" i="21"/>
  <c r="H45" i="21"/>
  <c r="H48" i="22" l="1"/>
  <c r="E48" i="22"/>
  <c r="B48" i="22"/>
  <c r="H47" i="22"/>
  <c r="E47" i="22"/>
  <c r="B47" i="22"/>
  <c r="B46" i="22"/>
  <c r="AS40" i="22"/>
  <c r="AR40" i="22"/>
  <c r="AQ40" i="22"/>
  <c r="AP40" i="22"/>
  <c r="AO40" i="22"/>
  <c r="AN40" i="22"/>
  <c r="AM40" i="22"/>
  <c r="AL40" i="22"/>
  <c r="AK40" i="22"/>
  <c r="AH40" i="22"/>
  <c r="E49" i="22" s="1"/>
  <c r="AG40" i="22"/>
  <c r="AF40" i="22"/>
  <c r="B49" i="22" s="1"/>
  <c r="AS39" i="22"/>
  <c r="AR39" i="22"/>
  <c r="AQ39" i="22"/>
  <c r="AP39" i="22"/>
  <c r="AO39" i="22"/>
  <c r="AN39" i="22"/>
  <c r="AM39" i="22"/>
  <c r="AL39" i="22"/>
  <c r="AK39" i="22"/>
  <c r="AJ39" i="22"/>
  <c r="AC39" i="22"/>
  <c r="AB39" i="22"/>
  <c r="AA39" i="22"/>
  <c r="AA41" i="22" s="1"/>
  <c r="Z39" i="22"/>
  <c r="Y39" i="22"/>
  <c r="X39" i="22"/>
  <c r="W39" i="22"/>
  <c r="V39" i="22"/>
  <c r="U39" i="22"/>
  <c r="T39" i="22"/>
  <c r="S39" i="22"/>
  <c r="R39" i="22"/>
  <c r="R41" i="22" s="1"/>
  <c r="Q39" i="22"/>
  <c r="Q41" i="22" s="1"/>
  <c r="P39" i="22"/>
  <c r="P41" i="22" s="1"/>
  <c r="O39" i="22"/>
  <c r="O41" i="22" s="1"/>
  <c r="N39" i="22"/>
  <c r="M39" i="22"/>
  <c r="L39" i="22"/>
  <c r="K39" i="22"/>
  <c r="J39" i="22"/>
  <c r="I39" i="22"/>
  <c r="H39" i="22"/>
  <c r="T53" i="22" s="1"/>
  <c r="U53" i="22" s="1"/>
  <c r="G39" i="22"/>
  <c r="T47" i="22" s="1"/>
  <c r="U47" i="22" s="1"/>
  <c r="F39" i="22"/>
  <c r="E39" i="22"/>
  <c r="D39" i="22"/>
  <c r="C39" i="22"/>
  <c r="B39" i="22"/>
  <c r="AI40" i="22" l="1"/>
  <c r="H46" i="22" s="1"/>
  <c r="T55" i="22"/>
  <c r="U55" i="22" s="1"/>
  <c r="T49" i="22"/>
  <c r="U49" i="22" s="1"/>
  <c r="T54" i="22"/>
  <c r="U54" i="22" s="1"/>
  <c r="AJ41" i="22"/>
  <c r="T52" i="22"/>
  <c r="U52" i="22" s="1"/>
  <c r="T51" i="22"/>
  <c r="U51" i="22" s="1"/>
  <c r="T45" i="22"/>
  <c r="U45" i="22" s="1"/>
  <c r="AL41" i="22"/>
  <c r="AN41" i="22"/>
  <c r="AP41" i="22"/>
  <c r="AR41" i="22"/>
  <c r="AK41" i="22"/>
  <c r="AM41" i="22"/>
  <c r="AO41" i="22"/>
  <c r="AQ41" i="22"/>
  <c r="AS41" i="22"/>
  <c r="T46" i="22"/>
  <c r="U46" i="22" s="1"/>
  <c r="T48" i="22"/>
  <c r="U48" i="22" s="1"/>
  <c r="H49" i="22"/>
  <c r="H48" i="16"/>
  <c r="E48" i="16"/>
  <c r="B48" i="16"/>
  <c r="E46" i="22" l="1"/>
  <c r="B45" i="22"/>
  <c r="H45" i="22"/>
  <c r="E45" i="22"/>
  <c r="B46" i="16"/>
  <c r="B47" i="16" l="1"/>
  <c r="AS40" i="16"/>
  <c r="AR40" i="16"/>
  <c r="AQ40" i="16"/>
  <c r="AP40" i="16"/>
  <c r="AO40" i="16"/>
  <c r="AN40" i="16"/>
  <c r="AM40" i="16"/>
  <c r="AL40" i="16"/>
  <c r="AK40" i="16"/>
  <c r="H47" i="16"/>
  <c r="E47" i="16"/>
  <c r="AB26" i="28" l="1"/>
  <c r="AC26" i="28"/>
  <c r="AD26" i="28"/>
  <c r="AA26" i="28"/>
  <c r="K40" i="20" l="1"/>
  <c r="K41" i="20" s="1"/>
  <c r="L20" i="27" s="1"/>
  <c r="K40" i="21"/>
  <c r="K41" i="21" s="1"/>
  <c r="L19" i="27" s="1"/>
  <c r="K40" i="22"/>
  <c r="K41" i="22" s="1"/>
  <c r="L18" i="27" s="1"/>
  <c r="E40" i="20"/>
  <c r="E41" i="20" s="1"/>
  <c r="F20" i="27" s="1"/>
  <c r="E40" i="21"/>
  <c r="E41" i="21" s="1"/>
  <c r="F19" i="27" s="1"/>
  <c r="E40" i="22"/>
  <c r="E41" i="22" s="1"/>
  <c r="F18" i="27" s="1"/>
  <c r="K40" i="16"/>
  <c r="K40" i="23"/>
  <c r="K41" i="23" s="1"/>
  <c r="L25" i="27" s="1"/>
  <c r="K40" i="24"/>
  <c r="K41" i="24" s="1"/>
  <c r="E40" i="16"/>
  <c r="E40" i="23"/>
  <c r="E41" i="23" s="1"/>
  <c r="F25" i="27" s="1"/>
  <c r="E40" i="24"/>
  <c r="E41" i="24" s="1"/>
  <c r="F24" i="27" s="1"/>
  <c r="K40" i="26"/>
  <c r="K40" i="25"/>
  <c r="K41" i="25" s="1"/>
  <c r="K40" i="6"/>
  <c r="K41" i="6" s="1"/>
  <c r="E40" i="26"/>
  <c r="E40" i="25"/>
  <c r="E41" i="25" s="1"/>
  <c r="E40" i="6"/>
  <c r="E41" i="6" s="1"/>
  <c r="K40" i="17"/>
  <c r="K41" i="17" s="1"/>
  <c r="L23" i="27" s="1"/>
  <c r="K40" i="18"/>
  <c r="K41" i="18" s="1"/>
  <c r="L22" i="27" s="1"/>
  <c r="K40" i="19"/>
  <c r="K41" i="19" s="1"/>
  <c r="L21" i="27" s="1"/>
  <c r="E40" i="17"/>
  <c r="E41" i="17" s="1"/>
  <c r="F23" i="27" s="1"/>
  <c r="E40" i="18"/>
  <c r="E41" i="18" s="1"/>
  <c r="F22" i="27" s="1"/>
  <c r="E40" i="19"/>
  <c r="E41" i="19" s="1"/>
  <c r="F21" i="27" s="1"/>
  <c r="AG24" i="28"/>
  <c r="AH24" i="28"/>
  <c r="AI24" i="28"/>
  <c r="AF24" i="28"/>
  <c r="AI31" i="28"/>
  <c r="AH31" i="28"/>
  <c r="AG31" i="28"/>
  <c r="AF31" i="28"/>
  <c r="AD31" i="28"/>
  <c r="AC31" i="28"/>
  <c r="AB31" i="28"/>
  <c r="AA31" i="28"/>
  <c r="AI30" i="28"/>
  <c r="AH30" i="28"/>
  <c r="AG30" i="28"/>
  <c r="AF30" i="28"/>
  <c r="AD30" i="28"/>
  <c r="AC30" i="28"/>
  <c r="AB30" i="28"/>
  <c r="AA30" i="28"/>
  <c r="AI29" i="28"/>
  <c r="AH29" i="28"/>
  <c r="AG29" i="28"/>
  <c r="AF29" i="28"/>
  <c r="AD29" i="28"/>
  <c r="AC29" i="28"/>
  <c r="AB29" i="28"/>
  <c r="AA29" i="28"/>
  <c r="AI28" i="28"/>
  <c r="AH28" i="28"/>
  <c r="AG28" i="28"/>
  <c r="AF28" i="28"/>
  <c r="AD28" i="28"/>
  <c r="AC28" i="28"/>
  <c r="AA28" i="28"/>
  <c r="AI27" i="28"/>
  <c r="AH27" i="28"/>
  <c r="AG27" i="28"/>
  <c r="AF27" i="28"/>
  <c r="AD27" i="28"/>
  <c r="AC27" i="28"/>
  <c r="AB27" i="28"/>
  <c r="AA27" i="28"/>
  <c r="AI26" i="28"/>
  <c r="AH26" i="28"/>
  <c r="AG26" i="28"/>
  <c r="AF26" i="28"/>
  <c r="AI25" i="28"/>
  <c r="AH25" i="28"/>
  <c r="AG25" i="28"/>
  <c r="AF25" i="28"/>
  <c r="AD25" i="28"/>
  <c r="AC25" i="28"/>
  <c r="AB25" i="28"/>
  <c r="AA25" i="28"/>
  <c r="AD24" i="28"/>
  <c r="AC24" i="28"/>
  <c r="AB24" i="28"/>
  <c r="AA24" i="28"/>
  <c r="AI23" i="28"/>
  <c r="AH23" i="28"/>
  <c r="AG23" i="28"/>
  <c r="AF23" i="28"/>
  <c r="AD23" i="28"/>
  <c r="AC23" i="28"/>
  <c r="AB23" i="28"/>
  <c r="AA23" i="28"/>
  <c r="R20" i="28"/>
  <c r="AI19" i="28"/>
  <c r="AG19" i="28"/>
  <c r="T18" i="28"/>
  <c r="AB18" i="28" s="1"/>
  <c r="P18" i="28"/>
  <c r="A12" i="28"/>
  <c r="A20" i="28" s="1"/>
  <c r="AE7" i="28"/>
  <c r="AD7" i="28"/>
  <c r="AD9" i="28" s="1"/>
  <c r="P25" i="27"/>
  <c r="Q25" i="27"/>
  <c r="R25" i="27"/>
  <c r="S25" i="27"/>
  <c r="AB25" i="27"/>
  <c r="L24" i="27"/>
  <c r="P24" i="27"/>
  <c r="Q24" i="27"/>
  <c r="R24" i="27"/>
  <c r="S24" i="27"/>
  <c r="AB24" i="27"/>
  <c r="AH10" i="27"/>
  <c r="AI10" i="27"/>
  <c r="AJ10" i="27"/>
  <c r="AK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Z10" i="27"/>
  <c r="AA10" i="27"/>
  <c r="AB10" i="27"/>
  <c r="AC10" i="27"/>
  <c r="AD10" i="27"/>
  <c r="D23" i="27"/>
  <c r="K23" i="27"/>
  <c r="P23" i="27"/>
  <c r="Q23" i="27"/>
  <c r="R23" i="27"/>
  <c r="S23" i="27"/>
  <c r="T23" i="27"/>
  <c r="U23" i="27"/>
  <c r="AB23" i="27"/>
  <c r="D22" i="27"/>
  <c r="K22" i="27"/>
  <c r="P22" i="27"/>
  <c r="Q22" i="27"/>
  <c r="R22" i="27"/>
  <c r="S22" i="27"/>
  <c r="T22" i="27"/>
  <c r="U22" i="27"/>
  <c r="AB22" i="27"/>
  <c r="AH9" i="27"/>
  <c r="AI9" i="27"/>
  <c r="AJ9" i="27"/>
  <c r="AK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H8" i="27"/>
  <c r="AI8" i="27"/>
  <c r="AJ8" i="27"/>
  <c r="AK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D21" i="27"/>
  <c r="K21" i="27"/>
  <c r="P21" i="27"/>
  <c r="Q21" i="27"/>
  <c r="R21" i="27"/>
  <c r="S21" i="27"/>
  <c r="T21" i="27"/>
  <c r="U21" i="27"/>
  <c r="AB21" i="27"/>
  <c r="AH7" i="27"/>
  <c r="AI7" i="27"/>
  <c r="AJ7" i="27"/>
  <c r="AK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P20" i="27"/>
  <c r="Q20" i="27"/>
  <c r="R20" i="27"/>
  <c r="S20" i="27"/>
  <c r="AB20" i="27"/>
  <c r="AH6" i="27"/>
  <c r="AI6" i="27"/>
  <c r="AJ6" i="27"/>
  <c r="AK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P19" i="27"/>
  <c r="Q19" i="27"/>
  <c r="R19" i="27"/>
  <c r="S19" i="27"/>
  <c r="AB19" i="27"/>
  <c r="AH5" i="27"/>
  <c r="AI5" i="27"/>
  <c r="AJ5" i="27"/>
  <c r="AK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H11" i="27"/>
  <c r="AI11" i="27"/>
  <c r="AJ11" i="27"/>
  <c r="AK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B18" i="27"/>
  <c r="S18" i="27"/>
  <c r="R18" i="27"/>
  <c r="Q18" i="27"/>
  <c r="P18" i="27"/>
  <c r="AH30" i="27"/>
  <c r="AI30" i="27"/>
  <c r="AJ30" i="27"/>
  <c r="AK30" i="27"/>
  <c r="AH4" i="27"/>
  <c r="AI4" i="27"/>
  <c r="AJ4" i="27"/>
  <c r="AK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W40" i="20" l="1"/>
  <c r="W41" i="20" s="1"/>
  <c r="W40" i="21"/>
  <c r="W41" i="21" s="1"/>
  <c r="W40" i="22"/>
  <c r="W41" i="22" s="1"/>
  <c r="X40" i="20"/>
  <c r="X41" i="20" s="1"/>
  <c r="X40" i="22"/>
  <c r="X41" i="22" s="1"/>
  <c r="X40" i="21"/>
  <c r="X41" i="21" s="1"/>
  <c r="W40" i="16"/>
  <c r="W40" i="23"/>
  <c r="W41" i="23" s="1"/>
  <c r="X25" i="27" s="1"/>
  <c r="W40" i="24"/>
  <c r="W41" i="24" s="1"/>
  <c r="X40" i="16"/>
  <c r="X40" i="23"/>
  <c r="X41" i="23" s="1"/>
  <c r="Y25" i="27" s="1"/>
  <c r="X40" i="24"/>
  <c r="X41" i="24" s="1"/>
  <c r="N40" i="20"/>
  <c r="N41" i="20" s="1"/>
  <c r="O20" i="27" s="1"/>
  <c r="F40" i="20"/>
  <c r="F41" i="20" s="1"/>
  <c r="M40" i="21"/>
  <c r="M41" i="21" s="1"/>
  <c r="N40" i="22"/>
  <c r="N41" i="22" s="1"/>
  <c r="O18" i="27" s="1"/>
  <c r="F40" i="22"/>
  <c r="F41" i="22" s="1"/>
  <c r="M40" i="20"/>
  <c r="M41" i="20" s="1"/>
  <c r="F40" i="21"/>
  <c r="F41" i="21" s="1"/>
  <c r="M40" i="22"/>
  <c r="M41" i="22" s="1"/>
  <c r="N40" i="21"/>
  <c r="N41" i="21" s="1"/>
  <c r="O19" i="27" s="1"/>
  <c r="N40" i="16"/>
  <c r="F40" i="16"/>
  <c r="M40" i="23"/>
  <c r="M41" i="23" s="1"/>
  <c r="N25" i="27" s="1"/>
  <c r="N40" i="24"/>
  <c r="N41" i="24" s="1"/>
  <c r="O24" i="27" s="1"/>
  <c r="F40" i="24"/>
  <c r="F41" i="24" s="1"/>
  <c r="N40" i="23"/>
  <c r="N41" i="23" s="1"/>
  <c r="O25" i="27" s="1"/>
  <c r="F40" i="23"/>
  <c r="F41" i="23" s="1"/>
  <c r="G25" i="27" s="1"/>
  <c r="M40" i="16"/>
  <c r="M40" i="24"/>
  <c r="M41" i="24" s="1"/>
  <c r="M40" i="26"/>
  <c r="N40" i="26"/>
  <c r="F40" i="26"/>
  <c r="G40" i="21"/>
  <c r="G41" i="21" s="1"/>
  <c r="H19" i="27" s="1"/>
  <c r="G40" i="22"/>
  <c r="G41" i="22" s="1"/>
  <c r="H18" i="27" s="1"/>
  <c r="G40" i="20"/>
  <c r="G41" i="20" s="1"/>
  <c r="H20" i="27" s="1"/>
  <c r="G40" i="16"/>
  <c r="G40" i="24"/>
  <c r="G41" i="24" s="1"/>
  <c r="H24" i="27" s="1"/>
  <c r="G40" i="23"/>
  <c r="G41" i="23" s="1"/>
  <c r="H25" i="27" s="1"/>
  <c r="L40" i="21"/>
  <c r="L41" i="21" s="1"/>
  <c r="M19" i="27" s="1"/>
  <c r="L40" i="20"/>
  <c r="L41" i="20" s="1"/>
  <c r="M20" i="27" s="1"/>
  <c r="L40" i="22"/>
  <c r="L41" i="22" s="1"/>
  <c r="M18" i="27" s="1"/>
  <c r="L40" i="23"/>
  <c r="L41" i="23" s="1"/>
  <c r="M25" i="27" s="1"/>
  <c r="L40" i="16"/>
  <c r="L40" i="24"/>
  <c r="L41" i="24" s="1"/>
  <c r="M24" i="27" s="1"/>
  <c r="V40" i="20"/>
  <c r="V41" i="20" s="1"/>
  <c r="W20" i="27" s="1"/>
  <c r="AB40" i="21"/>
  <c r="AB41" i="21" s="1"/>
  <c r="AC19" i="27" s="1"/>
  <c r="U40" i="21"/>
  <c r="U41" i="21" s="1"/>
  <c r="V19" i="27" s="1"/>
  <c r="V40" i="22"/>
  <c r="V41" i="22" s="1"/>
  <c r="W18" i="27" s="1"/>
  <c r="AB40" i="20"/>
  <c r="AB41" i="20" s="1"/>
  <c r="AC20" i="27" s="1"/>
  <c r="U40" i="20"/>
  <c r="U41" i="20" s="1"/>
  <c r="V40" i="21"/>
  <c r="V41" i="21" s="1"/>
  <c r="W19" i="27" s="1"/>
  <c r="AB40" i="22"/>
  <c r="AB41" i="22" s="1"/>
  <c r="AC18" i="27" s="1"/>
  <c r="U40" i="22"/>
  <c r="U41" i="22" s="1"/>
  <c r="V18" i="27" s="1"/>
  <c r="V40" i="16"/>
  <c r="AB40" i="23"/>
  <c r="AB41" i="23" s="1"/>
  <c r="AC25" i="27" s="1"/>
  <c r="U40" i="23"/>
  <c r="U41" i="23" s="1"/>
  <c r="V25" i="27" s="1"/>
  <c r="V40" i="24"/>
  <c r="V41" i="24" s="1"/>
  <c r="W24" i="27" s="1"/>
  <c r="AB40" i="16"/>
  <c r="U40" i="16"/>
  <c r="V40" i="23"/>
  <c r="V41" i="23" s="1"/>
  <c r="W25" i="27" s="1"/>
  <c r="AB40" i="24"/>
  <c r="AB41" i="24" s="1"/>
  <c r="AC24" i="27" s="1"/>
  <c r="U40" i="24"/>
  <c r="U41" i="24" s="1"/>
  <c r="V24" i="27" s="1"/>
  <c r="T40" i="20"/>
  <c r="T41" i="20" s="1"/>
  <c r="J40" i="20"/>
  <c r="J41" i="20" s="1"/>
  <c r="K20" i="27" s="1"/>
  <c r="T40" i="21"/>
  <c r="T41" i="21" s="1"/>
  <c r="J40" i="21"/>
  <c r="J41" i="21" s="1"/>
  <c r="K19" i="27" s="1"/>
  <c r="T40" i="22"/>
  <c r="T41" i="22" s="1"/>
  <c r="J40" i="22"/>
  <c r="J41" i="22" s="1"/>
  <c r="K18" i="27" s="1"/>
  <c r="S40" i="20"/>
  <c r="S41" i="20" s="1"/>
  <c r="T20" i="27" s="1"/>
  <c r="C40" i="20"/>
  <c r="C41" i="20" s="1"/>
  <c r="D20" i="27" s="1"/>
  <c r="S40" i="21"/>
  <c r="S41" i="21" s="1"/>
  <c r="C40" i="21"/>
  <c r="C41" i="21" s="1"/>
  <c r="D19" i="27" s="1"/>
  <c r="S40" i="22"/>
  <c r="S41" i="22" s="1"/>
  <c r="C40" i="22"/>
  <c r="C41" i="22" s="1"/>
  <c r="D18" i="27" s="1"/>
  <c r="S40" i="26"/>
  <c r="C40" i="26"/>
  <c r="S40" i="25"/>
  <c r="S41" i="25" s="1"/>
  <c r="C40" i="25"/>
  <c r="C41" i="25" s="1"/>
  <c r="S40" i="6"/>
  <c r="S41" i="6" s="1"/>
  <c r="C40" i="6"/>
  <c r="C41" i="6" s="1"/>
  <c r="T40" i="26"/>
  <c r="J40" i="26"/>
  <c r="T40" i="25"/>
  <c r="T41" i="25" s="1"/>
  <c r="J40" i="25"/>
  <c r="J41" i="25" s="1"/>
  <c r="T40" i="6"/>
  <c r="T41" i="6" s="1"/>
  <c r="J40" i="6"/>
  <c r="J41" i="6" s="1"/>
  <c r="H40" i="18"/>
  <c r="H41" i="18" s="1"/>
  <c r="I22" i="27" s="1"/>
  <c r="H40" i="17"/>
  <c r="H41" i="17" s="1"/>
  <c r="I23" i="27" s="1"/>
  <c r="H40" i="19"/>
  <c r="H41" i="19" s="1"/>
  <c r="I21" i="27" s="1"/>
  <c r="H40" i="25"/>
  <c r="H41" i="25" s="1"/>
  <c r="H40" i="26"/>
  <c r="H40" i="6"/>
  <c r="H41" i="6" s="1"/>
  <c r="I40" i="17"/>
  <c r="I41" i="17" s="1"/>
  <c r="J23" i="27" s="1"/>
  <c r="AC40" i="18"/>
  <c r="AC41" i="18" s="1"/>
  <c r="AD22" i="27" s="1"/>
  <c r="B40" i="18"/>
  <c r="B41" i="18" s="1"/>
  <c r="I40" i="19"/>
  <c r="I41" i="19" s="1"/>
  <c r="J21" i="27" s="1"/>
  <c r="AC40" i="17"/>
  <c r="AC41" i="17" s="1"/>
  <c r="AD23" i="27" s="1"/>
  <c r="B40" i="17"/>
  <c r="B41" i="17" s="1"/>
  <c r="I40" i="18"/>
  <c r="I41" i="18" s="1"/>
  <c r="J22" i="27" s="1"/>
  <c r="AC40" i="19"/>
  <c r="AC41" i="19" s="1"/>
  <c r="AD21" i="27" s="1"/>
  <c r="B40" i="19"/>
  <c r="B41" i="19" s="1"/>
  <c r="I40" i="26"/>
  <c r="AC40" i="25"/>
  <c r="AC41" i="25" s="1"/>
  <c r="B40" i="25"/>
  <c r="B41" i="25" s="1"/>
  <c r="I40" i="6"/>
  <c r="I41" i="6" s="1"/>
  <c r="AC40" i="26"/>
  <c r="B40" i="26"/>
  <c r="B41" i="26" s="1"/>
  <c r="I40" i="25"/>
  <c r="I41" i="25" s="1"/>
  <c r="AC40" i="6"/>
  <c r="AC41" i="6" s="1"/>
  <c r="B40" i="6"/>
  <c r="B41" i="6" s="1"/>
  <c r="Y40" i="17"/>
  <c r="Y41" i="17" s="1"/>
  <c r="Z23" i="27" s="1"/>
  <c r="Z40" i="18"/>
  <c r="Z41" i="18" s="1"/>
  <c r="AA22" i="27" s="1"/>
  <c r="D40" i="18"/>
  <c r="D41" i="18" s="1"/>
  <c r="E22" i="27" s="1"/>
  <c r="Y40" i="19"/>
  <c r="Y41" i="19" s="1"/>
  <c r="Z21" i="27" s="1"/>
  <c r="D40" i="17"/>
  <c r="D41" i="17" s="1"/>
  <c r="E23" i="27" s="1"/>
  <c r="Z40" i="17"/>
  <c r="Z41" i="17" s="1"/>
  <c r="AA23" i="27" s="1"/>
  <c r="Y40" i="18"/>
  <c r="Y41" i="18" s="1"/>
  <c r="Z22" i="27" s="1"/>
  <c r="Z40" i="19"/>
  <c r="Z41" i="19" s="1"/>
  <c r="AA21" i="27" s="1"/>
  <c r="D40" i="19"/>
  <c r="D41" i="19" s="1"/>
  <c r="E21" i="27" s="1"/>
  <c r="Y40" i="26"/>
  <c r="Z40" i="25"/>
  <c r="Z41" i="25" s="1"/>
  <c r="D40" i="25"/>
  <c r="D41" i="25" s="1"/>
  <c r="Z40" i="6"/>
  <c r="Z41" i="6" s="1"/>
  <c r="Z40" i="26"/>
  <c r="D40" i="26"/>
  <c r="Y40" i="25"/>
  <c r="Y41" i="25" s="1"/>
  <c r="D40" i="6"/>
  <c r="D41" i="6" s="1"/>
  <c r="Y40" i="6"/>
  <c r="Y41" i="6" s="1"/>
  <c r="W40" i="17"/>
  <c r="W41" i="17" s="1"/>
  <c r="W40" i="18"/>
  <c r="W41" i="18" s="1"/>
  <c r="W40" i="19"/>
  <c r="W41" i="19" s="1"/>
  <c r="X40" i="17"/>
  <c r="X41" i="17" s="1"/>
  <c r="X40" i="18"/>
  <c r="X41" i="18" s="1"/>
  <c r="X40" i="19"/>
  <c r="X41" i="19" s="1"/>
  <c r="W40" i="26"/>
  <c r="W40" i="25"/>
  <c r="W41" i="25" s="1"/>
  <c r="W40" i="6"/>
  <c r="W41" i="6" s="1"/>
  <c r="X40" i="25"/>
  <c r="X41" i="25" s="1"/>
  <c r="X40" i="26"/>
  <c r="X40" i="6"/>
  <c r="X41" i="6" s="1"/>
  <c r="M40" i="17"/>
  <c r="M41" i="17" s="1"/>
  <c r="N40" i="18"/>
  <c r="N41" i="18" s="1"/>
  <c r="O22" i="27" s="1"/>
  <c r="F40" i="18"/>
  <c r="F41" i="18" s="1"/>
  <c r="M40" i="19"/>
  <c r="M41" i="19" s="1"/>
  <c r="F40" i="17"/>
  <c r="F41" i="17" s="1"/>
  <c r="N40" i="19"/>
  <c r="N41" i="19" s="1"/>
  <c r="O21" i="27" s="1"/>
  <c r="N40" i="17"/>
  <c r="N41" i="17" s="1"/>
  <c r="O23" i="27" s="1"/>
  <c r="M40" i="18"/>
  <c r="M41" i="18" s="1"/>
  <c r="F40" i="19"/>
  <c r="F41" i="19" s="1"/>
  <c r="N40" i="25"/>
  <c r="N41" i="25" s="1"/>
  <c r="F40" i="25"/>
  <c r="F41" i="25" s="1"/>
  <c r="M40" i="6"/>
  <c r="M41" i="6" s="1"/>
  <c r="M40" i="25"/>
  <c r="M41" i="25" s="1"/>
  <c r="F40" i="6"/>
  <c r="F41" i="6" s="1"/>
  <c r="N40" i="6"/>
  <c r="N41" i="6" s="1"/>
  <c r="G40" i="17"/>
  <c r="G41" i="17" s="1"/>
  <c r="H23" i="27" s="1"/>
  <c r="G40" i="19"/>
  <c r="G41" i="19" s="1"/>
  <c r="H21" i="27" s="1"/>
  <c r="G40" i="18"/>
  <c r="G41" i="18" s="1"/>
  <c r="H22" i="27" s="1"/>
  <c r="G40" i="26"/>
  <c r="G40" i="6"/>
  <c r="G41" i="6" s="1"/>
  <c r="G40" i="25"/>
  <c r="G41" i="25" s="1"/>
  <c r="L40" i="17"/>
  <c r="L41" i="17" s="1"/>
  <c r="M23" i="27" s="1"/>
  <c r="L40" i="19"/>
  <c r="L41" i="19" s="1"/>
  <c r="M21" i="27" s="1"/>
  <c r="L40" i="18"/>
  <c r="L41" i="18" s="1"/>
  <c r="M22" i="27" s="1"/>
  <c r="L40" i="26"/>
  <c r="L41" i="26" s="1"/>
  <c r="L40" i="6"/>
  <c r="L41" i="6" s="1"/>
  <c r="L40" i="25"/>
  <c r="L41" i="25" s="1"/>
  <c r="AB40" i="17"/>
  <c r="AB41" i="17" s="1"/>
  <c r="AC23" i="27" s="1"/>
  <c r="U40" i="17"/>
  <c r="U41" i="17" s="1"/>
  <c r="V40" i="18"/>
  <c r="V41" i="18" s="1"/>
  <c r="AB40" i="19"/>
  <c r="AB41" i="19" s="1"/>
  <c r="AC21" i="27" s="1"/>
  <c r="U40" i="19"/>
  <c r="U41" i="19" s="1"/>
  <c r="V40" i="17"/>
  <c r="V41" i="17" s="1"/>
  <c r="AB40" i="18"/>
  <c r="AB41" i="18" s="1"/>
  <c r="AC22" i="27" s="1"/>
  <c r="U40" i="18"/>
  <c r="U41" i="18" s="1"/>
  <c r="V40" i="19"/>
  <c r="V41" i="19" s="1"/>
  <c r="AB40" i="26"/>
  <c r="U40" i="26"/>
  <c r="V40" i="25"/>
  <c r="V41" i="25" s="1"/>
  <c r="AB40" i="6"/>
  <c r="AB41" i="6" s="1"/>
  <c r="U40" i="6"/>
  <c r="U41" i="6" s="1"/>
  <c r="V40" i="26"/>
  <c r="AB40" i="25"/>
  <c r="AB41" i="25" s="1"/>
  <c r="U40" i="25"/>
  <c r="U41" i="25" s="1"/>
  <c r="V40" i="6"/>
  <c r="V41" i="6" s="1"/>
  <c r="S40" i="16"/>
  <c r="C40" i="16"/>
  <c r="S40" i="23"/>
  <c r="S41" i="23" s="1"/>
  <c r="C40" i="23"/>
  <c r="C41" i="23" s="1"/>
  <c r="D25" i="27" s="1"/>
  <c r="S40" i="24"/>
  <c r="S41" i="24" s="1"/>
  <c r="C40" i="24"/>
  <c r="C41" i="24" s="1"/>
  <c r="D24" i="27" s="1"/>
  <c r="T40" i="16"/>
  <c r="J40" i="16"/>
  <c r="T40" i="23"/>
  <c r="T41" i="23" s="1"/>
  <c r="J40" i="23"/>
  <c r="J41" i="23" s="1"/>
  <c r="K25" i="27" s="1"/>
  <c r="T40" i="24"/>
  <c r="T41" i="24" s="1"/>
  <c r="J40" i="24"/>
  <c r="J41" i="24" s="1"/>
  <c r="K24" i="27" s="1"/>
  <c r="H40" i="20"/>
  <c r="H41" i="20" s="1"/>
  <c r="I20" i="27" s="1"/>
  <c r="H40" i="22"/>
  <c r="H41" i="22" s="1"/>
  <c r="I18" i="27" s="1"/>
  <c r="H40" i="21"/>
  <c r="H41" i="21" s="1"/>
  <c r="I19" i="27" s="1"/>
  <c r="H40" i="16"/>
  <c r="H40" i="24"/>
  <c r="H41" i="24" s="1"/>
  <c r="I24" i="27" s="1"/>
  <c r="H40" i="23"/>
  <c r="H41" i="23" s="1"/>
  <c r="I25" i="27" s="1"/>
  <c r="AC40" i="20"/>
  <c r="AC41" i="20" s="1"/>
  <c r="AD20" i="27" s="1"/>
  <c r="B40" i="20"/>
  <c r="B41" i="20" s="1"/>
  <c r="I40" i="21"/>
  <c r="I41" i="21" s="1"/>
  <c r="J19" i="27" s="1"/>
  <c r="AC40" i="22"/>
  <c r="AC41" i="22" s="1"/>
  <c r="AD18" i="27" s="1"/>
  <c r="B40" i="22"/>
  <c r="B41" i="22" s="1"/>
  <c r="I40" i="20"/>
  <c r="I41" i="20" s="1"/>
  <c r="J20" i="27" s="1"/>
  <c r="AC40" i="21"/>
  <c r="AC41" i="21" s="1"/>
  <c r="AD19" i="27" s="1"/>
  <c r="B40" i="21"/>
  <c r="B41" i="21" s="1"/>
  <c r="I40" i="22"/>
  <c r="I41" i="22" s="1"/>
  <c r="J18" i="27" s="1"/>
  <c r="AC40" i="16"/>
  <c r="B40" i="16"/>
  <c r="I40" i="23"/>
  <c r="I41" i="23" s="1"/>
  <c r="J25" i="27" s="1"/>
  <c r="AC40" i="24"/>
  <c r="AC41" i="24" s="1"/>
  <c r="AD24" i="27" s="1"/>
  <c r="B40" i="24"/>
  <c r="B41" i="24" s="1"/>
  <c r="I40" i="16"/>
  <c r="AC40" i="23"/>
  <c r="AC41" i="23" s="1"/>
  <c r="AD25" i="27" s="1"/>
  <c r="B40" i="23"/>
  <c r="B41" i="23" s="1"/>
  <c r="I40" i="24"/>
  <c r="I41" i="24" s="1"/>
  <c r="J24" i="27" s="1"/>
  <c r="D40" i="20"/>
  <c r="D41" i="20" s="1"/>
  <c r="E20" i="27" s="1"/>
  <c r="Y40" i="20"/>
  <c r="Y41" i="20" s="1"/>
  <c r="Z20" i="27" s="1"/>
  <c r="Z40" i="21"/>
  <c r="Z41" i="21" s="1"/>
  <c r="AA19" i="27" s="1"/>
  <c r="Z40" i="22"/>
  <c r="Z41" i="22" s="1"/>
  <c r="AA18" i="27" s="1"/>
  <c r="D40" i="22"/>
  <c r="D41" i="22" s="1"/>
  <c r="E18" i="27" s="1"/>
  <c r="Z40" i="20"/>
  <c r="Z41" i="20" s="1"/>
  <c r="AA20" i="27" s="1"/>
  <c r="D40" i="21"/>
  <c r="D41" i="21" s="1"/>
  <c r="E19" i="27" s="1"/>
  <c r="Y40" i="21"/>
  <c r="Y41" i="21" s="1"/>
  <c r="Z19" i="27" s="1"/>
  <c r="Y40" i="22"/>
  <c r="Y41" i="22" s="1"/>
  <c r="Z18" i="27" s="1"/>
  <c r="D40" i="16"/>
  <c r="Y40" i="16"/>
  <c r="Z40" i="23"/>
  <c r="Z41" i="23" s="1"/>
  <c r="AA25" i="27" s="1"/>
  <c r="Z40" i="24"/>
  <c r="Z41" i="24" s="1"/>
  <c r="AA24" i="27" s="1"/>
  <c r="D40" i="24"/>
  <c r="D41" i="24" s="1"/>
  <c r="E24" i="27" s="1"/>
  <c r="Z40" i="16"/>
  <c r="D40" i="23"/>
  <c r="D41" i="23" s="1"/>
  <c r="E25" i="27" s="1"/>
  <c r="Y40" i="23"/>
  <c r="Y41" i="23" s="1"/>
  <c r="Z25" i="27" s="1"/>
  <c r="Y40" i="24"/>
  <c r="Y41" i="24" s="1"/>
  <c r="Z24" i="27" s="1"/>
  <c r="AJ14" i="27"/>
  <c r="AH14" i="27"/>
  <c r="M39" i="16"/>
  <c r="B39" i="16"/>
  <c r="AJ13" i="27"/>
  <c r="AH13" i="27"/>
  <c r="B44" i="23" l="1"/>
  <c r="C25" i="27"/>
  <c r="B44" i="22"/>
  <c r="C18" i="27"/>
  <c r="E44" i="24"/>
  <c r="E51" i="24" s="1"/>
  <c r="U24" i="27"/>
  <c r="E44" i="23"/>
  <c r="E51" i="23" s="1"/>
  <c r="U25" i="27"/>
  <c r="H44" i="24"/>
  <c r="H51" i="24" s="1"/>
  <c r="T24" i="27"/>
  <c r="H44" i="23"/>
  <c r="H51" i="23" s="1"/>
  <c r="T25" i="27"/>
  <c r="E44" i="19"/>
  <c r="E51" i="19" s="1"/>
  <c r="W21" i="27"/>
  <c r="H44" i="19"/>
  <c r="H51" i="19" s="1"/>
  <c r="V21" i="27"/>
  <c r="E44" i="18"/>
  <c r="E51" i="18" s="1"/>
  <c r="W22" i="27"/>
  <c r="B44" i="17"/>
  <c r="C23" i="27"/>
  <c r="H44" i="20"/>
  <c r="H51" i="20" s="1"/>
  <c r="V20" i="27"/>
  <c r="B44" i="6"/>
  <c r="B44" i="25"/>
  <c r="B44" i="24"/>
  <c r="C24" i="27"/>
  <c r="B44" i="21"/>
  <c r="C19" i="27"/>
  <c r="B44" i="20"/>
  <c r="C20" i="27"/>
  <c r="H44" i="18"/>
  <c r="H51" i="18" s="1"/>
  <c r="V22" i="27"/>
  <c r="E44" i="17"/>
  <c r="E51" i="17" s="1"/>
  <c r="W23" i="27"/>
  <c r="H44" i="17"/>
  <c r="H51" i="17" s="1"/>
  <c r="V23" i="27"/>
  <c r="B44" i="19"/>
  <c r="C21" i="27"/>
  <c r="B44" i="18"/>
  <c r="C22" i="27"/>
  <c r="H44" i="22"/>
  <c r="H51" i="22" s="1"/>
  <c r="T18" i="27"/>
  <c r="H44" i="21"/>
  <c r="H51" i="21" s="1"/>
  <c r="T19" i="27"/>
  <c r="E44" i="22"/>
  <c r="E51" i="22" s="1"/>
  <c r="U18" i="27"/>
  <c r="E44" i="21"/>
  <c r="E51" i="21" s="1"/>
  <c r="U19" i="27"/>
  <c r="E44" i="20"/>
  <c r="E51" i="20" s="1"/>
  <c r="U20" i="27"/>
  <c r="E44" i="6"/>
  <c r="E51" i="6" s="1"/>
  <c r="E44" i="25"/>
  <c r="H44" i="6"/>
  <c r="H51" i="6" s="1"/>
  <c r="H44" i="25"/>
  <c r="I52" i="25" s="1"/>
  <c r="C29" i="27"/>
  <c r="C15" i="27"/>
  <c r="M29" i="27"/>
  <c r="M15" i="27"/>
  <c r="C28" i="27"/>
  <c r="C14" i="27"/>
  <c r="E28" i="27"/>
  <c r="E14" i="27"/>
  <c r="G28" i="27"/>
  <c r="G14" i="27"/>
  <c r="I28" i="27"/>
  <c r="I14" i="27"/>
  <c r="K28" i="27"/>
  <c r="K14" i="27"/>
  <c r="M28" i="27"/>
  <c r="M14" i="27"/>
  <c r="O28" i="27"/>
  <c r="O14" i="27"/>
  <c r="Q28" i="27"/>
  <c r="Q14" i="27"/>
  <c r="S28" i="27"/>
  <c r="S14" i="27"/>
  <c r="U28" i="27"/>
  <c r="U14" i="27"/>
  <c r="W28" i="27"/>
  <c r="W14" i="27"/>
  <c r="Y28" i="27"/>
  <c r="Y14" i="27"/>
  <c r="AA28" i="27"/>
  <c r="AA14" i="27"/>
  <c r="AC14" i="27"/>
  <c r="D28" i="27"/>
  <c r="D14" i="27"/>
  <c r="F28" i="27"/>
  <c r="F14" i="27"/>
  <c r="H28" i="27"/>
  <c r="H14" i="27"/>
  <c r="J14" i="27"/>
  <c r="L28" i="27"/>
  <c r="L14" i="27"/>
  <c r="N28" i="27"/>
  <c r="N14" i="27"/>
  <c r="P28" i="27"/>
  <c r="P14" i="27"/>
  <c r="R28" i="27"/>
  <c r="R14" i="27"/>
  <c r="T28" i="27"/>
  <c r="T14" i="27"/>
  <c r="V14" i="27"/>
  <c r="X28" i="27"/>
  <c r="X14" i="27"/>
  <c r="Z28" i="27"/>
  <c r="Z14" i="27"/>
  <c r="AB28" i="27"/>
  <c r="AB14" i="27"/>
  <c r="AD14" i="27"/>
  <c r="AK14" i="27"/>
  <c r="AI14" i="27"/>
  <c r="Z27" i="27"/>
  <c r="Z13" i="27"/>
  <c r="AB27" i="27"/>
  <c r="AB13" i="27"/>
  <c r="AD13" i="27"/>
  <c r="AI13" i="27"/>
  <c r="AK13" i="27"/>
  <c r="Y27" i="27"/>
  <c r="Y13" i="27"/>
  <c r="AA27" i="27"/>
  <c r="AA13" i="27"/>
  <c r="AC13" i="27"/>
  <c r="N24" i="27"/>
  <c r="G24" i="27"/>
  <c r="N23" i="27"/>
  <c r="G23" i="27"/>
  <c r="N22" i="27"/>
  <c r="G22" i="27"/>
  <c r="N21" i="27"/>
  <c r="G21" i="27"/>
  <c r="N20" i="27"/>
  <c r="G20" i="27"/>
  <c r="N19" i="27"/>
  <c r="G19" i="27"/>
  <c r="N18" i="27"/>
  <c r="G18" i="27"/>
  <c r="Y24" i="27"/>
  <c r="X24" i="27"/>
  <c r="Y23" i="27"/>
  <c r="X23" i="27"/>
  <c r="Y22" i="27"/>
  <c r="X22" i="27"/>
  <c r="Y21" i="27"/>
  <c r="X21" i="27"/>
  <c r="Y20" i="27"/>
  <c r="X20" i="27"/>
  <c r="Y19" i="27"/>
  <c r="X19" i="27"/>
  <c r="Y18" i="27"/>
  <c r="X18" i="27"/>
  <c r="B41" i="16"/>
  <c r="C12" i="27"/>
  <c r="M41" i="16"/>
  <c r="N12" i="27"/>
  <c r="B51" i="20" l="1"/>
  <c r="B52" i="20" s="1"/>
  <c r="C35" i="27" s="1"/>
  <c r="B51" i="25"/>
  <c r="B52" i="25" s="1"/>
  <c r="C43" i="27" s="1"/>
  <c r="H51" i="25"/>
  <c r="H52" i="25" s="1"/>
  <c r="E43" i="27" s="1"/>
  <c r="E51" i="25"/>
  <c r="E52" i="25" s="1"/>
  <c r="D43" i="27" s="1"/>
  <c r="B51" i="6"/>
  <c r="B52" i="6" s="1"/>
  <c r="C42" i="27" s="1"/>
  <c r="B51" i="23"/>
  <c r="B52" i="23" s="1"/>
  <c r="C40" i="27" s="1"/>
  <c r="B51" i="24"/>
  <c r="B52" i="24" s="1"/>
  <c r="C39" i="27" s="1"/>
  <c r="B51" i="17"/>
  <c r="B52" i="17" s="1"/>
  <c r="C38" i="27" s="1"/>
  <c r="B51" i="18"/>
  <c r="B52" i="18" s="1"/>
  <c r="C37" i="27" s="1"/>
  <c r="B51" i="19"/>
  <c r="B52" i="19" s="1"/>
  <c r="C36" i="27" s="1"/>
  <c r="B51" i="21"/>
  <c r="B52" i="21" s="1"/>
  <c r="C34" i="27" s="1"/>
  <c r="B51" i="22"/>
  <c r="B52" i="22" s="1"/>
  <c r="C33" i="27" s="1"/>
  <c r="E52" i="22"/>
  <c r="D33" i="27" s="1"/>
  <c r="F52" i="22"/>
  <c r="H52" i="22"/>
  <c r="E33" i="27" s="1"/>
  <c r="I52" i="22"/>
  <c r="E52" i="18"/>
  <c r="D37" i="27" s="1"/>
  <c r="F51" i="18"/>
  <c r="E52" i="19"/>
  <c r="D36" i="27" s="1"/>
  <c r="F52" i="19"/>
  <c r="H52" i="19"/>
  <c r="E36" i="27" s="1"/>
  <c r="I52" i="19"/>
  <c r="H52" i="20"/>
  <c r="E35" i="27" s="1"/>
  <c r="I51" i="20"/>
  <c r="E52" i="20"/>
  <c r="D35" i="27" s="1"/>
  <c r="F51" i="20"/>
  <c r="E52" i="21"/>
  <c r="D34" i="27" s="1"/>
  <c r="F52" i="21"/>
  <c r="H52" i="21"/>
  <c r="E34" i="27" s="1"/>
  <c r="I52" i="21"/>
  <c r="E52" i="6"/>
  <c r="D42" i="27" s="1"/>
  <c r="F52" i="6"/>
  <c r="H52" i="6"/>
  <c r="E42" i="27" s="1"/>
  <c r="I52" i="6"/>
  <c r="H52" i="23"/>
  <c r="E40" i="27" s="1"/>
  <c r="I52" i="23"/>
  <c r="E52" i="23"/>
  <c r="D40" i="27" s="1"/>
  <c r="F52" i="23"/>
  <c r="H52" i="17"/>
  <c r="E38" i="27" s="1"/>
  <c r="I49" i="17"/>
  <c r="E52" i="17"/>
  <c r="D38" i="27" s="1"/>
  <c r="F49" i="17"/>
  <c r="H52" i="24"/>
  <c r="E39" i="27" s="1"/>
  <c r="I49" i="24"/>
  <c r="E52" i="24"/>
  <c r="D39" i="27" s="1"/>
  <c r="F49" i="24"/>
  <c r="H52" i="18"/>
  <c r="E37" i="27" s="1"/>
  <c r="I51" i="18"/>
  <c r="N26" i="27"/>
  <c r="AD28" i="27"/>
  <c r="V28" i="27"/>
  <c r="J28" i="27"/>
  <c r="AC28" i="27"/>
  <c r="C27" i="27"/>
  <c r="C13" i="27"/>
  <c r="C17" i="27" s="1"/>
  <c r="C6" i="28" s="1"/>
  <c r="E27" i="27"/>
  <c r="E13" i="27"/>
  <c r="G27" i="27"/>
  <c r="G13" i="27"/>
  <c r="I27" i="27"/>
  <c r="I13" i="27"/>
  <c r="K27" i="27"/>
  <c r="K13" i="27"/>
  <c r="M27" i="27"/>
  <c r="M13" i="27"/>
  <c r="O27" i="27"/>
  <c r="O13" i="27"/>
  <c r="Q27" i="27"/>
  <c r="Q13" i="27"/>
  <c r="S27" i="27"/>
  <c r="S13" i="27"/>
  <c r="U27" i="27"/>
  <c r="U13" i="27"/>
  <c r="W27" i="27"/>
  <c r="W13" i="27"/>
  <c r="AC27" i="27"/>
  <c r="AD27" i="27"/>
  <c r="D27" i="27"/>
  <c r="D13" i="27"/>
  <c r="F27" i="27"/>
  <c r="F13" i="27"/>
  <c r="H27" i="27"/>
  <c r="H13" i="27"/>
  <c r="J27" i="27"/>
  <c r="J13" i="27"/>
  <c r="L27" i="27"/>
  <c r="L13" i="27"/>
  <c r="N27" i="27"/>
  <c r="N13" i="27"/>
  <c r="P27" i="27"/>
  <c r="P13" i="27"/>
  <c r="R27" i="27"/>
  <c r="R13" i="27"/>
  <c r="T27" i="27"/>
  <c r="T13" i="27"/>
  <c r="V27" i="27"/>
  <c r="V13" i="27"/>
  <c r="X27" i="27"/>
  <c r="X13" i="27"/>
  <c r="C26" i="27"/>
  <c r="C30" i="27" l="1"/>
  <c r="C10" i="28" s="1"/>
  <c r="C7" i="28"/>
  <c r="C9" i="28" s="1"/>
  <c r="AB39" i="26" l="1"/>
  <c r="AA39" i="26"/>
  <c r="K39" i="26"/>
  <c r="G39" i="26"/>
  <c r="J39" i="26" l="1"/>
  <c r="D39" i="26"/>
  <c r="AF40" i="26"/>
  <c r="AA41" i="26"/>
  <c r="AB29" i="27" s="1"/>
  <c r="AB15" i="27"/>
  <c r="N39" i="26"/>
  <c r="M39" i="26"/>
  <c r="C39" i="26"/>
  <c r="F39" i="26"/>
  <c r="K41" i="26"/>
  <c r="L29" i="27" s="1"/>
  <c r="L15" i="27"/>
  <c r="H39" i="26"/>
  <c r="AB41" i="26"/>
  <c r="AC29" i="27" s="1"/>
  <c r="AC15" i="27"/>
  <c r="T47" i="26"/>
  <c r="U47" i="26" s="1"/>
  <c r="G41" i="26"/>
  <c r="H29" i="27" s="1"/>
  <c r="H15" i="27"/>
  <c r="E39" i="26"/>
  <c r="I39" i="26"/>
  <c r="AC39" i="26"/>
  <c r="AK39" i="26" l="1"/>
  <c r="AK41" i="26" s="1"/>
  <c r="T49" i="26"/>
  <c r="U49" i="26" s="1"/>
  <c r="E41" i="26"/>
  <c r="F29" i="27" s="1"/>
  <c r="F15" i="27"/>
  <c r="E15" i="27"/>
  <c r="D41" i="26"/>
  <c r="E29" i="27" s="1"/>
  <c r="T46" i="26"/>
  <c r="U46" i="26" s="1"/>
  <c r="N15" i="27"/>
  <c r="N17" i="27" s="1"/>
  <c r="U6" i="28" s="1"/>
  <c r="M41" i="26"/>
  <c r="N29" i="27" s="1"/>
  <c r="N30" i="27" s="1"/>
  <c r="U10" i="28" s="1"/>
  <c r="AH40" i="26"/>
  <c r="AL39" i="26"/>
  <c r="AL41" i="26" s="1"/>
  <c r="T53" i="26"/>
  <c r="U53" i="26" s="1"/>
  <c r="H41" i="26"/>
  <c r="I29" i="27" s="1"/>
  <c r="I15" i="27"/>
  <c r="J41" i="26"/>
  <c r="K29" i="27" s="1"/>
  <c r="K15" i="27"/>
  <c r="T54" i="26"/>
  <c r="U54" i="26" s="1"/>
  <c r="I41" i="26"/>
  <c r="J15" i="27"/>
  <c r="AD15" i="27"/>
  <c r="AC41" i="26"/>
  <c r="AD29" i="27" s="1"/>
  <c r="G15" i="27"/>
  <c r="F41" i="26"/>
  <c r="G29" i="27" s="1"/>
  <c r="D15" i="27"/>
  <c r="C41" i="26"/>
  <c r="N41" i="26"/>
  <c r="O29" i="27" s="1"/>
  <c r="O15" i="27"/>
  <c r="B49" i="26"/>
  <c r="AH15" i="27"/>
  <c r="D29" i="27" l="1"/>
  <c r="J29" i="27"/>
  <c r="AG40" i="26"/>
  <c r="AI40" i="26" s="1"/>
  <c r="W39" i="26"/>
  <c r="X39" i="26"/>
  <c r="V39" i="26"/>
  <c r="Q39" i="26"/>
  <c r="P39" i="26"/>
  <c r="Z39" i="26"/>
  <c r="T39" i="26"/>
  <c r="R39" i="26"/>
  <c r="O39" i="26"/>
  <c r="Y39" i="26"/>
  <c r="U39" i="26"/>
  <c r="S39" i="26"/>
  <c r="U7" i="28"/>
  <c r="E49" i="26"/>
  <c r="AJ15" i="27"/>
  <c r="T51" i="26" l="1"/>
  <c r="U51" i="26" s="1"/>
  <c r="U41" i="26"/>
  <c r="V29" i="27" s="1"/>
  <c r="V15" i="27"/>
  <c r="T41" i="26"/>
  <c r="U29" i="27" s="1"/>
  <c r="U15" i="27"/>
  <c r="V41" i="26"/>
  <c r="W29" i="27" s="1"/>
  <c r="W15" i="27"/>
  <c r="Y41" i="26"/>
  <c r="Z29" i="27" s="1"/>
  <c r="Z15" i="27"/>
  <c r="T55" i="26"/>
  <c r="U55" i="26" s="1"/>
  <c r="Z41" i="26"/>
  <c r="AA29" i="27" s="1"/>
  <c r="AA15" i="27"/>
  <c r="Y15" i="27"/>
  <c r="X41" i="26"/>
  <c r="Y29" i="27" s="1"/>
  <c r="U9" i="28"/>
  <c r="O41" i="26"/>
  <c r="P15" i="27"/>
  <c r="P41" i="26"/>
  <c r="Q15" i="27"/>
  <c r="T45" i="26"/>
  <c r="U45" i="26" s="1"/>
  <c r="X15" i="27"/>
  <c r="W41" i="26"/>
  <c r="X29" i="27" s="1"/>
  <c r="H49" i="26"/>
  <c r="AI15" i="27"/>
  <c r="T15" i="27"/>
  <c r="S41" i="26"/>
  <c r="T29" i="27" s="1"/>
  <c r="T52" i="26"/>
  <c r="U52" i="26" s="1"/>
  <c r="R41" i="26"/>
  <c r="S29" i="27" s="1"/>
  <c r="S15" i="27"/>
  <c r="Q41" i="26"/>
  <c r="R29" i="27" s="1"/>
  <c r="R15" i="27"/>
  <c r="Q29" i="27" l="1"/>
  <c r="E44" i="26"/>
  <c r="P29" i="27"/>
  <c r="H44" i="26"/>
  <c r="B44" i="26"/>
  <c r="H46" i="26"/>
  <c r="E46" i="26"/>
  <c r="AK15" i="27"/>
  <c r="AR39" i="26" l="1"/>
  <c r="AR41" i="26" s="1"/>
  <c r="AQ39" i="26" l="1"/>
  <c r="AQ41" i="26" s="1"/>
  <c r="AN39" i="26" l="1"/>
  <c r="AN41" i="26" s="1"/>
  <c r="AO39" i="26"/>
  <c r="AO41" i="26" s="1"/>
  <c r="AJ39" i="26"/>
  <c r="AJ41" i="26" l="1"/>
  <c r="AM39" i="26" l="1"/>
  <c r="AM41" i="26" l="1"/>
  <c r="AP39" i="26" l="1"/>
  <c r="AS39" i="26"/>
  <c r="AS41" i="26" s="1"/>
  <c r="AP41" i="26" l="1"/>
  <c r="E45" i="26" l="1"/>
  <c r="B45" i="26"/>
  <c r="H45" i="26"/>
  <c r="B51" i="26" l="1"/>
  <c r="B52" i="26" s="1"/>
  <c r="C44" i="27" s="1"/>
  <c r="H51" i="26"/>
  <c r="H52" i="26" s="1"/>
  <c r="E44" i="27" s="1"/>
  <c r="E51" i="26"/>
  <c r="E52" i="26" s="1"/>
  <c r="D44" i="27" s="1"/>
  <c r="AB39" i="16" l="1"/>
  <c r="AB41" i="16" s="1"/>
  <c r="AC26" i="27" s="1"/>
  <c r="AC30" i="27" s="1"/>
  <c r="AD10" i="28" s="1"/>
  <c r="AC12" i="27" l="1"/>
  <c r="AC17" i="27" s="1"/>
  <c r="AA39" i="16"/>
  <c r="AA41" i="16" s="1"/>
  <c r="AB26" i="27" s="1"/>
  <c r="AB30" i="27" s="1"/>
  <c r="H39" i="16"/>
  <c r="H41" i="16" s="1"/>
  <c r="I26" i="27" s="1"/>
  <c r="I30" i="27" s="1"/>
  <c r="I10" i="28" s="1"/>
  <c r="C39" i="16"/>
  <c r="V39" i="16"/>
  <c r="I12" i="27" l="1"/>
  <c r="I17" i="27" s="1"/>
  <c r="I6" i="28" s="1"/>
  <c r="I7" i="28" s="1"/>
  <c r="T53" i="16"/>
  <c r="U53" i="16" s="1"/>
  <c r="AB12" i="27"/>
  <c r="AB17" i="27" s="1"/>
  <c r="AK39" i="16"/>
  <c r="AK41" i="16" s="1"/>
  <c r="AL39" i="16"/>
  <c r="AL41" i="16" s="1"/>
  <c r="P39" i="16"/>
  <c r="Q12" i="27" s="1"/>
  <c r="Q17" i="27" s="1"/>
  <c r="J6" i="28" s="1"/>
  <c r="AE40" i="16"/>
  <c r="AF12" i="27" s="1"/>
  <c r="AF17" i="27" s="1"/>
  <c r="K39" i="16"/>
  <c r="K41" i="16" s="1"/>
  <c r="L26" i="27" s="1"/>
  <c r="L30" i="27" s="1"/>
  <c r="S10" i="28" s="1"/>
  <c r="L39" i="16"/>
  <c r="T48" i="16" s="1"/>
  <c r="U48" i="16" s="1"/>
  <c r="G39" i="16"/>
  <c r="T47" i="16" s="1"/>
  <c r="U47" i="16" s="1"/>
  <c r="F39" i="16"/>
  <c r="F41" i="16" s="1"/>
  <c r="G26" i="27" s="1"/>
  <c r="G30" i="27" s="1"/>
  <c r="G10" i="28" s="1"/>
  <c r="J39" i="16"/>
  <c r="J41" i="16" s="1"/>
  <c r="K26" i="27" s="1"/>
  <c r="K30" i="27" s="1"/>
  <c r="R10" i="28" s="1"/>
  <c r="AF40" i="16"/>
  <c r="B49" i="16" s="1"/>
  <c r="AD40" i="16"/>
  <c r="H50" i="16" s="1"/>
  <c r="D39" i="16"/>
  <c r="E12" i="27" s="1"/>
  <c r="E17" i="27" s="1"/>
  <c r="E6" i="28" s="1"/>
  <c r="E39" i="16"/>
  <c r="N39" i="16"/>
  <c r="O12" i="27" s="1"/>
  <c r="O17" i="27" s="1"/>
  <c r="V6" i="28" s="1"/>
  <c r="X39" i="16"/>
  <c r="X41" i="16" s="1"/>
  <c r="Y26" i="27" s="1"/>
  <c r="Y30" i="27" s="1"/>
  <c r="N10" i="28" s="1"/>
  <c r="Q39" i="16"/>
  <c r="Q41" i="16" s="1"/>
  <c r="R26" i="27" s="1"/>
  <c r="R30" i="27" s="1"/>
  <c r="X10" i="28" s="1"/>
  <c r="U39" i="16"/>
  <c r="U41" i="16" s="1"/>
  <c r="V26" i="27" s="1"/>
  <c r="V30" i="27" s="1"/>
  <c r="Z10" i="28" s="1"/>
  <c r="C41" i="16"/>
  <c r="D12" i="27"/>
  <c r="D17" i="27" s="1"/>
  <c r="D6" i="28" s="1"/>
  <c r="W39" i="16"/>
  <c r="W41" i="16" s="1"/>
  <c r="X26" i="27" s="1"/>
  <c r="X30" i="27" s="1"/>
  <c r="AA10" i="28" s="1"/>
  <c r="O39" i="16"/>
  <c r="O41" i="16" s="1"/>
  <c r="R39" i="16"/>
  <c r="G12" i="27"/>
  <c r="G17" i="27" s="1"/>
  <c r="G6" i="28" s="1"/>
  <c r="T39" i="16"/>
  <c r="S39" i="16"/>
  <c r="AC39" i="16"/>
  <c r="I39" i="16"/>
  <c r="Y39" i="16"/>
  <c r="Z39" i="16"/>
  <c r="AH12" i="27"/>
  <c r="AH17" i="27" s="1"/>
  <c r="AF6" i="28" s="1"/>
  <c r="D41" i="16"/>
  <c r="E26" i="27" s="1"/>
  <c r="E30" i="27" s="1"/>
  <c r="E10" i="28" s="1"/>
  <c r="N41" i="16"/>
  <c r="O26" i="27" s="1"/>
  <c r="O30" i="27" s="1"/>
  <c r="V10" i="28" s="1"/>
  <c r="W12" i="27"/>
  <c r="W17" i="27" s="1"/>
  <c r="M6" i="28" s="1"/>
  <c r="V41" i="16"/>
  <c r="W26" i="27" s="1"/>
  <c r="W30" i="27" s="1"/>
  <c r="M10" i="28" s="1"/>
  <c r="P41" i="16" l="1"/>
  <c r="T49" i="16"/>
  <c r="U49" i="16" s="1"/>
  <c r="R12" i="27"/>
  <c r="R17" i="27" s="1"/>
  <c r="X6" i="28" s="1"/>
  <c r="X7" i="28" s="1"/>
  <c r="L12" i="27"/>
  <c r="L17" i="27" s="1"/>
  <c r="S6" i="28" s="1"/>
  <c r="S7" i="28" s="1"/>
  <c r="V12" i="27"/>
  <c r="V17" i="27" s="1"/>
  <c r="Z6" i="28" s="1"/>
  <c r="Z7" i="28" s="1"/>
  <c r="M12" i="27"/>
  <c r="M17" i="27" s="1"/>
  <c r="T6" i="28" s="1"/>
  <c r="T7" i="28" s="1"/>
  <c r="P12" i="27"/>
  <c r="P17" i="27" s="1"/>
  <c r="W6" i="28" s="1"/>
  <c r="W7" i="28" s="1"/>
  <c r="W9" i="28" s="1"/>
  <c r="E41" i="16"/>
  <c r="F26" i="27" s="1"/>
  <c r="F30" i="27" s="1"/>
  <c r="F10" i="28" s="1"/>
  <c r="Y12" i="27"/>
  <c r="Y17" i="27" s="1"/>
  <c r="N6" i="28" s="1"/>
  <c r="N7" i="28" s="1"/>
  <c r="K12" i="27"/>
  <c r="K17" i="27" s="1"/>
  <c r="R6" i="28" s="1"/>
  <c r="R7" i="28" s="1"/>
  <c r="G41" i="16"/>
  <c r="H26" i="27" s="1"/>
  <c r="H30" i="27" s="1"/>
  <c r="H10" i="28" s="1"/>
  <c r="AE12" i="27"/>
  <c r="AE17" i="27" s="1"/>
  <c r="H12" i="27"/>
  <c r="H17" i="27" s="1"/>
  <c r="H6" i="28" s="1"/>
  <c r="H7" i="28" s="1"/>
  <c r="X12" i="27"/>
  <c r="X17" i="27" s="1"/>
  <c r="AA6" i="28" s="1"/>
  <c r="AA7" i="28" s="1"/>
  <c r="T55" i="16"/>
  <c r="U55" i="16" s="1"/>
  <c r="T46" i="16"/>
  <c r="U46" i="16" s="1"/>
  <c r="F12" i="27"/>
  <c r="F17" i="27" s="1"/>
  <c r="F6" i="28" s="1"/>
  <c r="F7" i="28" s="1"/>
  <c r="F9" i="28" s="1"/>
  <c r="T52" i="16"/>
  <c r="U52" i="16" s="1"/>
  <c r="L41" i="16"/>
  <c r="M26" i="27" s="1"/>
  <c r="M30" i="27" s="1"/>
  <c r="T10" i="28" s="1"/>
  <c r="E50" i="16"/>
  <c r="B50" i="16" s="1"/>
  <c r="AG40" i="16"/>
  <c r="AI12" i="27" s="1"/>
  <c r="AI17" i="27" s="1"/>
  <c r="AH40" i="16"/>
  <c r="AJ12" i="27" s="1"/>
  <c r="AJ17" i="27" s="1"/>
  <c r="AH6" i="28" s="1"/>
  <c r="T51" i="16"/>
  <c r="U51" i="16" s="1"/>
  <c r="D26" i="27"/>
  <c r="D30" i="27" s="1"/>
  <c r="D10" i="28" s="1"/>
  <c r="T45" i="16"/>
  <c r="U45" i="16" s="1"/>
  <c r="D7" i="28"/>
  <c r="R41" i="16"/>
  <c r="S26" i="27" s="1"/>
  <c r="S30" i="27" s="1"/>
  <c r="K16" i="28" s="1"/>
  <c r="S12" i="27"/>
  <c r="S17" i="27" s="1"/>
  <c r="K6" i="28" s="1"/>
  <c r="H49" i="16"/>
  <c r="P26" i="27"/>
  <c r="P30" i="27" s="1"/>
  <c r="W10" i="28" s="1"/>
  <c r="M7" i="28"/>
  <c r="I9" i="28"/>
  <c r="V7" i="28"/>
  <c r="E7" i="28"/>
  <c r="AA12" i="27"/>
  <c r="AA17" i="27" s="1"/>
  <c r="O6" i="28" s="1"/>
  <c r="Z41" i="16"/>
  <c r="AA26" i="27" s="1"/>
  <c r="AA30" i="27" s="1"/>
  <c r="O10" i="28" s="1"/>
  <c r="Y41" i="16"/>
  <c r="Z26" i="27" s="1"/>
  <c r="Z30" i="27" s="1"/>
  <c r="AB10" i="28" s="1"/>
  <c r="Z12" i="27"/>
  <c r="Z17" i="27" s="1"/>
  <c r="AB6" i="28" s="1"/>
  <c r="I41" i="16"/>
  <c r="J26" i="27" s="1"/>
  <c r="J30" i="27" s="1"/>
  <c r="Q10" i="28" s="1"/>
  <c r="T54" i="16"/>
  <c r="U54" i="16" s="1"/>
  <c r="J12" i="27"/>
  <c r="J17" i="27" s="1"/>
  <c r="Q6" i="28" s="1"/>
  <c r="AC41" i="16"/>
  <c r="AD26" i="27" s="1"/>
  <c r="AD30" i="27" s="1"/>
  <c r="AE10" i="28" s="1"/>
  <c r="AD12" i="27"/>
  <c r="AD17" i="27" s="1"/>
  <c r="T12" i="27"/>
  <c r="T17" i="27" s="1"/>
  <c r="Y6" i="28" s="1"/>
  <c r="S41" i="16"/>
  <c r="T26" i="27" s="1"/>
  <c r="T30" i="27" s="1"/>
  <c r="Y16" i="28" s="1"/>
  <c r="T41" i="16"/>
  <c r="U26" i="27" s="1"/>
  <c r="U30" i="27" s="1"/>
  <c r="L16" i="28" s="1"/>
  <c r="U12" i="27"/>
  <c r="U17" i="27" s="1"/>
  <c r="L6" i="28" s="1"/>
  <c r="G7" i="28"/>
  <c r="D58" i="27"/>
  <c r="D51" i="27"/>
  <c r="D49" i="27"/>
  <c r="J7" i="28"/>
  <c r="Q26" i="27"/>
  <c r="Q30" i="27" s="1"/>
  <c r="J10" i="28" s="1"/>
  <c r="D50" i="27" l="1"/>
  <c r="E44" i="16"/>
  <c r="AG12" i="27"/>
  <c r="AG17" i="27" s="1"/>
  <c r="C58" i="27" s="1"/>
  <c r="I14" i="28"/>
  <c r="E14" i="28"/>
  <c r="H14" i="28"/>
  <c r="F14" i="28"/>
  <c r="G14" i="28"/>
  <c r="I8" i="28"/>
  <c r="I15" i="28" s="1"/>
  <c r="I16" i="28" s="1"/>
  <c r="E29" i="28" s="1"/>
  <c r="J14" i="28"/>
  <c r="E49" i="16"/>
  <c r="AI40" i="16"/>
  <c r="E46" i="16" s="1"/>
  <c r="D52" i="27" s="1"/>
  <c r="M14" i="28"/>
  <c r="N14" i="28"/>
  <c r="D14" i="28"/>
  <c r="B44" i="16"/>
  <c r="H44" i="16"/>
  <c r="I51" i="16" s="1"/>
  <c r="K7" i="28"/>
  <c r="K14" i="28"/>
  <c r="D8" i="28"/>
  <c r="D15" i="28" s="1"/>
  <c r="D9" i="28"/>
  <c r="D48" i="27"/>
  <c r="J8" i="28"/>
  <c r="J15" i="28" s="1"/>
  <c r="J9" i="28"/>
  <c r="S9" i="28"/>
  <c r="T9" i="28"/>
  <c r="H9" i="28"/>
  <c r="H8" i="28"/>
  <c r="H15" i="28" s="1"/>
  <c r="G9" i="28"/>
  <c r="G8" i="28"/>
  <c r="G15" i="28" s="1"/>
  <c r="L7" i="28"/>
  <c r="L14" i="28"/>
  <c r="Y7" i="28"/>
  <c r="R9" i="28"/>
  <c r="Q7" i="28"/>
  <c r="AB7" i="28"/>
  <c r="O7" i="28"/>
  <c r="O14" i="28"/>
  <c r="E58" i="27"/>
  <c r="E51" i="27"/>
  <c r="E49" i="27"/>
  <c r="E9" i="28"/>
  <c r="E8" i="28"/>
  <c r="E15" i="28" s="1"/>
  <c r="V9" i="28"/>
  <c r="C29" i="28"/>
  <c r="G29" i="28" s="1"/>
  <c r="J29" i="28" s="1"/>
  <c r="M29" i="28" s="1"/>
  <c r="O29" i="28" s="1"/>
  <c r="M9" i="28"/>
  <c r="M8" i="28"/>
  <c r="M15" i="28" s="1"/>
  <c r="Z9" i="28"/>
  <c r="AA9" i="28"/>
  <c r="N8" i="28"/>
  <c r="N15" i="28" s="1"/>
  <c r="N9" i="28"/>
  <c r="E48" i="27"/>
  <c r="X9" i="28"/>
  <c r="F8" i="28"/>
  <c r="F15" i="28" s="1"/>
  <c r="C8" i="28"/>
  <c r="C15" i="28" s="1"/>
  <c r="C14" i="28"/>
  <c r="AK17" i="27"/>
  <c r="AI6" i="28" s="1"/>
  <c r="AG6" i="28"/>
  <c r="T8" i="28" s="1"/>
  <c r="T15" i="28" s="1"/>
  <c r="F51" i="16" l="1"/>
  <c r="C49" i="27"/>
  <c r="C51" i="27"/>
  <c r="AK12" i="27"/>
  <c r="H46" i="16"/>
  <c r="E52" i="27" s="1"/>
  <c r="C52" i="27"/>
  <c r="AA8" i="28"/>
  <c r="AA15" i="28" s="1"/>
  <c r="AA16" i="28" s="1"/>
  <c r="V8" i="28"/>
  <c r="V15" i="28" s="1"/>
  <c r="V16" i="28" s="1"/>
  <c r="E50" i="27"/>
  <c r="Q14" i="28"/>
  <c r="Y14" i="28"/>
  <c r="R14" i="28"/>
  <c r="S14" i="28"/>
  <c r="AA14" i="28"/>
  <c r="T14" i="28"/>
  <c r="X14" i="28"/>
  <c r="W8" i="28"/>
  <c r="W15" i="28" s="1"/>
  <c r="Z14" i="28"/>
  <c r="V14" i="28"/>
  <c r="AB14" i="28"/>
  <c r="R8" i="28"/>
  <c r="R15" i="28" s="1"/>
  <c r="R16" i="28" s="1"/>
  <c r="S8" i="28"/>
  <c r="S15" i="28" s="1"/>
  <c r="S16" i="28" s="1"/>
  <c r="D16" i="28"/>
  <c r="P10" i="28"/>
  <c r="AC6" i="28"/>
  <c r="P6" i="28"/>
  <c r="AC10" i="28"/>
  <c r="J11" i="28" s="1"/>
  <c r="X8" i="28"/>
  <c r="X15" i="28" s="1"/>
  <c r="Z8" i="28"/>
  <c r="Z15" i="28" s="1"/>
  <c r="Z16" i="28" s="1"/>
  <c r="K8" i="28"/>
  <c r="K15" i="28" s="1"/>
  <c r="K9" i="28"/>
  <c r="C48" i="27"/>
  <c r="C49" i="16"/>
  <c r="W14" i="28"/>
  <c r="H18" i="28"/>
  <c r="X18" i="28" s="1"/>
  <c r="AE18" i="28" s="1"/>
  <c r="AD14" i="28"/>
  <c r="AE14" i="28"/>
  <c r="AE15" i="28" s="1"/>
  <c r="AE16" i="28" s="1"/>
  <c r="U8" i="28"/>
  <c r="U15" i="28" s="1"/>
  <c r="U16" i="28" s="1"/>
  <c r="AD8" i="28"/>
  <c r="AD15" i="28" s="1"/>
  <c r="AD16" i="28" s="1"/>
  <c r="R11" i="28"/>
  <c r="U14" i="28"/>
  <c r="C16" i="28"/>
  <c r="F16" i="28"/>
  <c r="N16" i="28"/>
  <c r="M16" i="28"/>
  <c r="E16" i="28"/>
  <c r="O9" i="28"/>
  <c r="O8" i="28"/>
  <c r="O15" i="28" s="1"/>
  <c r="O16" i="28" s="1"/>
  <c r="AB8" i="28"/>
  <c r="AB15" i="28" s="1"/>
  <c r="AB16" i="28" s="1"/>
  <c r="AB9" i="28"/>
  <c r="Q9" i="28"/>
  <c r="Q8" i="28"/>
  <c r="Q15" i="28" s="1"/>
  <c r="Q16" i="28" s="1"/>
  <c r="Y8" i="28"/>
  <c r="Y15" i="28" s="1"/>
  <c r="Y9" i="28"/>
  <c r="L9" i="28"/>
  <c r="L8" i="28"/>
  <c r="L15" i="28" s="1"/>
  <c r="G16" i="28"/>
  <c r="H16" i="28"/>
  <c r="E24" i="28" s="1"/>
  <c r="C24" i="28"/>
  <c r="G24" i="28" s="1"/>
  <c r="J24" i="28" s="1"/>
  <c r="M24" i="28" s="1"/>
  <c r="O24" i="28" s="1"/>
  <c r="T16" i="28"/>
  <c r="E25" i="28" s="1"/>
  <c r="C25" i="28"/>
  <c r="G25" i="28" s="1"/>
  <c r="J25" i="28" s="1"/>
  <c r="E22" i="28" l="1"/>
  <c r="C50" i="27"/>
  <c r="C26" i="28"/>
  <c r="G26" i="28" s="1"/>
  <c r="J26" i="28" s="1"/>
  <c r="M26" i="28" s="1"/>
  <c r="O26" i="28" s="1"/>
  <c r="C23" i="28"/>
  <c r="G23" i="28" s="1"/>
  <c r="J23" i="28" s="1"/>
  <c r="M23" i="28" s="1"/>
  <c r="O23" i="28" s="1"/>
  <c r="C22" i="28"/>
  <c r="G22" i="28" s="1"/>
  <c r="J22" i="28" s="1"/>
  <c r="M22" i="28" s="1"/>
  <c r="O22" i="28" s="1"/>
  <c r="C27" i="28"/>
  <c r="G27" i="28" s="1"/>
  <c r="J27" i="28" s="1"/>
  <c r="M27" i="28" s="1"/>
  <c r="O27" i="28" s="1"/>
  <c r="C28" i="28"/>
  <c r="G28" i="28" s="1"/>
  <c r="J28" i="28" s="1"/>
  <c r="M28" i="28" s="1"/>
  <c r="O28" i="28" s="1"/>
  <c r="J17" i="28"/>
  <c r="E31" i="28"/>
  <c r="E26" i="28"/>
  <c r="E23" i="28"/>
  <c r="P14" i="28"/>
  <c r="P7" i="28"/>
  <c r="E27" i="28"/>
  <c r="F11" i="28"/>
  <c r="M11" i="28"/>
  <c r="E28" i="28"/>
  <c r="AC14" i="28"/>
  <c r="AC7" i="28"/>
  <c r="C31" i="28"/>
  <c r="G31" i="28" s="1"/>
  <c r="J31" i="28" s="1"/>
  <c r="M31" i="28" s="1"/>
  <c r="O31" i="28" s="1"/>
  <c r="C30" i="28"/>
  <c r="G30" i="28" s="1"/>
  <c r="J30" i="28" s="1"/>
  <c r="M30" i="28" s="1"/>
  <c r="O30" i="28" s="1"/>
  <c r="O25" i="28"/>
  <c r="M25" i="28"/>
  <c r="E30" i="28"/>
  <c r="F17" i="28"/>
  <c r="M17" i="28"/>
  <c r="P8" i="28" l="1"/>
  <c r="P15" i="28" s="1"/>
  <c r="P9" i="28"/>
  <c r="AC9" i="28"/>
  <c r="AC8" i="28"/>
  <c r="AC15" i="28" s="1"/>
  <c r="AR39" i="16" l="1"/>
  <c r="AR41" i="16" s="1"/>
  <c r="AQ39" i="16" l="1"/>
  <c r="AQ41" i="16" s="1"/>
  <c r="AJ39" i="16" l="1"/>
  <c r="AJ41" i="16" s="1"/>
  <c r="AO39" i="16"/>
  <c r="AO41" i="16" s="1"/>
  <c r="AN39" i="16"/>
  <c r="AN41" i="16" s="1"/>
  <c r="AM39" i="16" l="1"/>
  <c r="AM41" i="16" s="1"/>
  <c r="AP39" i="16" l="1"/>
  <c r="AP41" i="16" s="1"/>
  <c r="AS39" i="16"/>
  <c r="AS41" i="16" s="1"/>
  <c r="C54" i="27" l="1"/>
  <c r="C55" i="27" s="1"/>
  <c r="E45" i="16"/>
  <c r="B45" i="16"/>
  <c r="H45" i="16"/>
  <c r="B51" i="16" l="1"/>
  <c r="B52" i="16" s="1"/>
  <c r="C41" i="27" s="1"/>
  <c r="C45" i="27" s="1"/>
  <c r="C45" i="16"/>
  <c r="C53" i="27"/>
  <c r="C56" i="27" s="1"/>
  <c r="C57" i="27" s="1"/>
  <c r="E51" i="16"/>
  <c r="E52" i="16" s="1"/>
  <c r="D41" i="27" s="1"/>
  <c r="D45" i="27" s="1"/>
  <c r="D54" i="27"/>
  <c r="D53" i="27"/>
  <c r="D56" i="27" s="1"/>
  <c r="D57" i="27" s="1"/>
  <c r="E53" i="27"/>
  <c r="E56" i="27" s="1"/>
  <c r="E57" i="27" s="1"/>
  <c r="H51" i="16"/>
  <c r="H52" i="16" s="1"/>
  <c r="E41" i="27" s="1"/>
  <c r="E45" i="27" s="1"/>
  <c r="D55" i="27" l="1"/>
  <c r="E54" i="27"/>
  <c r="E55" i="2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5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Account Series 6,000 with  electric and gas bills subtracted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B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B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B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B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B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B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B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B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B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B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B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B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B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B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B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B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B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B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B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B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B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B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B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B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B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B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B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B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B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B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B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B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B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B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B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B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F9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G9" authorId="0" shapeId="0" xr:uid="{00000000-0006-0000-0C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H9" authorId="0" shapeId="0" xr:uid="{00000000-0006-0000-0C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 xr:uid="{00000000-0006-0000-0C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 xr:uid="{00000000-0006-0000-0C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 xr:uid="{00000000-0006-0000-0C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 xr:uid="{00000000-0006-0000-0C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 xr:uid="{00000000-0006-0000-0C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 xr:uid="{00000000-0006-0000-0C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 xr:uid="{00000000-0006-0000-0C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 xr:uid="{00000000-0006-0000-0C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 xr:uid="{00000000-0006-0000-0C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 xr:uid="{00000000-0006-0000-0C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 xr:uid="{00000000-0006-0000-0C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 xr:uid="{00000000-0006-0000-0C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 xr:uid="{00000000-0006-0000-0C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 xr:uid="{00000000-0006-0000-0C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 xr:uid="{00000000-0006-0000-0C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 xr:uid="{00000000-0006-0000-0C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 xr:uid="{00000000-0006-0000-0C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 xr:uid="{00000000-0006-0000-0C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 xr:uid="{00000000-0006-0000-0C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 xr:uid="{00000000-0006-0000-0C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 xr:uid="{00000000-0006-0000-0C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 xr:uid="{00000000-0006-0000-0C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 xr:uid="{00000000-0006-0000-0C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 xr:uid="{00000000-0006-0000-0C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1" shapeId="0" xr:uid="{00000000-0006-0000-0C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 xr:uid="{00000000-0006-0000-0C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 xr:uid="{00000000-0006-0000-0C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 xr:uid="{00000000-0006-0000-0C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 xr:uid="{00000000-0006-0000-0C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 xr:uid="{00000000-0006-0000-0C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 xr:uid="{00000000-0006-0000-0C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 xr:uid="{00000000-0006-0000-0C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1" shapeId="0" xr:uid="{00000000-0006-0000-0C00-00002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1" shapeId="0" xr:uid="{00000000-0006-0000-0C00-00002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1" shapeId="0" xr:uid="{00000000-0006-0000-0C00-00002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F9" authorId="0" shapeId="0" xr:uid="{00000000-0006-0000-0D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G9" authorId="0" shapeId="0" xr:uid="{00000000-0006-0000-0D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H9" authorId="0" shapeId="0" xr:uid="{00000000-0006-0000-0D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 xr:uid="{00000000-0006-0000-0D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 xr:uid="{00000000-0006-0000-0D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 xr:uid="{00000000-0006-0000-0D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 xr:uid="{00000000-0006-0000-0D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 xr:uid="{00000000-0006-0000-0D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 xr:uid="{00000000-0006-0000-0D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 xr:uid="{00000000-0006-0000-0D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 xr:uid="{00000000-0006-0000-0D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 xr:uid="{00000000-0006-0000-0D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 xr:uid="{00000000-0006-0000-0D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 xr:uid="{00000000-0006-0000-0D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 xr:uid="{00000000-0006-0000-0D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 xr:uid="{00000000-0006-0000-0D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 xr:uid="{00000000-0006-0000-0D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 xr:uid="{00000000-0006-0000-0D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 xr:uid="{00000000-0006-0000-0D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 xr:uid="{00000000-0006-0000-0D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 xr:uid="{00000000-0006-0000-0D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 xr:uid="{00000000-0006-0000-0D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 xr:uid="{00000000-0006-0000-0D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 xr:uid="{00000000-0006-0000-0D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 xr:uid="{00000000-0006-0000-0D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 xr:uid="{00000000-0006-0000-0D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 xr:uid="{00000000-0006-0000-0D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 xr:uid="{00000000-0006-0000-0D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1" shapeId="0" xr:uid="{00000000-0006-0000-0D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 xr:uid="{00000000-0006-0000-0D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 xr:uid="{00000000-0006-0000-0D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 xr:uid="{00000000-0006-0000-0D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 xr:uid="{00000000-0006-0000-0D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 xr:uid="{00000000-0006-0000-0D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 xr:uid="{00000000-0006-0000-0D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 xr:uid="{00000000-0006-0000-0D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1" shapeId="0" xr:uid="{00000000-0006-0000-0D00-00002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1" shapeId="0" xr:uid="{00000000-0006-0000-0D00-00002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1" shapeId="0" xr:uid="{00000000-0006-0000-0D00-00002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Peter Bong</author>
  </authors>
  <commentList>
    <comment ref="AF9" authorId="0" shapeId="0" xr:uid="{00000000-0006-0000-0E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G9" authorId="0" shapeId="0" xr:uid="{00000000-0006-0000-0E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AH9" authorId="0" shapeId="0" xr:uid="{00000000-0006-0000-0E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Totals manually adjusted due to plant upset and waste to lagoon from finished water. Actual finished water flow less than net filter flows. Total finished water flow = 20.7549 MG. True net filter flow (gross to CCB): AR = 18.0MG, SP = 6.0MG.</t>
        </r>
      </text>
    </comment>
    <comment ref="B40" authorId="1" shapeId="0" xr:uid="{00000000-0006-0000-0E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1" shapeId="0" xr:uid="{00000000-0006-0000-0E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1" shapeId="0" xr:uid="{00000000-0006-0000-0E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1" shapeId="0" xr:uid="{00000000-0006-0000-0E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1" shapeId="0" xr:uid="{00000000-0006-0000-0E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1" shapeId="0" xr:uid="{00000000-0006-0000-0E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1" shapeId="0" xr:uid="{00000000-0006-0000-0E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1" shapeId="0" xr:uid="{00000000-0006-0000-0E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1" shapeId="0" xr:uid="{00000000-0006-0000-0E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1" shapeId="0" xr:uid="{00000000-0006-0000-0E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1" shapeId="0" xr:uid="{00000000-0006-0000-0E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1" shapeId="0" xr:uid="{00000000-0006-0000-0E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1" shapeId="0" xr:uid="{00000000-0006-0000-0E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1" shapeId="0" xr:uid="{00000000-0006-0000-0E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1" shapeId="0" xr:uid="{00000000-0006-0000-0E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1" shapeId="0" xr:uid="{00000000-0006-0000-0E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1" shapeId="0" xr:uid="{00000000-0006-0000-0E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1" shapeId="0" xr:uid="{00000000-0006-0000-0E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1" shapeId="0" xr:uid="{00000000-0006-0000-0E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1" shapeId="0" xr:uid="{00000000-0006-0000-0E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1" shapeId="0" xr:uid="{00000000-0006-0000-0E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1" shapeId="0" xr:uid="{00000000-0006-0000-0E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1" shapeId="0" xr:uid="{00000000-0006-0000-0E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1" shapeId="0" xr:uid="{00000000-0006-0000-0E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1" shapeId="0" xr:uid="{00000000-0006-0000-0E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1" shapeId="0" xr:uid="{00000000-0006-0000-0E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1" shapeId="0" xr:uid="{00000000-0006-0000-0E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1" shapeId="0" xr:uid="{00000000-0006-0000-0E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1" shapeId="0" xr:uid="{00000000-0006-0000-0E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1" shapeId="0" xr:uid="{00000000-0006-0000-0E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1" shapeId="0" xr:uid="{00000000-0006-0000-0E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1" shapeId="0" xr:uid="{00000000-0006-0000-0E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1" shapeId="0" xr:uid="{00000000-0006-0000-0E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1" shapeId="0" xr:uid="{00000000-0006-0000-0E00-00002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1" shapeId="0" xr:uid="{00000000-0006-0000-0E00-00002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1" shapeId="0" xr:uid="{00000000-0006-0000-0E00-00002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F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F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F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F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F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F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F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F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F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F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F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F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F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F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F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F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F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F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F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F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F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F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F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F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F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F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F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F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F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F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F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F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F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F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F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F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jamoore</author>
    <author>Conte, Chris</author>
  </authors>
  <commentList>
    <comment ref="AD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AD14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Feed to AR FIC.</t>
        </r>
      </text>
    </comment>
    <comment ref="U20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Enter quarterly pricing chnages into this section.</t>
        </r>
      </text>
    </comment>
    <comment ref="E21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Based on the latest quarter pricing available.</t>
        </r>
      </text>
    </comment>
    <comment ref="L22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27,000lb Load</t>
        </r>
      </text>
    </comment>
    <comment ref="V22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Conte, Chris:</t>
        </r>
        <r>
          <rPr>
            <sz val="9"/>
            <color indexed="81"/>
            <rFont val="Tahoma"/>
            <family val="2"/>
          </rPr>
          <t xml:space="preserve">
Pricing changed to Liquid Lb in 2016 from Liquid Gal.</t>
        </r>
      </text>
    </comment>
    <comment ref="L23" authorId="0" shapeId="0" xr:uid="{00000000-0006-0000-0300-00000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400 gallon transfer from tote.</t>
        </r>
      </text>
    </comment>
    <comment ref="AA23" authorId="0" shapeId="0" xr:uid="{00000000-0006-0000-0300-00000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0.50% strength. Neat liquid cost is $12.138 per gallon or $1.40 per pound.</t>
        </r>
      </text>
    </comment>
    <comment ref="AB23" authorId="0" shapeId="0" xr:uid="{00000000-0006-0000-0300-00000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C23" authorId="0" shapeId="0" xr:uid="{00000000-0006-0000-0300-00000A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AD23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Neat liquid cost is $12.138 per gallon or $1.40 per pound.</t>
        </r>
      </text>
    </comment>
    <comment ref="L24" authorId="0" shapeId="0" xr:uid="{00000000-0006-0000-0300-00000C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40,000lb Load</t>
        </r>
      </text>
    </comment>
    <comment ref="L25" authorId="0" shapeId="0" xr:uid="{00000000-0006-0000-0300-00000D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AA25" authorId="0" shapeId="0" xr:uid="{00000000-0006-0000-0300-00000E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B25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C25" authorId="0" shapeId="0" xr:uid="{00000000-0006-0000-0300-000010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AD25" authorId="0" shapeId="0" xr:uid="{00000000-0006-0000-0300-000011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5.50% strength. </t>
        </r>
      </text>
    </comment>
    <comment ref="L26" authorId="0" shapeId="0" xr:uid="{00000000-0006-0000-0300-000012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27" authorId="0" shapeId="0" xr:uid="{00000000-0006-0000-0300-000013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8 Ton Load</t>
        </r>
      </text>
    </comment>
    <comment ref="L28" authorId="0" shapeId="0" xr:uid="{00000000-0006-0000-0300-000014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V28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Conte, Chris:</t>
        </r>
        <r>
          <rPr>
            <sz val="9"/>
            <color indexed="81"/>
            <rFont val="Tahoma"/>
            <family val="2"/>
          </rPr>
          <t xml:space="preserve">
2019 1st quarter pricing per P.O. 19P0032.</t>
        </r>
      </text>
    </comment>
    <comment ref="L29" authorId="0" shapeId="0" xr:uid="{00000000-0006-0000-0300-000016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  <comment ref="L30" authorId="0" shapeId="0" xr:uid="{00000000-0006-0000-0300-000017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3300lb Bin</t>
        </r>
      </text>
    </comment>
    <comment ref="AA30" authorId="0" shapeId="0" xr:uid="{00000000-0006-0000-0300-000018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B30" authorId="0" shapeId="0" xr:uid="{00000000-0006-0000-0300-000019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C30" authorId="0" shapeId="0" xr:uid="{00000000-0006-0000-0300-00001A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AD30" authorId="0" shapeId="0" xr:uid="{00000000-0006-0000-0300-00001B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Pricing per gallon @ 3.0% strength.</t>
        </r>
      </text>
    </comment>
    <comment ref="L31" authorId="0" shapeId="0" xr:uid="{00000000-0006-0000-0300-00001C000000}">
      <text>
        <r>
          <rPr>
            <b/>
            <sz val="8"/>
            <color indexed="81"/>
            <rFont val="Tahoma"/>
            <family val="2"/>
          </rPr>
          <t>jamoore:</t>
        </r>
        <r>
          <rPr>
            <sz val="8"/>
            <color indexed="81"/>
            <rFont val="Tahoma"/>
            <family val="2"/>
          </rPr>
          <t xml:space="preserve">
45,000lb Load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4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4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4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4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4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4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4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4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4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4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4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4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4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4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4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4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4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4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4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4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4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4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4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4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4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4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4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4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4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4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4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4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4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5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5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5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5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5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5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5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5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5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5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5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5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5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5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5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5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5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5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5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5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5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5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5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5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5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5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5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5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5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5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5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5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5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5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6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6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6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6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6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6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6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6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6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6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6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6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6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6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6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6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6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6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6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6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6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6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6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6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6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6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6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6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6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6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6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6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6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6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6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7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7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7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7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7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7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7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7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7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7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7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7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7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7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7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7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7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7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7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7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7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7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7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7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7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7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7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7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7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7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7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7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7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7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8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8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8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8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8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8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8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8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8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8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8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8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8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8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8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8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8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8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8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8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8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8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8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8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8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8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8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8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8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8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8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8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  <author>Linder, Kevin</author>
  </authors>
  <commentList>
    <comment ref="B40" authorId="0" shapeId="0" xr:uid="{00000000-0006-0000-09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9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9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9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9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9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9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9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9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9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9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9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9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9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9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9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9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9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9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9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9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9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9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9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9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9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9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9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9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9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9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9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9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9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9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9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  <comment ref="AN42" authorId="1" shapeId="0" xr:uid="{00000000-0006-0000-0900-000025000000}">
      <text>
        <r>
          <rPr>
            <b/>
            <sz val="9"/>
            <color indexed="81"/>
            <rFont val="Tahoma"/>
            <family val="2"/>
          </rPr>
          <t>Linder, Kevin:</t>
        </r>
        <r>
          <rPr>
            <sz val="9"/>
            <color indexed="81"/>
            <rFont val="Tahoma"/>
            <family val="2"/>
          </rPr>
          <t xml:space="preserve">
estimated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Bong</author>
  </authors>
  <commentList>
    <comment ref="B40" authorId="0" shapeId="0" xr:uid="{00000000-0006-0000-0A00-00000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 shapeId="0" xr:uid="{00000000-0006-0000-0A00-00000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 shapeId="0" xr:uid="{00000000-0006-0000-0A00-00000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 shapeId="0" xr:uid="{00000000-0006-0000-0A00-00000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 shapeId="0" xr:uid="{00000000-0006-0000-0A00-00000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 shapeId="0" xr:uid="{00000000-0006-0000-0A00-00000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 shapeId="0" xr:uid="{00000000-0006-0000-0A00-00000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 shapeId="0" xr:uid="{00000000-0006-0000-0A00-00000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 shapeId="0" xr:uid="{00000000-0006-0000-0A00-00000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 shapeId="0" xr:uid="{00000000-0006-0000-0A00-00000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 shapeId="0" xr:uid="{00000000-0006-0000-0A00-00000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 shapeId="0" xr:uid="{00000000-0006-0000-0A00-00000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 shapeId="0" xr:uid="{00000000-0006-0000-0A00-00000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 shapeId="0" xr:uid="{00000000-0006-0000-0A00-00000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 shapeId="0" xr:uid="{00000000-0006-0000-0A00-00000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 shapeId="0" xr:uid="{00000000-0006-0000-0A00-00001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 shapeId="0" xr:uid="{00000000-0006-0000-0A00-00001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 shapeId="0" xr:uid="{00000000-0006-0000-0A00-00001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 shapeId="0" xr:uid="{00000000-0006-0000-0A00-00001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 shapeId="0" xr:uid="{00000000-0006-0000-0A00-00001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 shapeId="0" xr:uid="{00000000-0006-0000-0A00-000015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 shapeId="0" xr:uid="{00000000-0006-0000-0A00-000016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 shapeId="0" xr:uid="{00000000-0006-0000-0A00-000017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 shapeId="0" xr:uid="{00000000-0006-0000-0A00-000018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 shapeId="0" xr:uid="{00000000-0006-0000-0A00-000019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AJ40" authorId="0" shapeId="0" xr:uid="{00000000-0006-0000-0A00-00001A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K40" authorId="0" shapeId="0" xr:uid="{00000000-0006-0000-0A00-00001B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L40" authorId="0" shapeId="0" xr:uid="{00000000-0006-0000-0A00-00001C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M40" authorId="0" shapeId="0" xr:uid="{00000000-0006-0000-0A00-00001D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N40" authorId="0" shapeId="0" xr:uid="{00000000-0006-0000-0A00-00001E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O40" authorId="0" shapeId="0" xr:uid="{00000000-0006-0000-0A00-00001F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P40" authorId="0" shapeId="0" xr:uid="{00000000-0006-0000-0A00-000020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Q40" authorId="0" shapeId="0" xr:uid="{00000000-0006-0000-0A00-000021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R40" authorId="0" shapeId="0" xr:uid="{00000000-0006-0000-0A00-000022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S40" authorId="0" shapeId="0" xr:uid="{00000000-0006-0000-0A00-000023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Cost per kW*Hr</t>
        </r>
      </text>
    </comment>
    <comment ref="AI42" authorId="0" shapeId="0" xr:uid="{00000000-0006-0000-0A00-000024000000}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See Utility Summary Seet For Data</t>
        </r>
      </text>
    </comment>
  </commentList>
</comments>
</file>

<file path=xl/sharedStrings.xml><?xml version="1.0" encoding="utf-8"?>
<sst xmlns="http://schemas.openxmlformats.org/spreadsheetml/2006/main" count="2328" uniqueCount="237">
  <si>
    <t>Current Application Point</t>
  </si>
  <si>
    <t>Notes: Chemical are arranged in general process flow</t>
  </si>
  <si>
    <t>Not in Use</t>
  </si>
  <si>
    <t>South Platte</t>
  </si>
  <si>
    <t>Aurora Reservoir</t>
  </si>
  <si>
    <t>Filters/Adsorbers</t>
  </si>
  <si>
    <t xml:space="preserve">Finished Water </t>
  </si>
  <si>
    <t>From Chlorinator 5</t>
  </si>
  <si>
    <t>Valve Vault 1 (To Wemlinger RWAR)</t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</si>
  <si>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</si>
  <si>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(Rapid Mix &amp; Flow Split)</t>
    </r>
  </si>
  <si>
    <t>NaOH (Rapid Mix)</t>
  </si>
  <si>
    <t>PEC/PEA (Reactors)</t>
  </si>
  <si>
    <t>PEA (Sludge)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</si>
  <si>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(Post Softening)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</si>
  <si>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(UV)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</si>
  <si>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(Rapid Mix)</t>
    </r>
  </si>
  <si>
    <t>PEC (Rapid Mix)</t>
  </si>
  <si>
    <t xml:space="preserve">PAC (Basin 1 &amp; 2) </t>
  </si>
  <si>
    <t>PEA (Basin 1 &amp; 2)</t>
  </si>
  <si>
    <t>Fluoride(CCB Effluent)</t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</si>
  <si>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to RWAR, RWSP, ARFIC, or SPFIC</t>
    </r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</si>
  <si>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(RWAR to Wemlinger)</t>
    </r>
  </si>
  <si>
    <t>Gallons per Day</t>
  </si>
  <si>
    <t>lbs per day</t>
  </si>
  <si>
    <t>Lbs per day</t>
  </si>
  <si>
    <t>Cost Per Month</t>
  </si>
  <si>
    <t>Finished Water Flow</t>
  </si>
  <si>
    <t>MGD</t>
  </si>
  <si>
    <t>Total MG</t>
  </si>
  <si>
    <t>Total Produced From Binney</t>
  </si>
  <si>
    <t>AR Net to Distribution</t>
  </si>
  <si>
    <t>SP Net to Distribution</t>
  </si>
  <si>
    <t>AR to Total Flow Blend</t>
  </si>
  <si>
    <t>Ratio</t>
  </si>
  <si>
    <t>PEN AR (FIC)</t>
  </si>
  <si>
    <t>PEN SP (FIC)</t>
  </si>
  <si>
    <t>PEN AR (Individual Filters)</t>
  </si>
  <si>
    <t>PEN SP (Individual Filters)</t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</si>
  <si>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</si>
  <si>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</si>
  <si>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AR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</si>
  <si>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SP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</si>
  <si>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</si>
  <si>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</si>
  <si>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t>NaOH AR (CCB Effluent)</t>
  </si>
  <si>
    <t>NaOH SP (CCB Effluent)</t>
  </si>
  <si>
    <t>South Platte Costs</t>
  </si>
  <si>
    <t>Aurora Reservoir Costs</t>
  </si>
  <si>
    <t xml:space="preserve">Total Binney WPF Costs </t>
  </si>
  <si>
    <t>Labor Costs</t>
  </si>
  <si>
    <t>Notes: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</si>
  <si>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</si>
  <si>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</si>
  <si>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</si>
  <si>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</si>
  <si>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</si>
  <si>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</si>
  <si>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</si>
  <si>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</si>
  <si>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</si>
  <si>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</si>
  <si>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</si>
  <si>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</si>
  <si>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</si>
  <si>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Flow Total</t>
  </si>
  <si>
    <t>South Platte Chemicals</t>
  </si>
  <si>
    <t>KMnO4 (RW)</t>
  </si>
  <si>
    <t>FeCl3 (RM &amp; Flow Split)</t>
  </si>
  <si>
    <t>CO2 (Post Softening)</t>
  </si>
  <si>
    <t>H202 (UV)</t>
  </si>
  <si>
    <t>Aurora Reservoir Chemicals</t>
  </si>
  <si>
    <t>FeCl3 (Rapid Mix)</t>
  </si>
  <si>
    <t>Filter Adsorber Chemicals</t>
  </si>
  <si>
    <t>PEN AR (Ind Filters)</t>
  </si>
  <si>
    <t>PEN SP (Ind Filters)</t>
  </si>
  <si>
    <t>FeCl3 AR Filter Backwash</t>
  </si>
  <si>
    <t>FeCl3 SP Filter Backwash</t>
  </si>
  <si>
    <t>Cl2 AR</t>
  </si>
  <si>
    <t>Cl2 SP</t>
  </si>
  <si>
    <t>NH3 AR (CCB Effluent)</t>
  </si>
  <si>
    <t>NH3 SP (CCB Effluent)</t>
  </si>
  <si>
    <t>Finished Water Chemicals</t>
  </si>
  <si>
    <t>Miscellaneous Chems</t>
  </si>
  <si>
    <t>Wemlinger AR (VV1)</t>
  </si>
  <si>
    <t>Finished Flows (MG) &amp; Ratios</t>
  </si>
  <si>
    <t>Monthly Flow Totals</t>
  </si>
  <si>
    <t>Monthly Costs $</t>
  </si>
  <si>
    <t>Total Cost</t>
  </si>
  <si>
    <t>BWPF Yearly Summary Chem Flow Total Report</t>
  </si>
  <si>
    <t>BWPF YTD Chemical Usage &amp; Cost</t>
  </si>
  <si>
    <t xml:space="preserve">SP Pre-Treatment  </t>
  </si>
  <si>
    <t>SP Filter/Adsorber</t>
  </si>
  <si>
    <t xml:space="preserve">SP Finished Water </t>
  </si>
  <si>
    <t>AR Pre-Treatment</t>
  </si>
  <si>
    <t>AR Filter/Adsorber</t>
  </si>
  <si>
    <t xml:space="preserve">AR Finished Water </t>
  </si>
  <si>
    <t>Fluoride SP (CCB Effluent)</t>
  </si>
  <si>
    <t>Fluoride AR (CCB Effluent)</t>
  </si>
  <si>
    <t>Total Metered Units</t>
  </si>
  <si>
    <t>Gallons</t>
  </si>
  <si>
    <t>Pounds</t>
  </si>
  <si>
    <t>MG</t>
  </si>
  <si>
    <t>Total Dry Tons</t>
  </si>
  <si>
    <t>Dry Tons per MG Delivered</t>
  </si>
  <si>
    <t>Dry Tons per MG Treated</t>
  </si>
  <si>
    <t>Total Cost YTD</t>
  </si>
  <si>
    <t>AR Rcycl</t>
  </si>
  <si>
    <t>SP Rcycl</t>
  </si>
  <si>
    <t>BWPF Projected Chemical Usage &amp; Cost</t>
  </si>
  <si>
    <t>Gross AR to Binney</t>
  </si>
  <si>
    <t>Net AR to Binney</t>
  </si>
  <si>
    <t>Gross SP to Binney</t>
  </si>
  <si>
    <t>Net SP to Binney</t>
  </si>
  <si>
    <t>Projected Total Metered Units</t>
  </si>
  <si>
    <t>Projected Total Dry Tons</t>
  </si>
  <si>
    <t>Projected Total Cost</t>
  </si>
  <si>
    <t>South Platte Total</t>
  </si>
  <si>
    <t>Aurora Reservoir Total</t>
  </si>
  <si>
    <t>Total Delivered</t>
  </si>
  <si>
    <t>Delivered Efficiency</t>
  </si>
  <si>
    <t xml:space="preserve"> Projected Total Delivered (MG):</t>
  </si>
  <si>
    <t>Projected Total Treated (MG):</t>
  </si>
  <si>
    <t>Projected Average AR %:</t>
  </si>
  <si>
    <t>Projected Average AR Ratio:</t>
  </si>
  <si>
    <t>Projected AR Del (MG):</t>
  </si>
  <si>
    <t>Projected AR Trt (MG):</t>
  </si>
  <si>
    <t>Projected SP Del (MG):</t>
  </si>
  <si>
    <t>Projected SP Trt (MG):</t>
  </si>
  <si>
    <t>Total Projected by Chemical</t>
  </si>
  <si>
    <t>Transportation Units</t>
  </si>
  <si>
    <t>Pricing</t>
  </si>
  <si>
    <t>Quarterly Vendor Unit Pricing</t>
  </si>
  <si>
    <t>Quarterly Metered Unit Pricing</t>
  </si>
  <si>
    <t>Quarterly Dry Ton Pricing</t>
  </si>
  <si>
    <t>Chemical</t>
  </si>
  <si>
    <t>Whole Unit Cost</t>
  </si>
  <si>
    <t>Unit</t>
  </si>
  <si>
    <t>Jan</t>
  </si>
  <si>
    <t>Apr</t>
  </si>
  <si>
    <t xml:space="preserve">Oct </t>
  </si>
  <si>
    <t>Ammonia</t>
  </si>
  <si>
    <t>Liquid Gal</t>
  </si>
  <si>
    <t>Truck Ld</t>
  </si>
  <si>
    <t>Dry Ton</t>
  </si>
  <si>
    <t>Anionic Polymer</t>
  </si>
  <si>
    <t>Liquid Lb</t>
  </si>
  <si>
    <t>Tote</t>
  </si>
  <si>
    <t>Carbon Dioxide</t>
  </si>
  <si>
    <t>Liquid Ton</t>
  </si>
  <si>
    <t>Carbon PAC</t>
  </si>
  <si>
    <t>Dry Lb</t>
  </si>
  <si>
    <t>Cationic Polymer</t>
  </si>
  <si>
    <t>Chlorine</t>
  </si>
  <si>
    <t>Ferric Chloride</t>
  </si>
  <si>
    <t>Hydrogen Peroxide</t>
  </si>
  <si>
    <t>Potassium Permanganate</t>
  </si>
  <si>
    <t>Bin</t>
  </si>
  <si>
    <t>Sodium Hydroxide</t>
  </si>
  <si>
    <t>Overall Ratio</t>
  </si>
  <si>
    <t>Metered Unit</t>
  </si>
  <si>
    <t>Total By Dry Ton</t>
  </si>
  <si>
    <t>Total Dry Ton Cost</t>
  </si>
  <si>
    <t>Total By Vendor Priced Unit</t>
  </si>
  <si>
    <t>Partial Trucked Units</t>
  </si>
  <si>
    <t>Whole Trucked Units</t>
  </si>
  <si>
    <t>Monthly Truck Loads</t>
  </si>
  <si>
    <t>Gallon/Lbs</t>
  </si>
  <si>
    <t>Loads</t>
  </si>
  <si>
    <t>pass</t>
  </si>
  <si>
    <t>kWxhrs per Day</t>
  </si>
  <si>
    <t>Monthly Chemical/Power Usage</t>
  </si>
  <si>
    <t>Cost per Gallon or lb or kW*Hr</t>
  </si>
  <si>
    <t>Blended&amp;RW</t>
  </si>
  <si>
    <t>Softening</t>
  </si>
  <si>
    <t>Pre-Chem</t>
  </si>
  <si>
    <t>Floc/Sed</t>
  </si>
  <si>
    <t>UV/AOP</t>
  </si>
  <si>
    <t>Filtration/Ad</t>
  </si>
  <si>
    <t>Post-Chem</t>
  </si>
  <si>
    <t>Recycle</t>
  </si>
  <si>
    <t>Control</t>
  </si>
  <si>
    <t>Finished</t>
  </si>
  <si>
    <t>Electrical</t>
  </si>
  <si>
    <t>Natural Gas</t>
  </si>
  <si>
    <t>Labor</t>
  </si>
  <si>
    <t>Materials</t>
  </si>
  <si>
    <t xml:space="preserve">Labor </t>
  </si>
  <si>
    <t>South Platte Cost per MG</t>
  </si>
  <si>
    <t>Aurora Reservoir Cost per MG</t>
  </si>
  <si>
    <t>Binney Cost per MG</t>
  </si>
  <si>
    <t>Binney Cost per KG</t>
  </si>
  <si>
    <t>South Platte Cost per KG</t>
  </si>
  <si>
    <t>Aurora Reservoir Cost per KG</t>
  </si>
  <si>
    <t>Binney MG Produced</t>
  </si>
  <si>
    <t>Net South Platte MG Produced</t>
  </si>
  <si>
    <t>Net Aurora Reservoir MG Produced</t>
  </si>
  <si>
    <t>NA</t>
  </si>
  <si>
    <t>Monthly</t>
  </si>
  <si>
    <t>Material Costs</t>
  </si>
  <si>
    <t>1. The difference between the "Binney MG Produced" and the Net numbers is the ammont of water needed from distribution to create the finished water (W3 to Chlorine and NaOH Motive)</t>
  </si>
  <si>
    <t>Total</t>
  </si>
  <si>
    <t>SP</t>
  </si>
  <si>
    <t>AR</t>
  </si>
  <si>
    <t>Monthly Costs per KG</t>
  </si>
  <si>
    <t>Average</t>
  </si>
  <si>
    <t>bwpfcost</t>
  </si>
  <si>
    <t>bwpfyearly</t>
  </si>
  <si>
    <t>Annual Report Summary</t>
  </si>
  <si>
    <t>Labor Cost per MG</t>
  </si>
  <si>
    <t>O&amp;M Cost per MG</t>
  </si>
  <si>
    <t>Material Cost per MG</t>
  </si>
  <si>
    <t>Natural Gas Cost per MG</t>
  </si>
  <si>
    <t>Electrical Cost per MG</t>
  </si>
  <si>
    <t>Total Cost per MG</t>
  </si>
  <si>
    <t>Total Cost per KG</t>
  </si>
  <si>
    <t>Total Flow (MG)</t>
  </si>
  <si>
    <t>Chemical Cost per MG</t>
  </si>
  <si>
    <t>Electrical Usage (kWHr)</t>
  </si>
  <si>
    <t>Electrical Usage per MG</t>
  </si>
  <si>
    <t>bwpfprofile</t>
  </si>
  <si>
    <t>RWSP Flow to Process</t>
  </si>
  <si>
    <t>RWAR Flow to Process</t>
  </si>
  <si>
    <t>Total Treated (MG)</t>
  </si>
  <si>
    <t>RWSP to Process (MG)</t>
  </si>
  <si>
    <t>RWAR to Process (MG)</t>
  </si>
  <si>
    <t>RWSP to Process</t>
  </si>
  <si>
    <t>RWAR to Process</t>
  </si>
  <si>
    <t xml:space="preserve">RWAR to Process </t>
  </si>
  <si>
    <t>Raw Flow To Process</t>
  </si>
  <si>
    <t>RWAR To Process</t>
  </si>
  <si>
    <t>RWSP To Process</t>
  </si>
  <si>
    <t>2018 YTD Finished Delivered Flows (MG) &amp; Ratios</t>
  </si>
  <si>
    <t>2018 YTD Treated Raw Water Flows (MG)</t>
  </si>
  <si>
    <t xml:space="preserve">                             4/27/2019</t>
  </si>
  <si>
    <t xml:space="preserve">                             4/28/2019</t>
  </si>
  <si>
    <t>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</si>
</sst>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m/d/yy\ h:mm;@"/>
    <numFmt numFmtId="165" formatCode="&quot;$&quot;#,##0.00"/>
    <numFmt numFmtId="166" formatCode="&quot;$&quot;#,##0"/>
    <numFmt numFmtId="167" formatCode="0.0"/>
    <numFmt numFmtId="168" formatCode="0.000"/>
    <numFmt numFmtId="169" formatCode="0.0%"/>
    <numFmt numFmtId="170" formatCode="&quot;$&quot;#,##0.000"/>
    <numFmt numFmtId="171" formatCode="[$-409]mmmm\-yy;@"/>
    <numFmt numFmtId="172" formatCode="m/d/yyyy;@"/>
  </numFmts>
  <fonts count="2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65"/>
        <bgColor indexed="64"/>
      </patternFill>
    </fill>
    <fill>
      <patternFill patternType="mediumGray"/>
    </fill>
    <fill>
      <patternFill patternType="mediumGray">
        <bgColor rgb="FF66CC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6337778862885"/>
        <bgColor indexed="64"/>
      </patternFill>
    </fill>
  </fills>
  <borders count="17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/>
      <top style="medium">
        <color indexed="64"/>
      </top>
      <bottom style="medium">
        <color auto="1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rgb="FF00B050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50"/>
      </bottom>
      <diagonal/>
    </border>
    <border>
      <left style="thin">
        <color indexed="64"/>
      </left>
      <right style="thick">
        <color rgb="FF00B050"/>
      </right>
      <top style="thin">
        <color indexed="64"/>
      </top>
      <bottom style="thick">
        <color rgb="FF00B050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ck">
        <color auto="1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/>
      <bottom/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indexed="64"/>
      </right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rgb="FF00B050"/>
      </left>
      <right/>
      <top style="thick">
        <color rgb="FF00B050"/>
      </top>
      <bottom style="thin">
        <color indexed="64"/>
      </bottom>
      <diagonal/>
    </border>
    <border>
      <left style="thin">
        <color indexed="64"/>
      </left>
      <right/>
      <top style="thick">
        <color rgb="FF00B050"/>
      </top>
      <bottom style="thin">
        <color indexed="64"/>
      </bottom>
      <diagonal/>
    </border>
    <border>
      <left style="thick">
        <color rgb="FF00B050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22" fillId="0" borderId="0"/>
    <xf numFmtId="43" fontId="23" fillId="0" borderId="0" applyFont="0" applyFill="0" applyBorder="0" applyAlignment="0" applyProtection="0"/>
  </cellStyleXfs>
  <cellXfs count="670"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3" borderId="0" xfId="0" applyFill="1"/>
    <xf numFmtId="164" fontId="0" fillId="0" borderId="0" xfId="0" applyNumberFormat="1" applyFill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Border="1"/>
    <xf numFmtId="164" fontId="0" fillId="0" borderId="0" xfId="0" applyNumberFormat="1" applyFill="1" applyBorder="1"/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/>
    <xf numFmtId="0" fontId="0" fillId="0" borderId="15" xfId="0" applyBorder="1" applyAlignment="1">
      <alignment horizontal="center" vertical="center"/>
    </xf>
    <xf numFmtId="165" fontId="4" fillId="6" borderId="31" xfId="0" applyNumberFormat="1" applyFont="1" applyFill="1" applyBorder="1"/>
    <xf numFmtId="165" fontId="4" fillId="6" borderId="30" xfId="0" applyNumberFormat="1" applyFont="1" applyFill="1" applyBorder="1"/>
    <xf numFmtId="165" fontId="4" fillId="6" borderId="32" xfId="0" applyNumberFormat="1" applyFont="1" applyFill="1" applyBorder="1"/>
    <xf numFmtId="4" fontId="4" fillId="5" borderId="16" xfId="0" applyNumberFormat="1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4" fontId="4" fillId="5" borderId="17" xfId="0" applyNumberFormat="1" applyFont="1" applyFill="1" applyBorder="1" applyAlignment="1">
      <alignment horizontal="center" vertical="center"/>
    </xf>
    <xf numFmtId="165" fontId="4" fillId="6" borderId="31" xfId="0" applyNumberFormat="1" applyFont="1" applyFill="1" applyBorder="1" applyAlignment="1">
      <alignment horizontal="center" vertical="center"/>
    </xf>
    <xf numFmtId="165" fontId="4" fillId="6" borderId="30" xfId="0" applyNumberFormat="1" applyFont="1" applyFill="1" applyBorder="1" applyAlignment="1">
      <alignment horizontal="center" vertical="center"/>
    </xf>
    <xf numFmtId="165" fontId="4" fillId="6" borderId="32" xfId="0" applyNumberFormat="1" applyFont="1" applyFill="1" applyBorder="1" applyAlignment="1">
      <alignment horizontal="center" vertical="center"/>
    </xf>
    <xf numFmtId="165" fontId="4" fillId="4" borderId="33" xfId="0" applyNumberFormat="1" applyFont="1" applyFill="1" applyBorder="1" applyAlignment="1">
      <alignment horizontal="center" vertical="center"/>
    </xf>
    <xf numFmtId="165" fontId="4" fillId="4" borderId="34" xfId="0" applyNumberFormat="1" applyFont="1" applyFill="1" applyBorder="1" applyAlignment="1">
      <alignment horizontal="center" vertical="center"/>
    </xf>
    <xf numFmtId="165" fontId="4" fillId="4" borderId="35" xfId="0" applyNumberFormat="1" applyFont="1" applyFill="1" applyBorder="1" applyAlignment="1">
      <alignment horizontal="center" vertical="center"/>
    </xf>
    <xf numFmtId="165" fontId="4" fillId="6" borderId="37" xfId="0" applyNumberFormat="1" applyFont="1" applyFill="1" applyBorder="1"/>
    <xf numFmtId="0" fontId="1" fillId="2" borderId="3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5" fontId="4" fillId="6" borderId="42" xfId="0" applyNumberFormat="1" applyFont="1" applyFill="1" applyBorder="1"/>
    <xf numFmtId="0" fontId="1" fillId="2" borderId="18" xfId="0" applyFont="1" applyFill="1" applyBorder="1" applyAlignment="1">
      <alignment horizontal="center" vertical="center"/>
    </xf>
    <xf numFmtId="2" fontId="0" fillId="7" borderId="44" xfId="0" applyNumberFormat="1" applyFill="1" applyBorder="1"/>
    <xf numFmtId="16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/>
    <xf numFmtId="14" fontId="4" fillId="5" borderId="11" xfId="0" applyNumberFormat="1" applyFont="1" applyFill="1" applyBorder="1"/>
    <xf numFmtId="14" fontId="4" fillId="6" borderId="42" xfId="0" applyNumberFormat="1" applyFont="1" applyFill="1" applyBorder="1"/>
    <xf numFmtId="0" fontId="4" fillId="4" borderId="44" xfId="0" applyFont="1" applyFill="1" applyBorder="1"/>
    <xf numFmtId="2" fontId="0" fillId="0" borderId="22" xfId="0" applyNumberFormat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0" borderId="23" xfId="0" applyNumberFormat="1" applyBorder="1" applyAlignment="1" applyProtection="1">
      <alignment horizontal="center" vertical="center"/>
      <protection locked="0"/>
    </xf>
    <xf numFmtId="2" fontId="0" fillId="0" borderId="40" xfId="0" applyNumberFormat="1" applyBorder="1" applyAlignment="1" applyProtection="1">
      <alignment horizontal="center" vertical="center"/>
      <protection locked="0"/>
    </xf>
    <xf numFmtId="2" fontId="0" fillId="0" borderId="16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2" fontId="0" fillId="0" borderId="17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Fill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2" fontId="0" fillId="0" borderId="4" xfId="0" applyNumberFormat="1" applyFill="1" applyBorder="1" applyAlignment="1" applyProtection="1">
      <alignment horizontal="center" vertical="center"/>
      <protection locked="0"/>
    </xf>
    <xf numFmtId="2" fontId="0" fillId="0" borderId="23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Fill="1" applyBorder="1" applyAlignment="1" applyProtection="1">
      <alignment horizontal="center" vertical="center"/>
      <protection locked="0"/>
    </xf>
    <xf numFmtId="2" fontId="0" fillId="0" borderId="40" xfId="0" applyNumberFormat="1" applyFill="1" applyBorder="1" applyAlignment="1" applyProtection="1">
      <alignment horizontal="center" vertical="center"/>
      <protection locked="0"/>
    </xf>
    <xf numFmtId="2" fontId="0" fillId="0" borderId="31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Border="1" applyAlignment="1" applyProtection="1">
      <alignment horizontal="center" vertical="center"/>
      <protection locked="0"/>
    </xf>
    <xf numFmtId="2" fontId="0" fillId="0" borderId="42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31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Fill="1" applyBorder="1" applyAlignment="1" applyProtection="1">
      <alignment horizontal="center" vertical="center"/>
      <protection locked="0"/>
    </xf>
    <xf numFmtId="2" fontId="0" fillId="0" borderId="28" xfId="0" applyNumberFormat="1" applyFill="1" applyBorder="1" applyAlignment="1" applyProtection="1">
      <alignment horizontal="center" vertical="center"/>
      <protection locked="0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20" xfId="0" applyNumberFormat="1" applyBorder="1" applyAlignment="1" applyProtection="1">
      <alignment horizontal="center" vertical="center"/>
      <protection locked="0"/>
    </xf>
    <xf numFmtId="2" fontId="0" fillId="0" borderId="19" xfId="0" applyNumberFormat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 applyProtection="1">
      <alignment horizontal="center" vertical="center"/>
      <protection locked="0"/>
    </xf>
    <xf numFmtId="2" fontId="0" fillId="0" borderId="39" xfId="0" applyNumberFormat="1" applyBorder="1" applyAlignment="1" applyProtection="1">
      <alignment horizontal="center" vertical="center"/>
      <protection locked="0"/>
    </xf>
    <xf numFmtId="2" fontId="0" fillId="0" borderId="1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Fill="1" applyBorder="1" applyAlignment="1" applyProtection="1">
      <alignment horizontal="center" vertical="center"/>
      <protection locked="0"/>
    </xf>
    <xf numFmtId="2" fontId="0" fillId="0" borderId="13" xfId="0" applyNumberFormat="1" applyBorder="1" applyAlignment="1" applyProtection="1">
      <alignment horizontal="center" vertical="center"/>
      <protection locked="0"/>
    </xf>
    <xf numFmtId="2" fontId="0" fillId="0" borderId="21" xfId="0" applyNumberFormat="1" applyBorder="1" applyAlignment="1" applyProtection="1">
      <alignment horizontal="center" vertical="center"/>
      <protection locked="0"/>
    </xf>
    <xf numFmtId="2" fontId="0" fillId="0" borderId="25" xfId="0" applyNumberFormat="1" applyFill="1" applyBorder="1" applyAlignment="1" applyProtection="1">
      <alignment horizontal="center" vertical="center"/>
      <protection locked="0"/>
    </xf>
    <xf numFmtId="2" fontId="0" fillId="0" borderId="45" xfId="0" applyNumberFormat="1" applyFill="1" applyBorder="1" applyAlignment="1" applyProtection="1">
      <alignment horizontal="center" vertical="center"/>
      <protection locked="0"/>
    </xf>
    <xf numFmtId="0" fontId="0" fillId="0" borderId="58" xfId="0" applyBorder="1"/>
    <xf numFmtId="0" fontId="0" fillId="0" borderId="29" xfId="0" applyBorder="1"/>
    <xf numFmtId="0" fontId="0" fillId="0" borderId="57" xfId="0" applyBorder="1"/>
    <xf numFmtId="0" fontId="0" fillId="0" borderId="69" xfId="0" applyBorder="1"/>
    <xf numFmtId="0" fontId="0" fillId="0" borderId="37" xfId="0" applyBorder="1"/>
    <xf numFmtId="2" fontId="0" fillId="0" borderId="75" xfId="0" applyNumberFormat="1" applyBorder="1" applyAlignment="1">
      <alignment horizontal="center"/>
    </xf>
    <xf numFmtId="0" fontId="0" fillId="0" borderId="76" xfId="0" applyBorder="1"/>
    <xf numFmtId="2" fontId="0" fillId="0" borderId="79" xfId="0" applyNumberFormat="1" applyBorder="1" applyAlignment="1">
      <alignment horizontal="center"/>
    </xf>
    <xf numFmtId="0" fontId="4" fillId="12" borderId="33" xfId="0" applyFont="1" applyFill="1" applyBorder="1" applyAlignment="1">
      <alignment horizontal="center" vertical="center"/>
    </xf>
    <xf numFmtId="0" fontId="0" fillId="12" borderId="38" xfId="0" applyFill="1" applyBorder="1"/>
    <xf numFmtId="2" fontId="0" fillId="12" borderId="80" xfId="0" applyNumberFormat="1" applyFill="1" applyBorder="1" applyAlignment="1">
      <alignment horizontal="center"/>
    </xf>
    <xf numFmtId="0" fontId="4" fillId="13" borderId="65" xfId="0" applyFont="1" applyFill="1" applyBorder="1" applyAlignment="1">
      <alignment horizontal="center" vertical="center"/>
    </xf>
    <xf numFmtId="0" fontId="0" fillId="13" borderId="81" xfId="0" applyFill="1" applyBorder="1"/>
    <xf numFmtId="2" fontId="0" fillId="0" borderId="90" xfId="0" applyNumberFormat="1" applyBorder="1" applyAlignment="1">
      <alignment horizontal="center"/>
    </xf>
    <xf numFmtId="2" fontId="0" fillId="0" borderId="91" xfId="0" applyNumberFormat="1" applyBorder="1" applyAlignment="1">
      <alignment horizontal="center"/>
    </xf>
    <xf numFmtId="1" fontId="0" fillId="0" borderId="70" xfId="0" applyNumberFormat="1" applyBorder="1" applyAlignment="1">
      <alignment horizontal="center"/>
    </xf>
    <xf numFmtId="1" fontId="0" fillId="0" borderId="89" xfId="0" applyNumberFormat="1" applyBorder="1" applyAlignment="1">
      <alignment horizontal="center"/>
    </xf>
    <xf numFmtId="1" fontId="0" fillId="0" borderId="73" xfId="0" applyNumberFormat="1" applyBorder="1" applyAlignment="1">
      <alignment horizontal="center"/>
    </xf>
    <xf numFmtId="1" fontId="0" fillId="0" borderId="74" xfId="0" applyNumberFormat="1" applyBorder="1" applyAlignment="1">
      <alignment horizontal="center"/>
    </xf>
    <xf numFmtId="1" fontId="0" fillId="0" borderId="90" xfId="0" applyNumberFormat="1" applyBorder="1" applyAlignment="1">
      <alignment horizontal="center"/>
    </xf>
    <xf numFmtId="1" fontId="0" fillId="0" borderId="77" xfId="0" applyNumberFormat="1" applyBorder="1" applyAlignment="1">
      <alignment horizontal="center"/>
    </xf>
    <xf numFmtId="1" fontId="0" fillId="0" borderId="78" xfId="0" applyNumberFormat="1" applyBorder="1" applyAlignment="1">
      <alignment horizontal="center"/>
    </xf>
    <xf numFmtId="1" fontId="0" fillId="0" borderId="91" xfId="0" applyNumberFormat="1" applyBorder="1" applyAlignment="1">
      <alignment horizontal="center"/>
    </xf>
    <xf numFmtId="1" fontId="0" fillId="12" borderId="80" xfId="0" applyNumberFormat="1" applyFill="1" applyBorder="1" applyAlignment="1">
      <alignment horizontal="center"/>
    </xf>
    <xf numFmtId="166" fontId="0" fillId="0" borderId="70" xfId="0" applyNumberFormat="1" applyBorder="1" applyAlignment="1">
      <alignment horizontal="center"/>
    </xf>
    <xf numFmtId="166" fontId="0" fillId="0" borderId="71" xfId="0" applyNumberFormat="1" applyBorder="1" applyAlignment="1">
      <alignment horizontal="center"/>
    </xf>
    <xf numFmtId="166" fontId="0" fillId="15" borderId="70" xfId="0" applyNumberFormat="1" applyFill="1" applyBorder="1" applyAlignment="1">
      <alignment horizontal="center"/>
    </xf>
    <xf numFmtId="166" fontId="0" fillId="0" borderId="89" xfId="0" applyNumberFormat="1" applyBorder="1" applyAlignment="1">
      <alignment horizontal="center"/>
    </xf>
    <xf numFmtId="166" fontId="0" fillId="0" borderId="73" xfId="0" applyNumberFormat="1" applyBorder="1" applyAlignment="1">
      <alignment horizontal="center"/>
    </xf>
    <xf numFmtId="166" fontId="0" fillId="0" borderId="74" xfId="0" applyNumberFormat="1" applyBorder="1" applyAlignment="1">
      <alignment horizontal="center"/>
    </xf>
    <xf numFmtId="166" fontId="0" fillId="15" borderId="73" xfId="0" applyNumberFormat="1" applyFill="1" applyBorder="1" applyAlignment="1">
      <alignment horizontal="center"/>
    </xf>
    <xf numFmtId="166" fontId="0" fillId="0" borderId="90" xfId="0" applyNumberFormat="1" applyBorder="1" applyAlignment="1">
      <alignment horizontal="center"/>
    </xf>
    <xf numFmtId="166" fontId="0" fillId="0" borderId="77" xfId="0" applyNumberFormat="1" applyBorder="1" applyAlignment="1">
      <alignment horizontal="center"/>
    </xf>
    <xf numFmtId="166" fontId="0" fillId="0" borderId="78" xfId="0" applyNumberFormat="1" applyBorder="1" applyAlignment="1">
      <alignment horizontal="center"/>
    </xf>
    <xf numFmtId="166" fontId="0" fillId="15" borderId="77" xfId="0" applyNumberFormat="1" applyFill="1" applyBorder="1" applyAlignment="1">
      <alignment horizontal="center"/>
    </xf>
    <xf numFmtId="166" fontId="0" fillId="0" borderId="91" xfId="0" applyNumberFormat="1" applyBorder="1" applyAlignment="1">
      <alignment horizontal="center"/>
    </xf>
    <xf numFmtId="166" fontId="0" fillId="13" borderId="80" xfId="0" applyNumberFormat="1" applyFill="1" applyBorder="1" applyAlignment="1">
      <alignment horizontal="center"/>
    </xf>
    <xf numFmtId="2" fontId="0" fillId="16" borderId="89" xfId="0" applyNumberFormat="1" applyFill="1" applyBorder="1" applyAlignment="1">
      <alignment horizontal="center"/>
    </xf>
    <xf numFmtId="2" fontId="0" fillId="16" borderId="72" xfId="0" applyNumberFormat="1" applyFill="1" applyBorder="1" applyAlignment="1">
      <alignment horizontal="center"/>
    </xf>
    <xf numFmtId="2" fontId="0" fillId="16" borderId="90" xfId="0" applyNumberFormat="1" applyFill="1" applyBorder="1" applyAlignment="1">
      <alignment horizontal="center"/>
    </xf>
    <xf numFmtId="2" fontId="0" fillId="16" borderId="75" xfId="0" applyNumberFormat="1" applyFill="1" applyBorder="1" applyAlignment="1">
      <alignment horizontal="center"/>
    </xf>
    <xf numFmtId="2" fontId="0" fillId="16" borderId="91" xfId="0" applyNumberFormat="1" applyFill="1" applyBorder="1" applyAlignment="1">
      <alignment horizontal="center"/>
    </xf>
    <xf numFmtId="2" fontId="0" fillId="16" borderId="79" xfId="0" applyNumberFormat="1" applyFill="1" applyBorder="1" applyAlignment="1">
      <alignment horizontal="center"/>
    </xf>
    <xf numFmtId="2" fontId="0" fillId="17" borderId="80" xfId="0" applyNumberFormat="1" applyFill="1" applyBorder="1" applyAlignment="1">
      <alignment horizontal="center"/>
    </xf>
    <xf numFmtId="164" fontId="4" fillId="9" borderId="41" xfId="0" applyNumberFormat="1" applyFont="1" applyFill="1" applyBorder="1" applyAlignment="1">
      <alignment horizontal="center" vertical="center" textRotation="180"/>
    </xf>
    <xf numFmtId="164" fontId="4" fillId="9" borderId="82" xfId="0" applyNumberFormat="1" applyFont="1" applyFill="1" applyBorder="1" applyAlignment="1">
      <alignment horizontal="center" vertical="center" textRotation="180"/>
    </xf>
    <xf numFmtId="164" fontId="4" fillId="2" borderId="82" xfId="0" applyNumberFormat="1" applyFont="1" applyFill="1" applyBorder="1" applyAlignment="1">
      <alignment horizontal="center" vertical="center" textRotation="180"/>
    </xf>
    <xf numFmtId="164" fontId="4" fillId="8" borderId="82" xfId="0" applyNumberFormat="1" applyFont="1" applyFill="1" applyBorder="1" applyAlignment="1">
      <alignment horizontal="center" vertical="center" textRotation="180"/>
    </xf>
    <xf numFmtId="164" fontId="4" fillId="8" borderId="48" xfId="0" applyNumberFormat="1" applyFont="1" applyFill="1" applyBorder="1" applyAlignment="1">
      <alignment horizontal="center" vertical="center" textRotation="180"/>
    </xf>
    <xf numFmtId="164" fontId="4" fillId="11" borderId="41" xfId="0" applyNumberFormat="1" applyFont="1" applyFill="1" applyBorder="1" applyAlignment="1">
      <alignment horizontal="center" vertical="center" textRotation="180"/>
    </xf>
    <xf numFmtId="164" fontId="4" fillId="11" borderId="82" xfId="0" applyNumberFormat="1" applyFont="1" applyFill="1" applyBorder="1" applyAlignment="1">
      <alignment horizontal="center" vertical="center" textRotation="180"/>
    </xf>
    <xf numFmtId="164" fontId="4" fillId="10" borderId="88" xfId="0" applyNumberFormat="1" applyFont="1" applyFill="1" applyBorder="1" applyAlignment="1">
      <alignment horizontal="center" vertical="center" textRotation="180"/>
    </xf>
    <xf numFmtId="164" fontId="4" fillId="10" borderId="87" xfId="0" applyNumberFormat="1" applyFont="1" applyFill="1" applyBorder="1" applyAlignment="1">
      <alignment horizontal="center" vertical="center" textRotation="180"/>
    </xf>
    <xf numFmtId="164" fontId="4" fillId="14" borderId="82" xfId="0" applyNumberFormat="1" applyFont="1" applyFill="1" applyBorder="1" applyAlignment="1">
      <alignment horizontal="center" vertical="center" textRotation="180"/>
    </xf>
    <xf numFmtId="0" fontId="4" fillId="14" borderId="82" xfId="0" applyFont="1" applyFill="1" applyBorder="1" applyAlignment="1">
      <alignment horizontal="center" vertical="center" textRotation="180"/>
    </xf>
    <xf numFmtId="1" fontId="0" fillId="12" borderId="106" xfId="0" applyNumberFormat="1" applyFill="1" applyBorder="1" applyAlignment="1">
      <alignment horizontal="center"/>
    </xf>
    <xf numFmtId="1" fontId="0" fillId="12" borderId="77" xfId="0" applyNumberFormat="1" applyFill="1" applyBorder="1" applyAlignment="1">
      <alignment horizontal="center"/>
    </xf>
    <xf numFmtId="1" fontId="0" fillId="12" borderId="79" xfId="0" applyNumberFormat="1" applyFill="1" applyBorder="1" applyAlignment="1">
      <alignment horizontal="center"/>
    </xf>
    <xf numFmtId="1" fontId="0" fillId="12" borderId="78" xfId="0" applyNumberFormat="1" applyFill="1" applyBorder="1" applyAlignment="1">
      <alignment horizontal="center"/>
    </xf>
    <xf numFmtId="2" fontId="0" fillId="14" borderId="77" xfId="0" applyNumberFormat="1" applyFill="1" applyBorder="1" applyAlignment="1">
      <alignment horizontal="center"/>
    </xf>
    <xf numFmtId="2" fontId="0" fillId="14" borderId="73" xfId="0" applyNumberFormat="1" applyFill="1" applyBorder="1" applyAlignment="1">
      <alignment horizontal="center"/>
    </xf>
    <xf numFmtId="167" fontId="0" fillId="14" borderId="108" xfId="0" applyNumberFormat="1" applyFill="1" applyBorder="1" applyAlignment="1">
      <alignment horizontal="center"/>
    </xf>
    <xf numFmtId="168" fontId="0" fillId="14" borderId="108" xfId="0" applyNumberFormat="1" applyFill="1" applyBorder="1" applyAlignment="1">
      <alignment horizontal="center"/>
    </xf>
    <xf numFmtId="168" fontId="0" fillId="18" borderId="109" xfId="0" applyNumberFormat="1" applyFill="1" applyBorder="1" applyAlignment="1">
      <alignment horizontal="center"/>
    </xf>
    <xf numFmtId="168" fontId="0" fillId="18" borderId="73" xfId="0" applyNumberFormat="1" applyFill="1" applyBorder="1" applyAlignment="1">
      <alignment horizontal="center"/>
    </xf>
    <xf numFmtId="168" fontId="0" fillId="18" borderId="75" xfId="0" applyNumberFormat="1" applyFill="1" applyBorder="1" applyAlignment="1">
      <alignment horizontal="center"/>
    </xf>
    <xf numFmtId="168" fontId="0" fillId="18" borderId="74" xfId="0" applyNumberFormat="1" applyFill="1" applyBorder="1" applyAlignment="1">
      <alignment horizontal="center"/>
    </xf>
    <xf numFmtId="168" fontId="0" fillId="19" borderId="109" xfId="0" applyNumberFormat="1" applyFill="1" applyBorder="1" applyAlignment="1">
      <alignment horizontal="center"/>
    </xf>
    <xf numFmtId="168" fontId="0" fillId="19" borderId="73" xfId="0" applyNumberFormat="1" applyFill="1" applyBorder="1" applyAlignment="1">
      <alignment horizontal="center"/>
    </xf>
    <xf numFmtId="168" fontId="0" fillId="19" borderId="75" xfId="0" applyNumberFormat="1" applyFill="1" applyBorder="1" applyAlignment="1">
      <alignment horizontal="center"/>
    </xf>
    <xf numFmtId="168" fontId="0" fillId="19" borderId="74" xfId="0" applyNumberFormat="1" applyFill="1" applyBorder="1" applyAlignment="1">
      <alignment horizontal="center"/>
    </xf>
    <xf numFmtId="168" fontId="0" fillId="20" borderId="73" xfId="0" applyNumberFormat="1" applyFill="1" applyBorder="1" applyAlignment="1">
      <alignment horizontal="center"/>
    </xf>
    <xf numFmtId="168" fontId="0" fillId="20" borderId="75" xfId="0" applyNumberFormat="1" applyFill="1" applyBorder="1" applyAlignment="1">
      <alignment horizontal="center"/>
    </xf>
    <xf numFmtId="168" fontId="0" fillId="20" borderId="110" xfId="0" applyNumberFormat="1" applyFill="1" applyBorder="1" applyAlignment="1">
      <alignment horizontal="center"/>
    </xf>
    <xf numFmtId="168" fontId="0" fillId="20" borderId="84" xfId="0" applyNumberFormat="1" applyFill="1" applyBorder="1" applyAlignment="1">
      <alignment horizontal="center"/>
    </xf>
    <xf numFmtId="168" fontId="0" fillId="20" borderId="93" xfId="0" applyNumberFormat="1" applyFill="1" applyBorder="1" applyAlignment="1">
      <alignment horizontal="center"/>
    </xf>
    <xf numFmtId="168" fontId="0" fillId="20" borderId="85" xfId="0" applyNumberFormat="1" applyFill="1" applyBorder="1" applyAlignment="1">
      <alignment horizontal="center"/>
    </xf>
    <xf numFmtId="166" fontId="0" fillId="13" borderId="111" xfId="0" applyNumberFormat="1" applyFill="1" applyBorder="1" applyAlignment="1">
      <alignment horizontal="center"/>
    </xf>
    <xf numFmtId="166" fontId="0" fillId="13" borderId="112" xfId="0" applyNumberFormat="1" applyFill="1" applyBorder="1" applyAlignment="1">
      <alignment horizontal="center"/>
    </xf>
    <xf numFmtId="166" fontId="0" fillId="13" borderId="113" xfId="0" applyNumberFormat="1" applyFill="1" applyBorder="1" applyAlignment="1">
      <alignment horizontal="center"/>
    </xf>
    <xf numFmtId="166" fontId="0" fillId="13" borderId="103" xfId="0" applyNumberFormat="1" applyFill="1" applyBorder="1" applyAlignment="1">
      <alignment horizontal="center"/>
    </xf>
    <xf numFmtId="164" fontId="4" fillId="7" borderId="86" xfId="0" applyNumberFormat="1" applyFont="1" applyFill="1" applyBorder="1" applyAlignment="1"/>
    <xf numFmtId="167" fontId="0" fillId="7" borderId="87" xfId="0" applyNumberFormat="1" applyFont="1" applyFill="1" applyBorder="1" applyAlignment="1">
      <alignment horizontal="center"/>
    </xf>
    <xf numFmtId="167" fontId="0" fillId="7" borderId="88" xfId="0" applyNumberFormat="1" applyFont="1" applyFill="1" applyBorder="1" applyAlignment="1">
      <alignment horizontal="center"/>
    </xf>
    <xf numFmtId="1" fontId="0" fillId="12" borderId="51" xfId="0" applyNumberFormat="1" applyFill="1" applyBorder="1" applyAlignment="1">
      <alignment horizontal="center"/>
    </xf>
    <xf numFmtId="1" fontId="0" fillId="12" borderId="114" xfId="0" applyNumberFormat="1" applyFill="1" applyBorder="1" applyAlignment="1">
      <alignment horizontal="center"/>
    </xf>
    <xf numFmtId="1" fontId="0" fillId="12" borderId="52" xfId="0" applyNumberFormat="1" applyFill="1" applyBorder="1" applyAlignment="1">
      <alignment horizontal="center"/>
    </xf>
    <xf numFmtId="1" fontId="0" fillId="12" borderId="91" xfId="0" applyNumberFormat="1" applyFill="1" applyBorder="1" applyAlignment="1">
      <alignment horizontal="center"/>
    </xf>
    <xf numFmtId="168" fontId="0" fillId="18" borderId="90" xfId="0" applyNumberFormat="1" applyFill="1" applyBorder="1" applyAlignment="1">
      <alignment horizontal="center"/>
    </xf>
    <xf numFmtId="166" fontId="0" fillId="13" borderId="106" xfId="0" applyNumberFormat="1" applyFill="1" applyBorder="1" applyAlignment="1">
      <alignment horizontal="center"/>
    </xf>
    <xf numFmtId="166" fontId="0" fillId="13" borderId="77" xfId="0" applyNumberFormat="1" applyFill="1" applyBorder="1" applyAlignment="1">
      <alignment horizontal="center"/>
    </xf>
    <xf numFmtId="166" fontId="0" fillId="13" borderId="108" xfId="0" applyNumberFormat="1" applyFill="1" applyBorder="1" applyAlignment="1">
      <alignment horizontal="center"/>
    </xf>
    <xf numFmtId="166" fontId="0" fillId="13" borderId="118" xfId="0" applyNumberFormat="1" applyFill="1" applyBorder="1" applyAlignment="1">
      <alignment horizontal="center"/>
    </xf>
    <xf numFmtId="166" fontId="0" fillId="13" borderId="119" xfId="0" applyNumberFormat="1" applyFill="1" applyBorder="1" applyAlignment="1">
      <alignment horizontal="center"/>
    </xf>
    <xf numFmtId="166" fontId="0" fillId="13" borderId="120" xfId="0" applyNumberFormat="1" applyFill="1" applyBorder="1" applyAlignment="1">
      <alignment horizontal="center"/>
    </xf>
    <xf numFmtId="166" fontId="0" fillId="13" borderId="116" xfId="0" applyNumberFormat="1" applyFill="1" applyBorder="1" applyAlignment="1">
      <alignment horizontal="center"/>
    </xf>
    <xf numFmtId="166" fontId="13" fillId="10" borderId="95" xfId="0" applyNumberFormat="1" applyFon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12" fillId="22" borderId="55" xfId="0" applyFont="1" applyFill="1" applyBorder="1" applyAlignment="1"/>
    <xf numFmtId="0" fontId="12" fillId="22" borderId="66" xfId="0" applyFont="1" applyFill="1" applyBorder="1" applyAlignment="1"/>
    <xf numFmtId="167" fontId="13" fillId="23" borderId="123" xfId="0" applyNumberFormat="1" applyFont="1" applyFill="1" applyBorder="1" applyAlignment="1">
      <alignment horizontal="center"/>
    </xf>
    <xf numFmtId="0" fontId="12" fillId="22" borderId="66" xfId="0" applyFont="1" applyFill="1" applyBorder="1"/>
    <xf numFmtId="0" fontId="13" fillId="22" borderId="66" xfId="0" applyFont="1" applyFill="1" applyBorder="1"/>
    <xf numFmtId="167" fontId="13" fillId="22" borderId="66" xfId="0" applyNumberFormat="1" applyFont="1" applyFill="1" applyBorder="1" applyAlignment="1">
      <alignment horizontal="left"/>
    </xf>
    <xf numFmtId="0" fontId="12" fillId="22" borderId="124" xfId="0" applyFont="1" applyFill="1" applyBorder="1"/>
    <xf numFmtId="168" fontId="13" fillId="23" borderId="66" xfId="0" applyNumberFormat="1" applyFont="1" applyFill="1" applyBorder="1" applyAlignment="1">
      <alignment horizontal="center"/>
    </xf>
    <xf numFmtId="2" fontId="13" fillId="22" borderId="66" xfId="0" applyNumberFormat="1" applyFont="1" applyFill="1" applyBorder="1" applyAlignment="1">
      <alignment horizontal="left"/>
    </xf>
    <xf numFmtId="167" fontId="13" fillId="22" borderId="56" xfId="0" applyNumberFormat="1" applyFont="1" applyFill="1" applyBorder="1" applyAlignment="1">
      <alignment horizontal="left"/>
    </xf>
    <xf numFmtId="167" fontId="0" fillId="7" borderId="108" xfId="0" applyNumberFormat="1" applyFill="1" applyBorder="1" applyAlignment="1">
      <alignment horizontal="center"/>
    </xf>
    <xf numFmtId="0" fontId="0" fillId="0" borderId="0" xfId="0" applyAlignment="1"/>
    <xf numFmtId="1" fontId="16" fillId="24" borderId="126" xfId="0" applyNumberFormat="1" applyFont="1" applyFill="1" applyBorder="1" applyAlignment="1">
      <alignment horizontal="right" vertical="center"/>
    </xf>
    <xf numFmtId="0" fontId="0" fillId="24" borderId="30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9" borderId="30" xfId="0" applyFill="1" applyBorder="1" applyAlignment="1">
      <alignment horizontal="center"/>
    </xf>
    <xf numFmtId="0" fontId="0" fillId="19" borderId="131" xfId="0" applyFill="1" applyBorder="1" applyAlignment="1">
      <alignment horizontal="center"/>
    </xf>
    <xf numFmtId="0" fontId="13" fillId="22" borderId="37" xfId="0" applyFont="1" applyFill="1" applyBorder="1" applyAlignment="1">
      <alignment horizontal="left"/>
    </xf>
    <xf numFmtId="0" fontId="13" fillId="22" borderId="37" xfId="0" applyFont="1" applyFill="1" applyBorder="1" applyAlignment="1"/>
    <xf numFmtId="165" fontId="0" fillId="24" borderId="30" xfId="0" applyNumberFormat="1" applyFill="1" applyBorder="1" applyAlignment="1">
      <alignment horizontal="center"/>
    </xf>
    <xf numFmtId="165" fontId="0" fillId="12" borderId="30" xfId="0" applyNumberFormat="1" applyFill="1" applyBorder="1" applyAlignment="1">
      <alignment horizontal="center"/>
    </xf>
    <xf numFmtId="0" fontId="13" fillId="19" borderId="30" xfId="0" applyFont="1" applyFill="1" applyBorder="1" applyAlignment="1">
      <alignment horizontal="left"/>
    </xf>
    <xf numFmtId="165" fontId="0" fillId="19" borderId="30" xfId="0" applyNumberFormat="1" applyFill="1" applyBorder="1" applyAlignment="1">
      <alignment horizontal="center"/>
    </xf>
    <xf numFmtId="165" fontId="0" fillId="19" borderId="131" xfId="0" applyNumberFormat="1" applyFill="1" applyBorder="1" applyAlignment="1">
      <alignment horizontal="center"/>
    </xf>
    <xf numFmtId="0" fontId="13" fillId="22" borderId="39" xfId="0" applyFont="1" applyFill="1" applyBorder="1" applyAlignment="1">
      <alignment horizontal="left"/>
    </xf>
    <xf numFmtId="0" fontId="13" fillId="22" borderId="39" xfId="0" applyFont="1" applyFill="1" applyBorder="1" applyAlignment="1"/>
    <xf numFmtId="165" fontId="0" fillId="12" borderId="3" xfId="0" applyNumberFormat="1" applyFill="1" applyBorder="1" applyAlignment="1">
      <alignment horizontal="center"/>
    </xf>
    <xf numFmtId="0" fontId="13" fillId="19" borderId="3" xfId="0" applyFont="1" applyFill="1" applyBorder="1" applyAlignment="1">
      <alignment horizontal="left"/>
    </xf>
    <xf numFmtId="165" fontId="0" fillId="19" borderId="3" xfId="0" applyNumberFormat="1" applyFill="1" applyBorder="1" applyAlignment="1">
      <alignment horizontal="center"/>
    </xf>
    <xf numFmtId="165" fontId="0" fillId="25" borderId="133" xfId="0" applyNumberFormat="1" applyFill="1" applyBorder="1" applyAlignment="1">
      <alignment horizontal="center"/>
    </xf>
    <xf numFmtId="166" fontId="0" fillId="0" borderId="0" xfId="0" applyNumberFormat="1"/>
    <xf numFmtId="0" fontId="4" fillId="0" borderId="96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/>
    </xf>
    <xf numFmtId="168" fontId="0" fillId="20" borderId="74" xfId="0" applyNumberFormat="1" applyFill="1" applyBorder="1" applyAlignment="1">
      <alignment horizontal="center"/>
    </xf>
    <xf numFmtId="166" fontId="13" fillId="10" borderId="87" xfId="0" applyNumberFormat="1" applyFont="1" applyFill="1" applyBorder="1" applyAlignment="1">
      <alignment horizontal="center"/>
    </xf>
    <xf numFmtId="166" fontId="0" fillId="10" borderId="88" xfId="0" applyNumberFormat="1" applyFill="1" applyBorder="1" applyAlignment="1">
      <alignment horizontal="center"/>
    </xf>
    <xf numFmtId="169" fontId="0" fillId="21" borderId="88" xfId="0" applyNumberFormat="1" applyFill="1" applyBorder="1" applyAlignment="1">
      <alignment horizontal="center"/>
    </xf>
    <xf numFmtId="169" fontId="0" fillId="0" borderId="122" xfId="0" applyNumberFormat="1" applyFill="1" applyBorder="1" applyAlignment="1">
      <alignment horizontal="center"/>
    </xf>
    <xf numFmtId="2" fontId="0" fillId="7" borderId="85" xfId="0" applyNumberFormat="1" applyFill="1" applyBorder="1" applyAlignment="1">
      <alignment horizontal="center"/>
    </xf>
    <xf numFmtId="2" fontId="0" fillId="7" borderId="84" xfId="0" applyNumberFormat="1" applyFill="1" applyBorder="1" applyAlignment="1">
      <alignment horizontal="center"/>
    </xf>
    <xf numFmtId="2" fontId="0" fillId="12" borderId="135" xfId="0" applyNumberFormat="1" applyFill="1" applyBorder="1" applyAlignment="1">
      <alignment horizontal="center"/>
    </xf>
    <xf numFmtId="2" fontId="0" fillId="17" borderId="135" xfId="0" applyNumberFormat="1" applyFill="1" applyBorder="1" applyAlignment="1">
      <alignment horizontal="center"/>
    </xf>
    <xf numFmtId="164" fontId="4" fillId="9" borderId="114" xfId="0" applyNumberFormat="1" applyFont="1" applyFill="1" applyBorder="1" applyAlignment="1">
      <alignment horizontal="center" textRotation="90"/>
    </xf>
    <xf numFmtId="164" fontId="4" fillId="9" borderId="94" xfId="0" applyNumberFormat="1" applyFont="1" applyFill="1" applyBorder="1" applyAlignment="1">
      <alignment horizontal="center" textRotation="90"/>
    </xf>
    <xf numFmtId="164" fontId="4" fillId="11" borderId="114" xfId="0" applyNumberFormat="1" applyFont="1" applyFill="1" applyBorder="1" applyAlignment="1">
      <alignment horizontal="center" textRotation="90"/>
    </xf>
    <xf numFmtId="164" fontId="4" fillId="11" borderId="101" xfId="0" applyNumberFormat="1" applyFont="1" applyFill="1" applyBorder="1" applyAlignment="1">
      <alignment horizontal="center" textRotation="90"/>
    </xf>
    <xf numFmtId="164" fontId="4" fillId="2" borderId="114" xfId="0" applyNumberFormat="1" applyFont="1" applyFill="1" applyBorder="1" applyAlignment="1">
      <alignment horizontal="center" textRotation="90"/>
    </xf>
    <xf numFmtId="164" fontId="4" fillId="2" borderId="101" xfId="0" applyNumberFormat="1" applyFont="1" applyFill="1" applyBorder="1" applyAlignment="1">
      <alignment horizontal="center" textRotation="90"/>
    </xf>
    <xf numFmtId="164" fontId="4" fillId="8" borderId="114" xfId="0" applyNumberFormat="1" applyFont="1" applyFill="1" applyBorder="1" applyAlignment="1">
      <alignment horizontal="center" textRotation="90"/>
    </xf>
    <xf numFmtId="164" fontId="4" fillId="10" borderId="94" xfId="0" applyNumberFormat="1" applyFont="1" applyFill="1" applyBorder="1" applyAlignment="1">
      <alignment horizontal="center" textRotation="90"/>
    </xf>
    <xf numFmtId="164" fontId="4" fillId="10" borderId="114" xfId="0" applyNumberFormat="1" applyFont="1" applyFill="1" applyBorder="1" applyAlignment="1">
      <alignment horizontal="center" textRotation="90"/>
    </xf>
    <xf numFmtId="164" fontId="4" fillId="14" borderId="94" xfId="0" applyNumberFormat="1" applyFont="1" applyFill="1" applyBorder="1" applyAlignment="1">
      <alignment horizontal="center" textRotation="90"/>
    </xf>
    <xf numFmtId="0" fontId="4" fillId="14" borderId="52" xfId="0" applyFont="1" applyFill="1" applyBorder="1" applyAlignment="1">
      <alignment horizontal="center" textRotation="90"/>
    </xf>
    <xf numFmtId="1" fontId="0" fillId="0" borderId="71" xfId="0" applyNumberFormat="1" applyBorder="1" applyAlignment="1">
      <alignment horizontal="center"/>
    </xf>
    <xf numFmtId="2" fontId="0" fillId="0" borderId="89" xfId="0" applyNumberFormat="1" applyBorder="1" applyAlignment="1">
      <alignment horizontal="center"/>
    </xf>
    <xf numFmtId="2" fontId="0" fillId="0" borderId="72" xfId="0" applyNumberFormat="1" applyBorder="1" applyAlignment="1">
      <alignment horizontal="center"/>
    </xf>
    <xf numFmtId="2" fontId="0" fillId="12" borderId="91" xfId="0" applyNumberFormat="1" applyFill="1" applyBorder="1" applyAlignment="1">
      <alignment horizontal="center"/>
    </xf>
    <xf numFmtId="2" fontId="0" fillId="12" borderId="79" xfId="0" applyNumberFormat="1" applyFill="1" applyBorder="1" applyAlignment="1">
      <alignment horizontal="center"/>
    </xf>
    <xf numFmtId="0" fontId="13" fillId="24" borderId="37" xfId="0" applyFont="1" applyFill="1" applyBorder="1" applyAlignment="1">
      <alignment horizontal="left"/>
    </xf>
    <xf numFmtId="0" fontId="13" fillId="24" borderId="39" xfId="0" applyFont="1" applyFill="1" applyBorder="1" applyAlignment="1">
      <alignment horizontal="left"/>
    </xf>
    <xf numFmtId="0" fontId="13" fillId="12" borderId="130" xfId="0" applyFont="1" applyFill="1" applyBorder="1" applyAlignment="1">
      <alignment horizontal="left"/>
    </xf>
    <xf numFmtId="0" fontId="13" fillId="12" borderId="26" xfId="0" applyFont="1" applyFill="1" applyBorder="1" applyAlignment="1">
      <alignment horizontal="left"/>
    </xf>
    <xf numFmtId="0" fontId="0" fillId="24" borderId="2" xfId="0" applyFill="1" applyBorder="1" applyAlignment="1">
      <alignment horizontal="center"/>
    </xf>
    <xf numFmtId="165" fontId="0" fillId="24" borderId="136" xfId="0" applyNumberFormat="1" applyFill="1" applyBorder="1" applyAlignment="1">
      <alignment horizontal="center"/>
    </xf>
    <xf numFmtId="165" fontId="0" fillId="24" borderId="137" xfId="0" applyNumberFormat="1" applyFill="1" applyBorder="1" applyAlignment="1">
      <alignment horizontal="center"/>
    </xf>
    <xf numFmtId="165" fontId="0" fillId="24" borderId="138" xfId="0" applyNumberFormat="1" applyFill="1" applyBorder="1" applyAlignment="1">
      <alignment horizontal="center"/>
    </xf>
    <xf numFmtId="165" fontId="0" fillId="24" borderId="139" xfId="0" applyNumberFormat="1" applyFill="1" applyBorder="1" applyAlignment="1">
      <alignment horizontal="center"/>
    </xf>
    <xf numFmtId="165" fontId="0" fillId="24" borderId="140" xfId="0" applyNumberFormat="1" applyFill="1" applyBorder="1" applyAlignment="1">
      <alignment horizontal="center"/>
    </xf>
    <xf numFmtId="167" fontId="0" fillId="22" borderId="30" xfId="0" applyNumberFormat="1" applyFill="1" applyBorder="1"/>
    <xf numFmtId="0" fontId="0" fillId="22" borderId="142" xfId="0" applyFill="1" applyBorder="1" applyAlignment="1">
      <alignment horizontal="center"/>
    </xf>
    <xf numFmtId="167" fontId="0" fillId="22" borderId="131" xfId="0" applyNumberFormat="1" applyFill="1" applyBorder="1" applyAlignment="1">
      <alignment horizontal="right"/>
    </xf>
    <xf numFmtId="168" fontId="0" fillId="22" borderId="131" xfId="0" applyNumberFormat="1" applyFill="1" applyBorder="1" applyAlignment="1">
      <alignment horizontal="right"/>
    </xf>
    <xf numFmtId="167" fontId="0" fillId="22" borderId="3" xfId="0" applyNumberFormat="1" applyFill="1" applyBorder="1"/>
    <xf numFmtId="167" fontId="0" fillId="22" borderId="133" xfId="0" applyNumberFormat="1" applyFill="1" applyBorder="1" applyAlignment="1">
      <alignment horizontal="right"/>
    </xf>
    <xf numFmtId="0" fontId="17" fillId="0" borderId="0" xfId="0" applyFont="1"/>
    <xf numFmtId="4" fontId="4" fillId="5" borderId="16" xfId="0" applyNumberFormat="1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4" fontId="4" fillId="5" borderId="36" xfId="0" applyNumberFormat="1" applyFont="1" applyFill="1" applyBorder="1" applyAlignment="1">
      <alignment horizontal="center"/>
    </xf>
    <xf numFmtId="165" fontId="4" fillId="6" borderId="31" xfId="0" applyNumberFormat="1" applyFont="1" applyFill="1" applyBorder="1" applyAlignment="1">
      <alignment horizontal="center"/>
    </xf>
    <xf numFmtId="165" fontId="4" fillId="6" borderId="30" xfId="0" applyNumberFormat="1" applyFont="1" applyFill="1" applyBorder="1" applyAlignment="1">
      <alignment horizontal="center"/>
    </xf>
    <xf numFmtId="165" fontId="4" fillId="6" borderId="37" xfId="0" applyNumberFormat="1" applyFont="1" applyFill="1" applyBorder="1" applyAlignment="1">
      <alignment horizontal="center"/>
    </xf>
    <xf numFmtId="165" fontId="4" fillId="4" borderId="33" xfId="0" applyNumberFormat="1" applyFont="1" applyFill="1" applyBorder="1" applyAlignment="1">
      <alignment horizontal="center"/>
    </xf>
    <xf numFmtId="165" fontId="4" fillId="4" borderId="34" xfId="0" applyNumberFormat="1" applyFont="1" applyFill="1" applyBorder="1" applyAlignment="1">
      <alignment horizontal="center"/>
    </xf>
    <xf numFmtId="165" fontId="4" fillId="4" borderId="38" xfId="0" applyNumberFormat="1" applyFont="1" applyFill="1" applyBorder="1" applyAlignment="1">
      <alignment horizontal="center"/>
    </xf>
    <xf numFmtId="4" fontId="4" fillId="5" borderId="17" xfId="0" applyNumberFormat="1" applyFont="1" applyFill="1" applyBorder="1" applyAlignment="1">
      <alignment horizontal="center"/>
    </xf>
    <xf numFmtId="165" fontId="4" fillId="6" borderId="32" xfId="0" applyNumberFormat="1" applyFont="1" applyFill="1" applyBorder="1" applyAlignment="1">
      <alignment horizontal="center"/>
    </xf>
    <xf numFmtId="165" fontId="4" fillId="4" borderId="35" xfId="0" applyNumberFormat="1" applyFont="1" applyFill="1" applyBorder="1" applyAlignment="1">
      <alignment horizontal="center"/>
    </xf>
    <xf numFmtId="4" fontId="4" fillId="5" borderId="18" xfId="0" applyNumberFormat="1" applyFont="1" applyFill="1" applyBorder="1" applyAlignment="1">
      <alignment horizontal="center"/>
    </xf>
    <xf numFmtId="165" fontId="4" fillId="6" borderId="42" xfId="0" applyNumberFormat="1" applyFont="1" applyFill="1" applyBorder="1" applyAlignment="1">
      <alignment horizontal="center"/>
    </xf>
    <xf numFmtId="165" fontId="4" fillId="4" borderId="44" xfId="0" applyNumberFormat="1" applyFont="1" applyFill="1" applyBorder="1" applyAlignment="1">
      <alignment horizontal="center"/>
    </xf>
    <xf numFmtId="4" fontId="4" fillId="7" borderId="18" xfId="0" applyNumberFormat="1" applyFont="1" applyFill="1" applyBorder="1" applyAlignment="1">
      <alignment horizontal="center" vertical="center"/>
    </xf>
    <xf numFmtId="2" fontId="0" fillId="7" borderId="44" xfId="0" applyNumberFormat="1" applyFill="1" applyBorder="1" applyAlignment="1">
      <alignment horizontal="center"/>
    </xf>
    <xf numFmtId="165" fontId="4" fillId="4" borderId="143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9" fillId="2" borderId="49" xfId="0" applyFont="1" applyFill="1" applyBorder="1" applyAlignment="1">
      <alignment horizontal="center" vertical="center" wrapText="1"/>
    </xf>
    <xf numFmtId="0" fontId="9" fillId="26" borderId="46" xfId="0" applyFont="1" applyFill="1" applyBorder="1" applyAlignment="1">
      <alignment horizontal="center" vertical="center" wrapText="1"/>
    </xf>
    <xf numFmtId="165" fontId="9" fillId="26" borderId="47" xfId="0" applyNumberFormat="1" applyFont="1" applyFill="1" applyBorder="1" applyAlignment="1">
      <alignment horizontal="center" vertical="center"/>
    </xf>
    <xf numFmtId="0" fontId="9" fillId="26" borderId="41" xfId="0" applyFont="1" applyFill="1" applyBorder="1" applyAlignment="1">
      <alignment horizontal="center" vertical="center" wrapText="1"/>
    </xf>
    <xf numFmtId="165" fontId="9" fillId="26" borderId="48" xfId="0" applyNumberFormat="1" applyFont="1" applyFill="1" applyBorder="1" applyAlignment="1">
      <alignment horizontal="center" vertical="center"/>
    </xf>
    <xf numFmtId="0" fontId="9" fillId="26" borderId="51" xfId="0" applyFont="1" applyFill="1" applyBorder="1" applyAlignment="1">
      <alignment horizontal="center" vertical="center" wrapText="1"/>
    </xf>
    <xf numFmtId="165" fontId="9" fillId="26" borderId="52" xfId="0" applyNumberFormat="1" applyFont="1" applyFill="1" applyBorder="1" applyAlignment="1">
      <alignment horizontal="center" vertical="center"/>
    </xf>
    <xf numFmtId="0" fontId="0" fillId="0" borderId="98" xfId="0" applyBorder="1"/>
    <xf numFmtId="165" fontId="10" fillId="0" borderId="10" xfId="0" applyNumberFormat="1" applyFont="1" applyFill="1" applyBorder="1" applyAlignment="1">
      <alignment horizontal="center" vertical="center"/>
    </xf>
    <xf numFmtId="165" fontId="4" fillId="0" borderId="10" xfId="0" applyNumberFormat="1" applyFont="1" applyFill="1" applyBorder="1" applyAlignment="1">
      <alignment horizontal="center" vertical="center"/>
    </xf>
    <xf numFmtId="0" fontId="9" fillId="2" borderId="53" xfId="0" applyFont="1" applyFill="1" applyBorder="1" applyAlignment="1">
      <alignment horizontal="center" vertical="center" wrapText="1"/>
    </xf>
    <xf numFmtId="4" fontId="9" fillId="2" borderId="54" xfId="0" applyNumberFormat="1" applyFont="1" applyFill="1" applyBorder="1" applyAlignment="1">
      <alignment horizontal="center" vertical="center"/>
    </xf>
    <xf numFmtId="165" fontId="9" fillId="2" borderId="54" xfId="0" applyNumberFormat="1" applyFont="1" applyFill="1" applyBorder="1" applyAlignment="1">
      <alignment horizontal="center" vertical="center"/>
    </xf>
    <xf numFmtId="165" fontId="9" fillId="2" borderId="50" xfId="0" applyNumberFormat="1" applyFont="1" applyFill="1" applyBorder="1" applyAlignment="1">
      <alignment horizontal="center" vertical="center"/>
    </xf>
    <xf numFmtId="165" fontId="4" fillId="4" borderId="57" xfId="0" applyNumberFormat="1" applyFont="1" applyFill="1" applyBorder="1" applyAlignment="1">
      <alignment horizontal="center" vertical="center"/>
    </xf>
    <xf numFmtId="0" fontId="2" fillId="0" borderId="144" xfId="0" applyFont="1" applyBorder="1" applyAlignment="1">
      <alignment horizontal="center" vertical="center"/>
    </xf>
    <xf numFmtId="0" fontId="0" fillId="22" borderId="4" xfId="0" applyFill="1" applyBorder="1" applyAlignment="1">
      <alignment horizont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0" fillId="0" borderId="62" xfId="0" applyBorder="1"/>
    <xf numFmtId="0" fontId="0" fillId="0" borderId="0" xfId="0" applyBorder="1" applyAlignment="1">
      <alignment vertical="center"/>
    </xf>
    <xf numFmtId="0" fontId="0" fillId="22" borderId="4" xfId="0" applyFill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167" fontId="0" fillId="0" borderId="95" xfId="0" applyNumberFormat="1" applyFill="1" applyBorder="1"/>
    <xf numFmtId="167" fontId="0" fillId="0" borderId="95" xfId="0" applyNumberFormat="1" applyFill="1" applyBorder="1" applyAlignment="1">
      <alignment horizontal="right"/>
    </xf>
    <xf numFmtId="170" fontId="4" fillId="6" borderId="42" xfId="0" applyNumberFormat="1" applyFon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4" fillId="22" borderId="90" xfId="0" applyFont="1" applyFill="1" applyBorder="1" applyAlignment="1">
      <alignment horizontal="left"/>
    </xf>
    <xf numFmtId="0" fontId="4" fillId="22" borderId="130" xfId="0" applyFont="1" applyFill="1" applyBorder="1" applyAlignment="1">
      <alignment horizontal="left"/>
    </xf>
    <xf numFmtId="0" fontId="16" fillId="22" borderId="126" xfId="0" applyFont="1" applyFill="1" applyBorder="1" applyAlignment="1">
      <alignment horizontal="center"/>
    </xf>
    <xf numFmtId="0" fontId="16" fillId="22" borderId="128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0" fontId="0" fillId="0" borderId="0" xfId="0" applyFill="1" applyBorder="1"/>
    <xf numFmtId="167" fontId="0" fillId="0" borderId="0" xfId="0" applyNumberFormat="1" applyFill="1" applyBorder="1"/>
    <xf numFmtId="167" fontId="0" fillId="0" borderId="0" xfId="0" applyNumberFormat="1" applyFill="1" applyBorder="1" applyAlignment="1">
      <alignment horizontal="right"/>
    </xf>
    <xf numFmtId="0" fontId="0" fillId="0" borderId="96" xfId="0" applyBorder="1"/>
    <xf numFmtId="167" fontId="0" fillId="22" borderId="2" xfId="0" applyNumberFormat="1" applyFill="1" applyBorder="1"/>
    <xf numFmtId="167" fontId="0" fillId="22" borderId="148" xfId="0" applyNumberFormat="1" applyFill="1" applyBorder="1" applyAlignment="1">
      <alignment horizontal="right"/>
    </xf>
    <xf numFmtId="0" fontId="0" fillId="0" borderId="0" xfId="0" applyFill="1"/>
    <xf numFmtId="0" fontId="0" fillId="0" borderId="95" xfId="0" applyFill="1" applyBorder="1"/>
    <xf numFmtId="165" fontId="0" fillId="0" borderId="70" xfId="0" applyNumberFormat="1" applyBorder="1" applyAlignment="1">
      <alignment horizontal="center"/>
    </xf>
    <xf numFmtId="165" fontId="0" fillId="0" borderId="73" xfId="0" applyNumberFormat="1" applyBorder="1" applyAlignment="1">
      <alignment horizontal="center"/>
    </xf>
    <xf numFmtId="165" fontId="0" fillId="0" borderId="77" xfId="0" applyNumberFormat="1" applyBorder="1" applyAlignment="1">
      <alignment horizontal="center"/>
    </xf>
    <xf numFmtId="165" fontId="4" fillId="2" borderId="82" xfId="0" applyNumberFormat="1" applyFont="1" applyFill="1" applyBorder="1" applyAlignment="1">
      <alignment horizontal="center"/>
    </xf>
    <xf numFmtId="0" fontId="4" fillId="2" borderId="14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8" fillId="0" borderId="0" xfId="0" applyFont="1" applyFill="1"/>
    <xf numFmtId="0" fontId="18" fillId="0" borderId="0" xfId="0" applyFont="1"/>
    <xf numFmtId="165" fontId="0" fillId="24" borderId="141" xfId="0" applyNumberFormat="1" applyFill="1" applyBorder="1" applyAlignment="1">
      <alignment horizontal="center"/>
    </xf>
    <xf numFmtId="0" fontId="0" fillId="0" borderId="154" xfId="0" applyBorder="1" applyAlignment="1">
      <alignment horizontal="center" vertical="center" wrapText="1"/>
    </xf>
    <xf numFmtId="165" fontId="0" fillId="0" borderId="155" xfId="0" applyNumberFormat="1" applyBorder="1" applyAlignment="1">
      <alignment horizontal="center"/>
    </xf>
    <xf numFmtId="165" fontId="0" fillId="0" borderId="156" xfId="0" applyNumberFormat="1" applyBorder="1" applyAlignment="1">
      <alignment horizontal="center"/>
    </xf>
    <xf numFmtId="165" fontId="0" fillId="0" borderId="157" xfId="0" applyNumberFormat="1" applyBorder="1" applyAlignment="1">
      <alignment horizontal="center"/>
    </xf>
    <xf numFmtId="0" fontId="0" fillId="0" borderId="131" xfId="0" applyBorder="1" applyAlignment="1">
      <alignment horizontal="center" vertical="center" wrapText="1"/>
    </xf>
    <xf numFmtId="165" fontId="0" fillId="0" borderId="75" xfId="0" applyNumberFormat="1" applyBorder="1" applyAlignment="1">
      <alignment horizontal="center"/>
    </xf>
    <xf numFmtId="165" fontId="0" fillId="0" borderId="74" xfId="0" applyNumberFormat="1" applyBorder="1" applyAlignment="1">
      <alignment horizontal="center"/>
    </xf>
    <xf numFmtId="165" fontId="0" fillId="0" borderId="159" xfId="0" applyNumberFormat="1" applyBorder="1" applyAlignment="1">
      <alignment horizontal="center"/>
    </xf>
    <xf numFmtId="0" fontId="0" fillId="0" borderId="148" xfId="0" applyBorder="1" applyAlignment="1">
      <alignment horizontal="center" vertical="center" wrapText="1"/>
    </xf>
    <xf numFmtId="165" fontId="0" fillId="0" borderId="79" xfId="0" applyNumberFormat="1" applyBorder="1" applyAlignment="1">
      <alignment horizontal="center"/>
    </xf>
    <xf numFmtId="0" fontId="0" fillId="27" borderId="154" xfId="0" applyFill="1" applyBorder="1" applyAlignment="1">
      <alignment horizontal="center" vertical="center" wrapText="1"/>
    </xf>
    <xf numFmtId="165" fontId="0" fillId="27" borderId="71" xfId="0" applyNumberFormat="1" applyFill="1" applyBorder="1" applyAlignment="1">
      <alignment horizontal="center"/>
    </xf>
    <xf numFmtId="165" fontId="0" fillId="27" borderId="160" xfId="0" applyNumberFormat="1" applyFill="1" applyBorder="1" applyAlignment="1">
      <alignment horizontal="center"/>
    </xf>
    <xf numFmtId="0" fontId="0" fillId="27" borderId="148" xfId="0" applyFill="1" applyBorder="1" applyAlignment="1">
      <alignment horizontal="center" vertical="center" wrapText="1"/>
    </xf>
    <xf numFmtId="165" fontId="0" fillId="27" borderId="78" xfId="0" applyNumberFormat="1" applyFill="1" applyBorder="1" applyAlignment="1">
      <alignment horizontal="center"/>
    </xf>
    <xf numFmtId="165" fontId="0" fillId="27" borderId="161" xfId="0" applyNumberFormat="1" applyFill="1" applyBorder="1" applyAlignment="1">
      <alignment horizontal="center"/>
    </xf>
    <xf numFmtId="0" fontId="0" fillId="27" borderId="81" xfId="0" applyFill="1" applyBorder="1" applyAlignment="1">
      <alignment horizontal="center" vertical="center" wrapText="1"/>
    </xf>
    <xf numFmtId="3" fontId="0" fillId="0" borderId="77" xfId="0" applyNumberFormat="1" applyBorder="1" applyAlignment="1">
      <alignment horizontal="center"/>
    </xf>
    <xf numFmtId="3" fontId="0" fillId="0" borderId="79" xfId="0" applyNumberFormat="1" applyBorder="1" applyAlignment="1">
      <alignment horizontal="center"/>
    </xf>
    <xf numFmtId="3" fontId="0" fillId="0" borderId="80" xfId="0" applyNumberFormat="1" applyBorder="1" applyAlignment="1">
      <alignment horizontal="center"/>
    </xf>
    <xf numFmtId="3" fontId="0" fillId="0" borderId="135" xfId="0" applyNumberFormat="1" applyBorder="1" applyAlignment="1">
      <alignment horizontal="center"/>
    </xf>
    <xf numFmtId="165" fontId="0" fillId="24" borderId="165" xfId="0" applyNumberFormat="1" applyFill="1" applyBorder="1" applyAlignment="1">
      <alignment horizontal="center"/>
    </xf>
    <xf numFmtId="165" fontId="0" fillId="24" borderId="166" xfId="0" applyNumberFormat="1" applyFill="1" applyBorder="1" applyAlignment="1">
      <alignment horizontal="center"/>
    </xf>
    <xf numFmtId="165" fontId="0" fillId="24" borderId="167" xfId="0" applyNumberFormat="1" applyFill="1" applyBorder="1" applyAlignment="1">
      <alignment horizontal="center"/>
    </xf>
    <xf numFmtId="165" fontId="0" fillId="24" borderId="37" xfId="0" applyNumberFormat="1" applyFill="1" applyBorder="1" applyAlignment="1">
      <alignment horizontal="center"/>
    </xf>
    <xf numFmtId="165" fontId="4" fillId="0" borderId="0" xfId="0" applyNumberFormat="1" applyFont="1" applyBorder="1"/>
    <xf numFmtId="2" fontId="0" fillId="0" borderId="22" xfId="0" applyNumberFormat="1" applyBorder="1" applyAlignment="1" applyProtection="1">
      <alignment horizontal="center"/>
    </xf>
    <xf numFmtId="2" fontId="0" fillId="0" borderId="4" xfId="0" applyNumberFormat="1" applyBorder="1" applyAlignment="1" applyProtection="1">
      <alignment horizontal="center"/>
    </xf>
    <xf numFmtId="2" fontId="0" fillId="0" borderId="23" xfId="0" applyNumberFormat="1" applyBorder="1" applyAlignment="1" applyProtection="1">
      <alignment horizontal="center"/>
    </xf>
    <xf numFmtId="2" fontId="0" fillId="0" borderId="4" xfId="0" applyNumberFormat="1" applyBorder="1" applyAlignment="1" applyProtection="1">
      <alignment horizontal="center" vertical="center"/>
    </xf>
    <xf numFmtId="2" fontId="0" fillId="0" borderId="43" xfId="0" applyNumberFormat="1" applyBorder="1" applyAlignment="1" applyProtection="1">
      <alignment horizontal="center"/>
    </xf>
    <xf numFmtId="2" fontId="0" fillId="0" borderId="43" xfId="0" applyNumberFormat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2" fontId="0" fillId="0" borderId="40" xfId="0" applyNumberFormat="1" applyBorder="1" applyAlignment="1" applyProtection="1">
      <alignment horizontal="center"/>
    </xf>
    <xf numFmtId="165" fontId="0" fillId="0" borderId="0" xfId="0" applyNumberFormat="1" applyBorder="1"/>
    <xf numFmtId="165" fontId="0" fillId="0" borderId="0" xfId="0" applyNumberFormat="1" applyFill="1" applyBorder="1" applyAlignment="1">
      <alignment horizontal="center"/>
    </xf>
    <xf numFmtId="2" fontId="21" fillId="0" borderId="22" xfId="0" applyNumberFormat="1" applyFont="1" applyFill="1" applyBorder="1" applyAlignment="1" applyProtection="1">
      <alignment horizontal="center"/>
    </xf>
    <xf numFmtId="2" fontId="21" fillId="0" borderId="4" xfId="0" applyNumberFormat="1" applyFont="1" applyFill="1" applyBorder="1" applyAlignment="1" applyProtection="1">
      <alignment horizontal="center"/>
    </xf>
    <xf numFmtId="2" fontId="21" fillId="0" borderId="23" xfId="0" applyNumberFormat="1" applyFont="1" applyFill="1" applyBorder="1" applyAlignment="1" applyProtection="1">
      <alignment horizontal="center"/>
    </xf>
    <xf numFmtId="2" fontId="21" fillId="0" borderId="4" xfId="0" applyNumberFormat="1" applyFont="1" applyFill="1" applyBorder="1" applyAlignment="1" applyProtection="1">
      <alignment horizontal="center" vertical="center"/>
    </xf>
    <xf numFmtId="2" fontId="21" fillId="0" borderId="43" xfId="0" applyNumberFormat="1" applyFont="1" applyFill="1" applyBorder="1" applyAlignment="1" applyProtection="1">
      <alignment horizontal="center"/>
    </xf>
    <xf numFmtId="2" fontId="21" fillId="0" borderId="43" xfId="0" applyNumberFormat="1" applyFont="1" applyFill="1" applyBorder="1" applyAlignment="1" applyProtection="1">
      <alignment horizontal="center" vertical="center"/>
    </xf>
    <xf numFmtId="0" fontId="21" fillId="0" borderId="0" xfId="0" applyFont="1" applyFill="1" applyBorder="1" applyAlignment="1" applyProtection="1">
      <alignment horizontal="center"/>
    </xf>
    <xf numFmtId="2" fontId="0" fillId="0" borderId="158" xfId="0" applyNumberFormat="1" applyFill="1" applyBorder="1" applyAlignment="1" applyProtection="1">
      <alignment horizontal="center" vertical="center"/>
      <protection locked="0"/>
    </xf>
    <xf numFmtId="2" fontId="0" fillId="0" borderId="168" xfId="0" applyNumberFormat="1" applyFill="1" applyBorder="1" applyAlignment="1" applyProtection="1">
      <alignment horizontal="center" vertical="center"/>
      <protection locked="0"/>
    </xf>
    <xf numFmtId="2" fontId="0" fillId="0" borderId="168" xfId="0" applyNumberFormat="1" applyBorder="1" applyAlignment="1" applyProtection="1">
      <alignment horizontal="center" vertical="center"/>
      <protection locked="0"/>
    </xf>
    <xf numFmtId="2" fontId="0" fillId="0" borderId="169" xfId="0" applyNumberFormat="1" applyBorder="1" applyAlignment="1" applyProtection="1">
      <alignment horizontal="center" vertical="center"/>
      <protection locked="0"/>
    </xf>
    <xf numFmtId="2" fontId="0" fillId="0" borderId="158" xfId="0" applyNumberFormat="1" applyBorder="1" applyAlignment="1" applyProtection="1">
      <alignment horizontal="center" vertical="center"/>
      <protection locked="0"/>
    </xf>
    <xf numFmtId="2" fontId="0" fillId="0" borderId="151" xfId="0" applyNumberFormat="1" applyBorder="1" applyAlignment="1" applyProtection="1">
      <alignment horizontal="center" vertical="center"/>
      <protection locked="0"/>
    </xf>
    <xf numFmtId="2" fontId="0" fillId="0" borderId="170" xfId="0" applyNumberFormat="1" applyBorder="1" applyAlignment="1" applyProtection="1">
      <alignment horizontal="center" vertical="center"/>
      <protection locked="0"/>
    </xf>
    <xf numFmtId="2" fontId="0" fillId="0" borderId="45" xfId="0" applyNumberFormat="1" applyBorder="1" applyAlignment="1" applyProtection="1">
      <alignment horizontal="center" vertical="center"/>
      <protection locked="0"/>
    </xf>
    <xf numFmtId="2" fontId="0" fillId="0" borderId="130" xfId="0" applyNumberFormat="1" applyBorder="1" applyAlignment="1" applyProtection="1">
      <alignment horizontal="center" vertical="center"/>
      <protection locked="0"/>
    </xf>
    <xf numFmtId="2" fontId="0" fillId="0" borderId="42" xfId="0" applyNumberFormat="1" applyFill="1" applyBorder="1" applyAlignment="1" applyProtection="1">
      <alignment horizontal="center" vertical="center"/>
      <protection locked="0"/>
    </xf>
    <xf numFmtId="2" fontId="0" fillId="0" borderId="37" xfId="0" applyNumberFormat="1" applyBorder="1" applyAlignment="1" applyProtection="1">
      <alignment horizontal="center" vertical="center"/>
      <protection locked="0"/>
    </xf>
    <xf numFmtId="2" fontId="0" fillId="0" borderId="169" xfId="0" applyNumberFormat="1" applyFill="1" applyBorder="1" applyAlignment="1" applyProtection="1">
      <alignment horizontal="center" vertical="center"/>
      <protection locked="0"/>
    </xf>
    <xf numFmtId="2" fontId="0" fillId="0" borderId="151" xfId="0" applyNumberFormat="1" applyFill="1" applyBorder="1" applyAlignment="1" applyProtection="1">
      <alignment horizontal="center" vertical="center"/>
      <protection locked="0"/>
    </xf>
    <xf numFmtId="2" fontId="0" fillId="0" borderId="170" xfId="0" applyNumberFormat="1" applyFill="1" applyBorder="1" applyAlignment="1" applyProtection="1">
      <alignment horizontal="center" vertical="center"/>
      <protection locked="0"/>
    </xf>
    <xf numFmtId="2" fontId="0" fillId="0" borderId="12" xfId="0" applyNumberFormat="1" applyFill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 applyProtection="1">
      <alignment horizontal="center" vertical="center"/>
      <protection locked="0"/>
    </xf>
    <xf numFmtId="0" fontId="0" fillId="0" borderId="45" xfId="0" applyFill="1" applyBorder="1" applyAlignment="1">
      <alignment horizontal="center" vertical="center"/>
    </xf>
    <xf numFmtId="0" fontId="9" fillId="2" borderId="54" xfId="0" applyNumberFormat="1" applyFont="1" applyFill="1" applyBorder="1" applyAlignment="1">
      <alignment horizontal="center" vertical="center"/>
    </xf>
    <xf numFmtId="2" fontId="0" fillId="7" borderId="44" xfId="0" applyNumberFormat="1" applyFill="1" applyBorder="1" applyAlignment="1">
      <alignment horizontal="center" vertical="center"/>
    </xf>
    <xf numFmtId="14" fontId="0" fillId="0" borderId="0" xfId="0" applyNumberFormat="1"/>
    <xf numFmtId="164" fontId="4" fillId="14" borderId="94" xfId="0" applyNumberFormat="1" applyFont="1" applyFill="1" applyBorder="1" applyAlignment="1">
      <alignment horizontal="center" vertical="center" textRotation="90"/>
    </xf>
    <xf numFmtId="4" fontId="0" fillId="27" borderId="163" xfId="0" applyNumberFormat="1" applyFill="1" applyBorder="1" applyAlignment="1">
      <alignment horizontal="center"/>
    </xf>
    <xf numFmtId="4" fontId="0" fillId="27" borderId="164" xfId="0" applyNumberFormat="1" applyFill="1" applyBorder="1" applyAlignment="1">
      <alignment horizontal="center"/>
    </xf>
    <xf numFmtId="2" fontId="0" fillId="0" borderId="42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2" fontId="0" fillId="0" borderId="18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4" fontId="24" fillId="0" borderId="0" xfId="1" applyNumberFormat="1" applyFont="1" applyFill="1" applyBorder="1" applyAlignment="1">
      <alignment horizontal="center"/>
    </xf>
    <xf numFmtId="2" fontId="0" fillId="0" borderId="22" xfId="0" applyNumberFormat="1" applyBorder="1" applyAlignment="1" applyProtection="1">
      <alignment horizontal="center"/>
      <protection locked="0"/>
    </xf>
    <xf numFmtId="2" fontId="0" fillId="0" borderId="4" xfId="0" applyNumberFormat="1" applyBorder="1" applyAlignment="1" applyProtection="1">
      <alignment horizontal="center"/>
      <protection locked="0"/>
    </xf>
    <xf numFmtId="2" fontId="0" fillId="0" borderId="23" xfId="0" applyNumberFormat="1" applyBorder="1" applyAlignment="1" applyProtection="1">
      <alignment horizontal="center"/>
      <protection locked="0"/>
    </xf>
    <xf numFmtId="2" fontId="0" fillId="0" borderId="43" xfId="0" applyNumberFormat="1" applyBorder="1" applyAlignment="1" applyProtection="1">
      <alignment horizontal="center"/>
      <protection locked="0"/>
    </xf>
    <xf numFmtId="2" fontId="0" fillId="0" borderId="171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4" fontId="4" fillId="5" borderId="22" xfId="0" applyNumberFormat="1" applyFont="1" applyFill="1" applyBorder="1" applyAlignment="1">
      <alignment horizontal="center" vertical="center"/>
    </xf>
    <xf numFmtId="4" fontId="4" fillId="5" borderId="4" xfId="0" applyNumberFormat="1" applyFont="1" applyFill="1" applyBorder="1" applyAlignment="1">
      <alignment horizontal="center" vertical="center"/>
    </xf>
    <xf numFmtId="4" fontId="4" fillId="5" borderId="23" xfId="0" applyNumberFormat="1" applyFont="1" applyFill="1" applyBorder="1" applyAlignment="1">
      <alignment horizontal="center" vertical="center"/>
    </xf>
    <xf numFmtId="4" fontId="4" fillId="5" borderId="22" xfId="0" applyNumberFormat="1" applyFont="1" applyFill="1" applyBorder="1" applyAlignment="1">
      <alignment horizontal="center"/>
    </xf>
    <xf numFmtId="4" fontId="4" fillId="5" borderId="4" xfId="0" applyNumberFormat="1" applyFont="1" applyFill="1" applyBorder="1" applyAlignment="1">
      <alignment horizontal="center"/>
    </xf>
    <xf numFmtId="4" fontId="4" fillId="5" borderId="40" xfId="0" applyNumberFormat="1" applyFont="1" applyFill="1" applyBorder="1" applyAlignment="1">
      <alignment horizontal="center"/>
    </xf>
    <xf numFmtId="4" fontId="4" fillId="5" borderId="23" xfId="0" applyNumberFormat="1" applyFont="1" applyFill="1" applyBorder="1" applyAlignment="1">
      <alignment horizontal="center"/>
    </xf>
    <xf numFmtId="4" fontId="4" fillId="5" borderId="43" xfId="0" applyNumberFormat="1" applyFont="1" applyFill="1" applyBorder="1" applyAlignment="1">
      <alignment horizontal="center"/>
    </xf>
    <xf numFmtId="4" fontId="4" fillId="7" borderId="43" xfId="0" applyNumberFormat="1" applyFont="1" applyFill="1" applyBorder="1" applyAlignment="1">
      <alignment horizontal="center" vertical="center"/>
    </xf>
    <xf numFmtId="2" fontId="0" fillId="0" borderId="33" xfId="0" applyNumberFormat="1" applyFill="1" applyBorder="1" applyAlignment="1" applyProtection="1">
      <alignment horizontal="center" vertical="center"/>
      <protection locked="0"/>
    </xf>
    <xf numFmtId="2" fontId="0" fillId="0" borderId="34" xfId="0" applyNumberFormat="1" applyBorder="1" applyAlignment="1" applyProtection="1">
      <alignment horizontal="center" vertical="center"/>
      <protection locked="0"/>
    </xf>
    <xf numFmtId="2" fontId="0" fillId="0" borderId="35" xfId="0" applyNumberFormat="1" applyBorder="1" applyAlignment="1" applyProtection="1">
      <alignment horizontal="center" vertical="center"/>
      <protection locked="0"/>
    </xf>
    <xf numFmtId="2" fontId="0" fillId="0" borderId="172" xfId="0" applyNumberFormat="1" applyBorder="1" applyAlignment="1" applyProtection="1">
      <alignment horizontal="center" vertical="center"/>
      <protection locked="0"/>
    </xf>
    <xf numFmtId="2" fontId="0" fillId="0" borderId="34" xfId="0" applyNumberFormat="1" applyFill="1" applyBorder="1" applyAlignment="1" applyProtection="1">
      <alignment horizontal="center" vertical="center"/>
      <protection locked="0"/>
    </xf>
    <xf numFmtId="2" fontId="0" fillId="0" borderId="38" xfId="0" applyNumberFormat="1" applyBorder="1" applyAlignment="1" applyProtection="1">
      <alignment horizontal="center" vertical="center"/>
      <protection locked="0"/>
    </xf>
    <xf numFmtId="2" fontId="0" fillId="0" borderId="33" xfId="0" applyNumberFormat="1" applyBorder="1" applyAlignment="1" applyProtection="1">
      <alignment horizontal="center" vertical="center"/>
      <protection locked="0"/>
    </xf>
    <xf numFmtId="2" fontId="0" fillId="0" borderId="63" xfId="0" applyNumberFormat="1" applyBorder="1" applyAlignment="1" applyProtection="1">
      <alignment horizontal="center" vertical="center"/>
      <protection locked="0"/>
    </xf>
    <xf numFmtId="2" fontId="0" fillId="0" borderId="65" xfId="0" applyNumberFormat="1" applyBorder="1" applyAlignment="1" applyProtection="1">
      <alignment horizontal="center" vertical="center"/>
      <protection locked="0"/>
    </xf>
    <xf numFmtId="2" fontId="0" fillId="0" borderId="44" xfId="0" applyNumberFormat="1" applyFill="1" applyBorder="1" applyAlignment="1" applyProtection="1">
      <alignment horizontal="center" vertical="center"/>
      <protection locked="0"/>
    </xf>
    <xf numFmtId="2" fontId="0" fillId="0" borderId="44" xfId="0" applyNumberFormat="1" applyBorder="1" applyAlignment="1">
      <alignment horizontal="center"/>
    </xf>
    <xf numFmtId="2" fontId="0" fillId="0" borderId="44" xfId="0" applyNumberFormat="1" applyBorder="1" applyAlignment="1" applyProtection="1">
      <alignment horizontal="center" vertical="center"/>
      <protection locked="0"/>
    </xf>
    <xf numFmtId="2" fontId="0" fillId="0" borderId="147" xfId="0" applyNumberFormat="1" applyBorder="1" applyAlignment="1" applyProtection="1">
      <alignment horizontal="center" vertical="center"/>
      <protection locked="0"/>
    </xf>
    <xf numFmtId="2" fontId="0" fillId="0" borderId="76" xfId="0" applyNumberFormat="1" applyBorder="1" applyAlignment="1" applyProtection="1">
      <alignment horizontal="center" vertical="center"/>
      <protection locked="0"/>
    </xf>
    <xf numFmtId="2" fontId="0" fillId="0" borderId="173" xfId="0" applyNumberFormat="1" applyBorder="1" applyAlignment="1" applyProtection="1">
      <alignment horizontal="center" vertical="center"/>
      <protection locked="0"/>
    </xf>
    <xf numFmtId="2" fontId="0" fillId="0" borderId="15" xfId="0" applyNumberFormat="1" applyFill="1" applyBorder="1" applyAlignment="1" applyProtection="1">
      <alignment horizontal="center" vertical="center"/>
      <protection locked="0"/>
    </xf>
    <xf numFmtId="2" fontId="0" fillId="0" borderId="15" xfId="0" applyNumberFormat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0" fontId="0" fillId="0" borderId="42" xfId="0" applyBorder="1" applyAlignment="1">
      <alignment horizontal="center"/>
    </xf>
    <xf numFmtId="172" fontId="0" fillId="0" borderId="96" xfId="0" applyNumberFormat="1" applyFill="1" applyBorder="1" applyAlignment="1" applyProtection="1">
      <alignment horizontal="right"/>
    </xf>
    <xf numFmtId="172" fontId="0" fillId="0" borderId="0" xfId="0" applyNumberFormat="1" applyAlignment="1">
      <alignment horizontal="right" vertical="center"/>
    </xf>
    <xf numFmtId="0" fontId="16" fillId="0" borderId="153" xfId="0" applyFont="1" applyBorder="1" applyAlignment="1">
      <alignment horizontal="center" vertical="center" textRotation="75"/>
    </xf>
    <xf numFmtId="0" fontId="16" fillId="0" borderId="158" xfId="0" applyFont="1" applyBorder="1" applyAlignment="1">
      <alignment horizontal="center" vertical="center" textRotation="75"/>
    </xf>
    <xf numFmtId="0" fontId="16" fillId="0" borderId="62" xfId="0" applyFont="1" applyBorder="1" applyAlignment="1">
      <alignment horizontal="center" vertical="center" textRotation="75"/>
    </xf>
    <xf numFmtId="0" fontId="0" fillId="0" borderId="162" xfId="0" applyBorder="1" applyAlignment="1"/>
    <xf numFmtId="0" fontId="16" fillId="0" borderId="150" xfId="0" applyFont="1" applyBorder="1" applyAlignment="1">
      <alignment horizontal="center" vertical="center" textRotation="75"/>
    </xf>
    <xf numFmtId="0" fontId="16" fillId="0" borderId="151" xfId="0" applyFont="1" applyBorder="1" applyAlignment="1">
      <alignment horizontal="center" vertical="center" textRotation="75"/>
    </xf>
    <xf numFmtId="0" fontId="0" fillId="0" borderId="152" xfId="0" applyBorder="1" applyAlignment="1"/>
    <xf numFmtId="0" fontId="16" fillId="0" borderId="6" xfId="0" applyFont="1" applyBorder="1" applyAlignment="1">
      <alignment horizontal="center" vertical="center" textRotation="75"/>
    </xf>
    <xf numFmtId="0" fontId="16" fillId="0" borderId="31" xfId="0" applyFont="1" applyBorder="1" applyAlignment="1">
      <alignment horizontal="center" vertical="center" textRotation="75"/>
    </xf>
    <xf numFmtId="0" fontId="16" fillId="0" borderId="12" xfId="0" applyFont="1" applyBorder="1" applyAlignment="1">
      <alignment horizontal="center" vertical="center" textRotation="75"/>
    </xf>
    <xf numFmtId="1" fontId="14" fillId="0" borderId="55" xfId="0" applyNumberFormat="1" applyFont="1" applyBorder="1" applyAlignment="1">
      <alignment horizontal="center" vertical="center"/>
    </xf>
    <xf numFmtId="1" fontId="14" fillId="0" borderId="56" xfId="0" applyNumberFormat="1" applyFont="1" applyBorder="1" applyAlignment="1">
      <alignment horizontal="center" vertical="center"/>
    </xf>
    <xf numFmtId="0" fontId="4" fillId="12" borderId="63" xfId="0" applyFont="1" applyFill="1" applyBorder="1" applyAlignment="1">
      <alignment horizontal="center" vertical="center"/>
    </xf>
    <xf numFmtId="0" fontId="4" fillId="12" borderId="74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66" xfId="0" applyFont="1" applyBorder="1" applyAlignment="1">
      <alignment horizontal="left" vertical="center"/>
    </xf>
    <xf numFmtId="0" fontId="14" fillId="0" borderId="92" xfId="0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14" borderId="86" xfId="0" applyFont="1" applyFill="1" applyBorder="1" applyAlignment="1">
      <alignment horizontal="center" vertical="center"/>
    </xf>
    <xf numFmtId="0" fontId="15" fillId="14" borderId="87" xfId="0" applyFont="1" applyFill="1" applyBorder="1" applyAlignment="1">
      <alignment horizontal="center" vertical="center"/>
    </xf>
    <xf numFmtId="0" fontId="15" fillId="14" borderId="102" xfId="0" applyFont="1" applyFill="1" applyBorder="1" applyAlignment="1">
      <alignment horizontal="center" vertical="center"/>
    </xf>
    <xf numFmtId="0" fontId="15" fillId="9" borderId="86" xfId="0" applyFont="1" applyFill="1" applyBorder="1" applyAlignment="1">
      <alignment horizontal="center" vertical="center"/>
    </xf>
    <xf numFmtId="0" fontId="15" fillId="9" borderId="87" xfId="0" applyFont="1" applyFill="1" applyBorder="1" applyAlignment="1">
      <alignment horizontal="center" vertical="center"/>
    </xf>
    <xf numFmtId="0" fontId="15" fillId="9" borderId="88" xfId="0" applyFont="1" applyFill="1" applyBorder="1" applyAlignment="1">
      <alignment horizontal="center" vertical="center"/>
    </xf>
    <xf numFmtId="0" fontId="15" fillId="11" borderId="86" xfId="0" applyFont="1" applyFill="1" applyBorder="1" applyAlignment="1">
      <alignment horizontal="center" vertical="center"/>
    </xf>
    <xf numFmtId="0" fontId="15" fillId="11" borderId="87" xfId="0" applyFont="1" applyFill="1" applyBorder="1" applyAlignment="1">
      <alignment horizontal="center" vertical="center"/>
    </xf>
    <xf numFmtId="0" fontId="15" fillId="11" borderId="88" xfId="0" applyFont="1" applyFill="1" applyBorder="1" applyAlignment="1">
      <alignment horizontal="center" vertical="center"/>
    </xf>
    <xf numFmtId="0" fontId="15" fillId="2" borderId="86" xfId="0" applyFont="1" applyFill="1" applyBorder="1" applyAlignment="1">
      <alignment horizontal="center" vertical="center"/>
    </xf>
    <xf numFmtId="0" fontId="15" fillId="2" borderId="87" xfId="0" applyFont="1" applyFill="1" applyBorder="1" applyAlignment="1">
      <alignment horizontal="center" vertical="center"/>
    </xf>
    <xf numFmtId="0" fontId="15" fillId="2" borderId="88" xfId="0" applyFont="1" applyFill="1" applyBorder="1" applyAlignment="1">
      <alignment horizontal="center" vertical="center"/>
    </xf>
    <xf numFmtId="0" fontId="15" fillId="8" borderId="67" xfId="0" applyFont="1" applyFill="1" applyBorder="1" applyAlignment="1">
      <alignment horizontal="center" vertical="center"/>
    </xf>
    <xf numFmtId="0" fontId="15" fillId="8" borderId="60" xfId="0" applyFont="1" applyFill="1" applyBorder="1" applyAlignment="1">
      <alignment horizontal="center" vertical="center"/>
    </xf>
    <xf numFmtId="0" fontId="15" fillId="8" borderId="68" xfId="0" applyFont="1" applyFill="1" applyBorder="1" applyAlignment="1">
      <alignment horizontal="center" vertical="center"/>
    </xf>
    <xf numFmtId="0" fontId="15" fillId="10" borderId="86" xfId="0" applyFont="1" applyFill="1" applyBorder="1" applyAlignment="1">
      <alignment horizontal="center" vertical="center" wrapText="1"/>
    </xf>
    <xf numFmtId="0" fontId="15" fillId="10" borderId="88" xfId="0" applyFont="1" applyFill="1" applyBorder="1" applyAlignment="1">
      <alignment horizontal="center" vertical="center" wrapText="1"/>
    </xf>
    <xf numFmtId="0" fontId="15" fillId="14" borderId="86" xfId="0" applyFont="1" applyFill="1" applyBorder="1" applyAlignment="1">
      <alignment horizontal="center" vertical="center" wrapText="1"/>
    </xf>
    <xf numFmtId="0" fontId="15" fillId="14" borderId="87" xfId="0" applyFont="1" applyFill="1" applyBorder="1" applyAlignment="1">
      <alignment horizontal="center" vertical="center" wrapText="1"/>
    </xf>
    <xf numFmtId="0" fontId="15" fillId="14" borderId="88" xfId="0" applyFont="1" applyFill="1" applyBorder="1" applyAlignment="1">
      <alignment horizontal="center" vertical="center" wrapText="1"/>
    </xf>
    <xf numFmtId="0" fontId="15" fillId="7" borderId="94" xfId="0" applyFont="1" applyFill="1" applyBorder="1" applyAlignment="1">
      <alignment horizontal="center" vertical="center" wrapText="1"/>
    </xf>
    <xf numFmtId="0" fontId="15" fillId="7" borderId="95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15" fillId="7" borderId="96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0" fontId="15" fillId="7" borderId="100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15" fillId="7" borderId="103" xfId="0" applyFont="1" applyFill="1" applyBorder="1" applyAlignment="1">
      <alignment horizontal="center" vertical="center" wrapText="1"/>
    </xf>
    <xf numFmtId="0" fontId="4" fillId="19" borderId="107" xfId="0" applyFont="1" applyFill="1" applyBorder="1" applyAlignment="1">
      <alignment horizontal="center" vertical="center" wrapText="1"/>
    </xf>
    <xf numFmtId="0" fontId="4" fillId="19" borderId="32" xfId="0" applyFont="1" applyFill="1" applyBorder="1" applyAlignment="1">
      <alignment horizontal="center" vertical="center" wrapText="1"/>
    </xf>
    <xf numFmtId="0" fontId="4" fillId="20" borderId="107" xfId="0" applyFont="1" applyFill="1" applyBorder="1" applyAlignment="1">
      <alignment horizontal="center" vertical="center" wrapText="1"/>
    </xf>
    <xf numFmtId="0" fontId="4" fillId="20" borderId="32" xfId="0" applyFont="1" applyFill="1" applyBorder="1" applyAlignment="1">
      <alignment horizontal="center" vertical="center" wrapText="1"/>
    </xf>
    <xf numFmtId="1" fontId="14" fillId="0" borderId="86" xfId="0" applyNumberFormat="1" applyFont="1" applyBorder="1" applyAlignment="1">
      <alignment horizontal="center" vertical="center"/>
    </xf>
    <xf numFmtId="1" fontId="14" fillId="0" borderId="88" xfId="0" applyNumberFormat="1" applyFont="1" applyBorder="1" applyAlignment="1">
      <alignment horizontal="center" vertical="center"/>
    </xf>
    <xf numFmtId="0" fontId="14" fillId="0" borderId="94" xfId="0" applyFont="1" applyBorder="1" applyAlignment="1">
      <alignment horizontal="left" vertical="center"/>
    </xf>
    <xf numFmtId="0" fontId="14" fillId="0" borderId="95" xfId="0" applyFont="1" applyBorder="1" applyAlignment="1">
      <alignment horizontal="left" vertical="center"/>
    </xf>
    <xf numFmtId="0" fontId="14" fillId="0" borderId="87" xfId="0" applyFont="1" applyBorder="1" applyAlignment="1">
      <alignment horizontal="left" vertical="center"/>
    </xf>
    <xf numFmtId="0" fontId="14" fillId="0" borderId="88" xfId="0" applyFont="1" applyBorder="1" applyAlignment="1">
      <alignment horizontal="left" vertical="center"/>
    </xf>
    <xf numFmtId="0" fontId="0" fillId="0" borderId="96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9" borderId="97" xfId="0" applyFont="1" applyFill="1" applyBorder="1" applyAlignment="1">
      <alignment horizontal="center" vertical="center"/>
    </xf>
    <xf numFmtId="0" fontId="15" fillId="9" borderId="95" xfId="0" applyFont="1" applyFill="1" applyBorder="1" applyAlignment="1">
      <alignment horizontal="center" vertical="center"/>
    </xf>
    <xf numFmtId="0" fontId="15" fillId="9" borderId="98" xfId="0" applyFont="1" applyFill="1" applyBorder="1" applyAlignment="1">
      <alignment horizontal="center" vertical="center"/>
    </xf>
    <xf numFmtId="0" fontId="15" fillId="11" borderId="99" xfId="0" applyFont="1" applyFill="1" applyBorder="1" applyAlignment="1">
      <alignment horizontal="center" vertical="center"/>
    </xf>
    <xf numFmtId="0" fontId="15" fillId="11" borderId="95" xfId="0" applyFont="1" applyFill="1" applyBorder="1" applyAlignment="1">
      <alignment horizontal="center" vertical="center"/>
    </xf>
    <xf numFmtId="0" fontId="15" fillId="11" borderId="98" xfId="0" applyFont="1" applyFill="1" applyBorder="1" applyAlignment="1">
      <alignment horizontal="center" vertical="center"/>
    </xf>
    <xf numFmtId="0" fontId="15" fillId="10" borderId="0" xfId="0" applyFont="1" applyFill="1" applyBorder="1" applyAlignment="1">
      <alignment horizontal="center" vertical="center" wrapText="1"/>
    </xf>
    <xf numFmtId="0" fontId="15" fillId="10" borderId="100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103" xfId="0" applyFont="1" applyFill="1" applyBorder="1" applyAlignment="1">
      <alignment horizontal="center" vertical="center" wrapText="1"/>
    </xf>
    <xf numFmtId="0" fontId="15" fillId="14" borderId="94" xfId="0" applyFont="1" applyFill="1" applyBorder="1" applyAlignment="1">
      <alignment horizontal="center" vertical="center" wrapText="1"/>
    </xf>
    <xf numFmtId="0" fontId="15" fillId="14" borderId="95" xfId="0" applyFont="1" applyFill="1" applyBorder="1" applyAlignment="1">
      <alignment horizontal="center" vertical="center" wrapText="1"/>
    </xf>
    <xf numFmtId="0" fontId="15" fillId="14" borderId="101" xfId="0" applyFont="1" applyFill="1" applyBorder="1" applyAlignment="1">
      <alignment horizontal="center" vertical="center" wrapText="1"/>
    </xf>
    <xf numFmtId="0" fontId="15" fillId="14" borderId="104" xfId="0" applyFont="1" applyFill="1" applyBorder="1" applyAlignment="1">
      <alignment horizontal="center" vertical="center" wrapText="1"/>
    </xf>
    <xf numFmtId="0" fontId="15" fillId="14" borderId="5" xfId="0" applyFont="1" applyFill="1" applyBorder="1" applyAlignment="1">
      <alignment horizontal="center" vertical="center" wrapText="1"/>
    </xf>
    <xf numFmtId="0" fontId="15" fillId="14" borderId="103" xfId="0" applyFont="1" applyFill="1" applyBorder="1" applyAlignment="1">
      <alignment horizontal="center" vertical="center" wrapText="1"/>
    </xf>
    <xf numFmtId="0" fontId="15" fillId="8" borderId="86" xfId="0" applyFont="1" applyFill="1" applyBorder="1" applyAlignment="1">
      <alignment horizontal="center" vertical="center"/>
    </xf>
    <xf numFmtId="0" fontId="15" fillId="8" borderId="87" xfId="0" applyFont="1" applyFill="1" applyBorder="1" applyAlignment="1">
      <alignment horizontal="center" vertical="center"/>
    </xf>
    <xf numFmtId="0" fontId="15" fillId="8" borderId="102" xfId="0" applyFont="1" applyFill="1" applyBorder="1" applyAlignment="1">
      <alignment horizontal="center" vertical="center"/>
    </xf>
    <xf numFmtId="0" fontId="4" fillId="13" borderId="116" xfId="0" applyFont="1" applyFill="1" applyBorder="1" applyAlignment="1">
      <alignment horizontal="center" vertical="center"/>
    </xf>
    <xf numFmtId="0" fontId="4" fillId="13" borderId="134" xfId="0" applyFont="1" applyFill="1" applyBorder="1" applyAlignment="1">
      <alignment horizontal="center" vertical="center"/>
    </xf>
    <xf numFmtId="1" fontId="14" fillId="0" borderId="87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166" fontId="0" fillId="10" borderId="97" xfId="0" applyNumberFormat="1" applyFill="1" applyBorder="1" applyAlignment="1">
      <alignment horizontal="center"/>
    </xf>
    <xf numFmtId="0" fontId="0" fillId="0" borderId="87" xfId="0" applyBorder="1"/>
    <xf numFmtId="166" fontId="0" fillId="10" borderId="86" xfId="0" applyNumberFormat="1" applyFill="1" applyBorder="1" applyAlignment="1">
      <alignment horizontal="center"/>
    </xf>
    <xf numFmtId="166" fontId="0" fillId="10" borderId="87" xfId="0" applyNumberFormat="1" applyFill="1" applyBorder="1" applyAlignment="1">
      <alignment horizontal="center"/>
    </xf>
    <xf numFmtId="0" fontId="15" fillId="11" borderId="97" xfId="0" applyFont="1" applyFill="1" applyBorder="1" applyAlignment="1">
      <alignment horizontal="center" vertical="center"/>
    </xf>
    <xf numFmtId="0" fontId="4" fillId="12" borderId="105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  <xf numFmtId="0" fontId="4" fillId="12" borderId="107" xfId="0" applyFont="1" applyFill="1" applyBorder="1" applyAlignment="1">
      <alignment horizontal="center" vertical="center" wrapText="1"/>
    </xf>
    <xf numFmtId="0" fontId="4" fillId="12" borderId="32" xfId="0" applyFont="1" applyFill="1" applyBorder="1" applyAlignment="1">
      <alignment horizontal="center" vertical="center" wrapText="1"/>
    </xf>
    <xf numFmtId="0" fontId="4" fillId="18" borderId="107" xfId="0" applyFont="1" applyFill="1" applyBorder="1" applyAlignment="1">
      <alignment horizontal="center" vertical="center" wrapText="1"/>
    </xf>
    <xf numFmtId="0" fontId="4" fillId="18" borderId="32" xfId="0" applyFont="1" applyFill="1" applyBorder="1" applyAlignment="1">
      <alignment horizontal="center" vertical="center" wrapText="1"/>
    </xf>
    <xf numFmtId="166" fontId="0" fillId="10" borderId="88" xfId="0" applyNumberFormat="1" applyFill="1" applyBorder="1" applyAlignment="1">
      <alignment horizontal="center"/>
    </xf>
    <xf numFmtId="166" fontId="0" fillId="21" borderId="86" xfId="0" applyNumberFormat="1" applyFill="1" applyBorder="1" applyAlignment="1">
      <alignment horizontal="center"/>
    </xf>
    <xf numFmtId="166" fontId="0" fillId="21" borderId="87" xfId="0" applyNumberFormat="1" applyFill="1" applyBorder="1" applyAlignment="1">
      <alignment horizontal="center"/>
    </xf>
    <xf numFmtId="0" fontId="0" fillId="0" borderId="60" xfId="0" applyBorder="1" applyAlignment="1">
      <alignment horizontal="center"/>
    </xf>
    <xf numFmtId="1" fontId="16" fillId="22" borderId="105" xfId="0" applyNumberFormat="1" applyFont="1" applyFill="1" applyBorder="1" applyAlignment="1">
      <alignment horizontal="center"/>
    </xf>
    <xf numFmtId="0" fontId="16" fillId="22" borderId="1" xfId="0" applyFont="1" applyFill="1" applyBorder="1" applyAlignment="1">
      <alignment horizontal="center"/>
    </xf>
    <xf numFmtId="0" fontId="16" fillId="22" borderId="125" xfId="0" applyFont="1" applyFill="1" applyBorder="1" applyAlignment="1">
      <alignment horizontal="center"/>
    </xf>
    <xf numFmtId="0" fontId="16" fillId="24" borderId="127" xfId="0" applyFont="1" applyFill="1" applyBorder="1" applyAlignment="1">
      <alignment horizontal="left" vertical="center"/>
    </xf>
    <xf numFmtId="0" fontId="16" fillId="24" borderId="128" xfId="0" applyFont="1" applyFill="1" applyBorder="1" applyAlignment="1">
      <alignment horizontal="left" vertical="center"/>
    </xf>
    <xf numFmtId="0" fontId="0" fillId="24" borderId="36" xfId="0" applyFill="1" applyBorder="1" applyAlignment="1">
      <alignment horizontal="center"/>
    </xf>
    <xf numFmtId="0" fontId="0" fillId="24" borderId="127" xfId="0" applyFill="1" applyBorder="1" applyAlignment="1">
      <alignment horizontal="center"/>
    </xf>
    <xf numFmtId="0" fontId="0" fillId="24" borderId="128" xfId="0" applyFill="1" applyBorder="1" applyAlignment="1">
      <alignment horizontal="center"/>
    </xf>
    <xf numFmtId="0" fontId="4" fillId="12" borderId="37" xfId="0" applyFont="1" applyFill="1" applyBorder="1" applyAlignment="1">
      <alignment horizontal="center" vertical="center" wrapText="1"/>
    </xf>
    <xf numFmtId="0" fontId="4" fillId="18" borderId="37" xfId="0" applyFont="1" applyFill="1" applyBorder="1" applyAlignment="1">
      <alignment horizontal="center" vertical="center" wrapText="1"/>
    </xf>
    <xf numFmtId="0" fontId="4" fillId="13" borderId="117" xfId="0" applyFont="1" applyFill="1" applyBorder="1" applyAlignment="1">
      <alignment horizontal="center" vertical="center"/>
    </xf>
    <xf numFmtId="0" fontId="4" fillId="0" borderId="95" xfId="0" applyFont="1" applyFill="1" applyBorder="1" applyAlignment="1">
      <alignment horizontal="center" vertical="center"/>
    </xf>
    <xf numFmtId="0" fontId="4" fillId="0" borderId="98" xfId="0" applyFont="1" applyFill="1" applyBorder="1" applyAlignment="1">
      <alignment horizontal="center" vertical="center"/>
    </xf>
    <xf numFmtId="166" fontId="0" fillId="10" borderId="121" xfId="0" applyNumberFormat="1" applyFill="1" applyBorder="1" applyAlignment="1">
      <alignment horizontal="center"/>
    </xf>
    <xf numFmtId="0" fontId="0" fillId="0" borderId="122" xfId="0" applyBorder="1"/>
    <xf numFmtId="166" fontId="0" fillId="10" borderId="83" xfId="0" applyNumberFormat="1" applyFill="1" applyBorder="1" applyAlignment="1">
      <alignment horizontal="center"/>
    </xf>
    <xf numFmtId="166" fontId="0" fillId="10" borderId="122" xfId="0" applyNumberFormat="1" applyFill="1" applyBorder="1" applyAlignment="1">
      <alignment horizontal="center"/>
    </xf>
    <xf numFmtId="166" fontId="0" fillId="10" borderId="95" xfId="0" applyNumberFormat="1" applyFill="1" applyBorder="1" applyAlignment="1">
      <alignment horizontal="center"/>
    </xf>
    <xf numFmtId="166" fontId="0" fillId="10" borderId="101" xfId="0" applyNumberFormat="1" applyFill="1" applyBorder="1" applyAlignment="1">
      <alignment horizontal="center"/>
    </xf>
    <xf numFmtId="166" fontId="0" fillId="0" borderId="94" xfId="0" applyNumberFormat="1" applyFill="1" applyBorder="1" applyAlignment="1">
      <alignment horizontal="center"/>
    </xf>
    <xf numFmtId="166" fontId="0" fillId="0" borderId="95" xfId="0" applyNumberFormat="1" applyFill="1" applyBorder="1" applyAlignment="1">
      <alignment horizontal="center"/>
    </xf>
    <xf numFmtId="0" fontId="0" fillId="12" borderId="36" xfId="0" applyFill="1" applyBorder="1" applyAlignment="1">
      <alignment horizontal="center"/>
    </xf>
    <xf numFmtId="0" fontId="0" fillId="12" borderId="127" xfId="0" applyFill="1" applyBorder="1" applyAlignment="1">
      <alignment horizontal="center"/>
    </xf>
    <xf numFmtId="0" fontId="0" fillId="12" borderId="128" xfId="0" applyFill="1" applyBorder="1" applyAlignment="1">
      <alignment horizontal="center"/>
    </xf>
    <xf numFmtId="0" fontId="0" fillId="19" borderId="36" xfId="0" applyFill="1" applyBorder="1" applyAlignment="1">
      <alignment horizontal="center"/>
    </xf>
    <xf numFmtId="0" fontId="0" fillId="19" borderId="127" xfId="0" applyFill="1" applyBorder="1" applyAlignment="1">
      <alignment horizontal="center"/>
    </xf>
    <xf numFmtId="0" fontId="0" fillId="19" borderId="129" xfId="0" applyFill="1" applyBorder="1" applyAlignment="1">
      <alignment horizontal="center"/>
    </xf>
    <xf numFmtId="0" fontId="4" fillId="22" borderId="90" xfId="0" applyFont="1" applyFill="1" applyBorder="1" applyAlignment="1">
      <alignment horizontal="center"/>
    </xf>
    <xf numFmtId="0" fontId="4" fillId="22" borderId="130" xfId="0" applyFont="1" applyFill="1" applyBorder="1" applyAlignment="1">
      <alignment horizontal="center"/>
    </xf>
    <xf numFmtId="0" fontId="0" fillId="22" borderId="30" xfId="0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22" borderId="64" xfId="0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40" xfId="0" applyFill="1" applyBorder="1" applyAlignment="1">
      <alignment horizontal="center"/>
    </xf>
    <xf numFmtId="0" fontId="0" fillId="22" borderId="131" xfId="0" applyFill="1" applyBorder="1" applyAlignment="1">
      <alignment horizontal="center"/>
    </xf>
    <xf numFmtId="0" fontId="4" fillId="24" borderId="107" xfId="0" applyFont="1" applyFill="1" applyBorder="1" applyAlignment="1">
      <alignment horizontal="left"/>
    </xf>
    <xf numFmtId="0" fontId="4" fillId="24" borderId="30" xfId="0" applyFont="1" applyFill="1" applyBorder="1" applyAlignment="1">
      <alignment horizontal="left"/>
    </xf>
    <xf numFmtId="165" fontId="0" fillId="22" borderId="30" xfId="0" applyNumberFormat="1" applyFill="1" applyBorder="1" applyAlignment="1">
      <alignment horizontal="center"/>
    </xf>
    <xf numFmtId="0" fontId="4" fillId="22" borderId="107" xfId="0" applyFont="1" applyFill="1" applyBorder="1" applyAlignment="1">
      <alignment horizontal="left"/>
    </xf>
    <xf numFmtId="0" fontId="4" fillId="22" borderId="30" xfId="0" applyFont="1" applyFill="1" applyBorder="1" applyAlignment="1">
      <alignment horizontal="left"/>
    </xf>
    <xf numFmtId="168" fontId="0" fillId="22" borderId="30" xfId="0" applyNumberFormat="1" applyFill="1" applyBorder="1" applyAlignment="1">
      <alignment horizontal="center"/>
    </xf>
    <xf numFmtId="166" fontId="0" fillId="22" borderId="30" xfId="0" applyNumberFormat="1" applyFill="1" applyBorder="1" applyAlignment="1">
      <alignment horizontal="center"/>
    </xf>
    <xf numFmtId="166" fontId="0" fillId="22" borderId="37" xfId="0" applyNumberFormat="1" applyFill="1" applyBorder="1" applyAlignment="1">
      <alignment horizontal="center"/>
    </xf>
    <xf numFmtId="1" fontId="0" fillId="22" borderId="30" xfId="0" applyNumberFormat="1" applyFill="1" applyBorder="1" applyAlignment="1">
      <alignment horizontal="center"/>
    </xf>
    <xf numFmtId="2" fontId="0" fillId="22" borderId="37" xfId="0" applyNumberFormat="1" applyFill="1" applyBorder="1" applyAlignment="1">
      <alignment horizontal="center"/>
    </xf>
    <xf numFmtId="2" fontId="0" fillId="22" borderId="130" xfId="0" applyNumberFormat="1" applyFill="1" applyBorder="1" applyAlignment="1">
      <alignment horizontal="center"/>
    </xf>
    <xf numFmtId="167" fontId="0" fillId="22" borderId="30" xfId="0" applyNumberFormat="1" applyFill="1" applyBorder="1" applyAlignment="1">
      <alignment horizontal="center"/>
    </xf>
    <xf numFmtId="164" fontId="4" fillId="7" borderId="114" xfId="0" applyNumberFormat="1" applyFont="1" applyFill="1" applyBorder="1" applyAlignment="1">
      <alignment horizontal="center" vertical="center" textRotation="180"/>
    </xf>
    <xf numFmtId="164" fontId="4" fillId="7" borderId="115" xfId="0" applyNumberFormat="1" applyFont="1" applyFill="1" applyBorder="1" applyAlignment="1">
      <alignment horizontal="center" vertical="center" textRotation="180"/>
    </xf>
    <xf numFmtId="164" fontId="4" fillId="7" borderId="112" xfId="0" applyNumberFormat="1" applyFont="1" applyFill="1" applyBorder="1" applyAlignment="1">
      <alignment horizontal="center" vertical="center" textRotation="180"/>
    </xf>
    <xf numFmtId="0" fontId="4" fillId="22" borderId="132" xfId="0" applyFont="1" applyFill="1" applyBorder="1" applyAlignment="1">
      <alignment horizontal="left"/>
    </xf>
    <xf numFmtId="0" fontId="4" fillId="22" borderId="3" xfId="0" applyFont="1" applyFill="1" applyBorder="1" applyAlignment="1">
      <alignment horizontal="left"/>
    </xf>
    <xf numFmtId="168" fontId="0" fillId="22" borderId="3" xfId="0" applyNumberForma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166" fontId="0" fillId="22" borderId="3" xfId="0" applyNumberFormat="1" applyFill="1" applyBorder="1" applyAlignment="1">
      <alignment horizontal="center"/>
    </xf>
    <xf numFmtId="166" fontId="0" fillId="22" borderId="39" xfId="0" applyNumberFormat="1" applyFill="1" applyBorder="1" applyAlignment="1">
      <alignment horizontal="center"/>
    </xf>
    <xf numFmtId="1" fontId="0" fillId="22" borderId="3" xfId="0" applyNumberFormat="1" applyFill="1" applyBorder="1" applyAlignment="1">
      <alignment horizontal="center"/>
    </xf>
    <xf numFmtId="2" fontId="0" fillId="22" borderId="39" xfId="0" applyNumberFormat="1" applyFill="1" applyBorder="1" applyAlignment="1">
      <alignment horizontal="center"/>
    </xf>
    <xf numFmtId="2" fontId="0" fillId="22" borderId="26" xfId="0" applyNumberFormat="1" applyFill="1" applyBorder="1" applyAlignment="1">
      <alignment horizontal="center"/>
    </xf>
    <xf numFmtId="167" fontId="0" fillId="22" borderId="3" xfId="0" applyNumberFormat="1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165" fontId="0" fillId="22" borderId="3" xfId="0" applyNumberFormat="1" applyFill="1" applyBorder="1" applyAlignment="1">
      <alignment horizontal="center"/>
    </xf>
    <xf numFmtId="0" fontId="0" fillId="22" borderId="133" xfId="0" applyFill="1" applyBorder="1" applyAlignment="1">
      <alignment horizontal="center"/>
    </xf>
    <xf numFmtId="0" fontId="4" fillId="24" borderId="132" xfId="0" applyFont="1" applyFill="1" applyBorder="1" applyAlignment="1">
      <alignment horizontal="left"/>
    </xf>
    <xf numFmtId="0" fontId="4" fillId="24" borderId="3" xfId="0" applyFont="1" applyFill="1" applyBorder="1" applyAlignment="1">
      <alignment horizontal="left"/>
    </xf>
    <xf numFmtId="0" fontId="4" fillId="0" borderId="95" xfId="0" applyFont="1" applyFill="1" applyBorder="1" applyAlignment="1">
      <alignment horizontal="left"/>
    </xf>
    <xf numFmtId="1" fontId="14" fillId="22" borderId="86" xfId="0" applyNumberFormat="1" applyFont="1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165" fontId="10" fillId="0" borderId="59" xfId="0" applyNumberFormat="1" applyFont="1" applyFill="1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0" fontId="7" fillId="0" borderId="121" xfId="0" applyFont="1" applyFill="1" applyBorder="1" applyAlignment="1">
      <alignment vertical="center" wrapText="1"/>
    </xf>
    <xf numFmtId="0" fontId="0" fillId="0" borderId="122" xfId="0" applyBorder="1" applyAlignment="1">
      <alignment vertical="center"/>
    </xf>
    <xf numFmtId="0" fontId="0" fillId="0" borderId="145" xfId="0" applyBorder="1" applyAlignment="1">
      <alignment vertical="center"/>
    </xf>
    <xf numFmtId="165" fontId="10" fillId="0" borderId="66" xfId="0" applyNumberFormat="1" applyFont="1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165" fontId="10" fillId="0" borderId="29" xfId="0" applyNumberFormat="1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65" fontId="10" fillId="0" borderId="55" xfId="0" applyNumberFormat="1" applyFont="1" applyFill="1" applyBorder="1" applyAlignment="1">
      <alignment horizontal="center" vertical="center"/>
    </xf>
    <xf numFmtId="0" fontId="4" fillId="22" borderId="116" xfId="0" applyFont="1" applyFill="1" applyBorder="1" applyAlignment="1">
      <alignment horizontal="left"/>
    </xf>
    <xf numFmtId="0" fontId="4" fillId="22" borderId="26" xfId="0" applyFont="1" applyFill="1" applyBorder="1" applyAlignment="1">
      <alignment horizontal="left"/>
    </xf>
    <xf numFmtId="171" fontId="11" fillId="0" borderId="55" xfId="0" applyNumberFormat="1" applyFont="1" applyFill="1" applyBorder="1" applyAlignment="1">
      <alignment horizontal="center" vertical="center"/>
    </xf>
    <xf numFmtId="171" fontId="0" fillId="0" borderId="66" xfId="0" applyNumberFormat="1" applyBorder="1" applyAlignment="1">
      <alignment horizontal="center" vertical="center"/>
    </xf>
    <xf numFmtId="171" fontId="0" fillId="0" borderId="56" xfId="0" applyNumberForma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12" xfId="0" applyFont="1" applyBorder="1" applyAlignment="1"/>
    <xf numFmtId="0" fontId="2" fillId="0" borderId="2" xfId="0" applyFont="1" applyBorder="1" applyAlignment="1"/>
    <xf numFmtId="0" fontId="2" fillId="0" borderId="13" xfId="0" applyFont="1" applyBorder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/>
    <xf numFmtId="0" fontId="0" fillId="0" borderId="10" xfId="0" applyBorder="1" applyAlignment="1"/>
    <xf numFmtId="0" fontId="2" fillId="0" borderId="14" xfId="0" applyFont="1" applyBorder="1" applyAlignment="1"/>
    <xf numFmtId="0" fontId="2" fillId="0" borderId="5" xfId="0" applyFont="1" applyBorder="1" applyAlignment="1"/>
    <xf numFmtId="0" fontId="0" fillId="0" borderId="5" xfId="0" applyBorder="1" applyAlignme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4" fillId="0" borderId="146" xfId="0" applyFont="1" applyFill="1" applyBorder="1" applyAlignment="1">
      <alignment horizontal="left"/>
    </xf>
    <xf numFmtId="0" fontId="4" fillId="22" borderId="147" xfId="0" applyFont="1" applyFill="1" applyBorder="1" applyAlignment="1">
      <alignment horizontal="left"/>
    </xf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Light16"/>
  <colors>
    <mruColors>
      <color rgb="FF99FFCC"/>
      <color rgb="FFDB6D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19050</xdr:rowOff>
        </xdr:from>
        <xdr:to>
          <xdr:col>10</xdr:col>
          <xdr:colOff>476250</xdr:colOff>
          <xdr:row>45</xdr:row>
          <xdr:rowOff>57150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00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</xdr:row>
          <xdr:rowOff>9525</xdr:rowOff>
        </xdr:from>
        <xdr:to>
          <xdr:col>22</xdr:col>
          <xdr:colOff>95250</xdr:colOff>
          <xdr:row>45</xdr:row>
          <xdr:rowOff>28575</xdr:rowOff>
        </xdr:to>
        <xdr:sp macro="" textlink="">
          <xdr:nvSpPr>
            <xdr:cNvPr id="33794" name="Object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00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9</xdr:col>
          <xdr:colOff>361950</xdr:colOff>
          <xdr:row>42</xdr:row>
          <xdr:rowOff>114300</xdr:rowOff>
        </xdr:to>
        <xdr:sp macro="" textlink="">
          <xdr:nvSpPr>
            <xdr:cNvPr id="62465" name="Object 1" hidden="1">
              <a:extLst>
                <a:ext uri="{63B3BB69-23CF-44E3-9099-C40C66FF867C}">
                  <a14:compatExt spid="_x0000_s62465"/>
                </a:ext>
                <a:ext uri="{FF2B5EF4-FFF2-40B4-BE49-F238E27FC236}">
                  <a16:creationId xmlns:a16="http://schemas.microsoft.com/office/drawing/2014/main" id="{00000000-0008-0000-0200-00000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104775</xdr:colOff>
          <xdr:row>0</xdr:row>
          <xdr:rowOff>0</xdr:rowOff>
        </xdr:from>
        <xdr:to>
          <xdr:col>20</xdr:col>
          <xdr:colOff>466725</xdr:colOff>
          <xdr:row>31</xdr:row>
          <xdr:rowOff>85725</xdr:rowOff>
        </xdr:to>
        <xdr:sp macro="" textlink="">
          <xdr:nvSpPr>
            <xdr:cNvPr id="62466" name="Object 2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02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rora\files\Dept\Utilities%20Department\Divisions\Water%20Treatment\Binney\BWPF%20Operating%20Reports\BWPF%20Flow%20Reports%20and%20Query%20Tool\BWPF%20Monthly%20Plant%20Flows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ly Summary "/>
      <sheetName val="January"/>
      <sheetName val="February"/>
      <sheetName val="March"/>
      <sheetName val="April"/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Sheet4"/>
    </sheetNames>
    <sheetDataSet>
      <sheetData sheetId="0">
        <row r="29">
          <cell r="C29">
            <v>3046.1644149070598</v>
          </cell>
          <cell r="D29">
            <v>520.85895995015176</v>
          </cell>
          <cell r="Q29">
            <v>42.185885911956788</v>
          </cell>
          <cell r="R29">
            <v>89.382557874206555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1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3.docx"/><Relationship Id="rId5" Type="http://schemas.openxmlformats.org/officeDocument/2006/relationships/image" Target="../media/image3.emf"/><Relationship Id="rId4" Type="http://schemas.openxmlformats.org/officeDocument/2006/relationships/package" Target="../embeddings/Microsoft_Word_Document2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L19" sqref="L19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33793" r:id="rId4">
          <objectPr defaultSize="0" r:id="rId5">
            <anchor moveWithCells="1">
              <from>
                <xdr:col>1</xdr:col>
                <xdr:colOff>19050</xdr:colOff>
                <xdr:row>1</xdr:row>
                <xdr:rowOff>19050</xdr:rowOff>
              </from>
              <to>
                <xdr:col>10</xdr:col>
                <xdr:colOff>476250</xdr:colOff>
                <xdr:row>45</xdr:row>
                <xdr:rowOff>57150</xdr:rowOff>
              </to>
            </anchor>
          </objectPr>
        </oleObject>
      </mc:Choice>
      <mc:Fallback>
        <oleObject progId="Word.Document.12" shapeId="33793" r:id="rId4"/>
      </mc:Fallback>
    </mc:AlternateContent>
    <mc:AlternateContent xmlns:mc="http://schemas.openxmlformats.org/markup-compatibility/2006">
      <mc:Choice Requires="x14">
        <oleObject progId="Word.Document.12" shapeId="33794" r:id="rId6">
          <objectPr defaultSize="0" r:id="rId7">
            <anchor moveWithCells="1">
              <from>
                <xdr:col>12</xdr:col>
                <xdr:colOff>19050</xdr:colOff>
                <xdr:row>1</xdr:row>
                <xdr:rowOff>9525</xdr:rowOff>
              </from>
              <to>
                <xdr:col>22</xdr:col>
                <xdr:colOff>95250</xdr:colOff>
                <xdr:row>45</xdr:row>
                <xdr:rowOff>28575</xdr:rowOff>
              </to>
            </anchor>
          </objectPr>
        </oleObject>
      </mc:Choice>
      <mc:Fallback>
        <oleObject progId="Word.Document.12" shapeId="33794" r:id="rId6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W63"/>
  <sheetViews>
    <sheetView topLeftCell="A44" zoomScale="75" zoomScaleNormal="75" workbookViewId="0">
      <selection activeCell="AS43" sqref="AS43"/>
    </sheetView>
  </sheetViews>
  <sheetFormatPr defaultRowHeight="15" x14ac:dyDescent="0.25"/>
  <cols>
    <col min="1" max="1" width="35.140625" bestFit="1" customWidth="1"/>
    <col min="2" max="2" width="28.7109375" bestFit="1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1.85546875" bestFit="1" customWidth="1"/>
    <col min="9" max="9" width="23" bestFit="1" customWidth="1"/>
    <col min="10" max="10" width="25.85546875" bestFit="1" customWidth="1"/>
    <col min="11" max="11" width="19" bestFit="1" customWidth="1"/>
    <col min="12" max="12" width="17" bestFit="1" customWidth="1"/>
    <col min="13" max="13" width="16" bestFit="1" customWidth="1"/>
    <col min="14" max="14" width="19.570312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3" width="15.140625" customWidth="1"/>
    <col min="44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37" t="s">
        <v>3</v>
      </c>
      <c r="C4" s="638"/>
      <c r="D4" s="638"/>
      <c r="E4" s="638"/>
      <c r="F4" s="638"/>
      <c r="G4" s="638"/>
      <c r="H4" s="639"/>
      <c r="I4" s="637" t="s">
        <v>4</v>
      </c>
      <c r="J4" s="638"/>
      <c r="K4" s="638"/>
      <c r="L4" s="638"/>
      <c r="M4" s="638"/>
      <c r="N4" s="639"/>
      <c r="O4" s="643" t="s">
        <v>5</v>
      </c>
      <c r="P4" s="644"/>
      <c r="Q4" s="645"/>
      <c r="R4" s="645"/>
      <c r="S4" s="645"/>
      <c r="T4" s="646"/>
      <c r="U4" s="637" t="s">
        <v>6</v>
      </c>
      <c r="V4" s="650"/>
      <c r="W4" s="650"/>
      <c r="X4" s="650"/>
      <c r="Y4" s="650"/>
      <c r="Z4" s="650"/>
      <c r="AA4" s="651"/>
      <c r="AB4" s="655" t="s">
        <v>7</v>
      </c>
      <c r="AC4" s="657" t="s">
        <v>8</v>
      </c>
      <c r="AD4" s="621" t="s">
        <v>222</v>
      </c>
      <c r="AE4" s="621" t="s">
        <v>221</v>
      </c>
      <c r="AF4" s="621" t="s">
        <v>27</v>
      </c>
      <c r="AG4" s="621" t="s">
        <v>31</v>
      </c>
      <c r="AH4" s="621" t="s">
        <v>32</v>
      </c>
      <c r="AI4" s="621" t="s">
        <v>33</v>
      </c>
      <c r="AJ4" s="655" t="s">
        <v>173</v>
      </c>
      <c r="AK4" s="655" t="s">
        <v>174</v>
      </c>
      <c r="AL4" s="655" t="s">
        <v>175</v>
      </c>
      <c r="AM4" s="655" t="s">
        <v>176</v>
      </c>
      <c r="AN4" s="655" t="s">
        <v>177</v>
      </c>
      <c r="AO4" s="655" t="s">
        <v>178</v>
      </c>
      <c r="AP4" s="655" t="s">
        <v>179</v>
      </c>
      <c r="AQ4" s="655" t="s">
        <v>182</v>
      </c>
      <c r="AR4" s="655" t="s">
        <v>180</v>
      </c>
      <c r="AS4" s="655" t="s">
        <v>181</v>
      </c>
      <c r="AV4" t="s">
        <v>169</v>
      </c>
      <c r="AW4" s="337" t="s">
        <v>207</v>
      </c>
    </row>
    <row r="5" spans="1:49" ht="30" customHeight="1" thickBot="1" x14ac:dyDescent="0.3">
      <c r="A5" s="13"/>
      <c r="B5" s="640"/>
      <c r="C5" s="641"/>
      <c r="D5" s="641"/>
      <c r="E5" s="641"/>
      <c r="F5" s="641"/>
      <c r="G5" s="641"/>
      <c r="H5" s="642"/>
      <c r="I5" s="640"/>
      <c r="J5" s="641"/>
      <c r="K5" s="641"/>
      <c r="L5" s="641"/>
      <c r="M5" s="641"/>
      <c r="N5" s="642"/>
      <c r="O5" s="647"/>
      <c r="P5" s="648"/>
      <c r="Q5" s="648"/>
      <c r="R5" s="648"/>
      <c r="S5" s="648"/>
      <c r="T5" s="649"/>
      <c r="U5" s="652"/>
      <c r="V5" s="653"/>
      <c r="W5" s="653"/>
      <c r="X5" s="653"/>
      <c r="Y5" s="653"/>
      <c r="Z5" s="653"/>
      <c r="AA5" s="654"/>
      <c r="AB5" s="656"/>
      <c r="AC5" s="658"/>
      <c r="AD5" s="622"/>
      <c r="AE5" s="622"/>
      <c r="AF5" s="636"/>
      <c r="AG5" s="636"/>
      <c r="AH5" s="636"/>
      <c r="AI5" s="636"/>
      <c r="AJ5" s="622"/>
      <c r="AK5" s="622"/>
      <c r="AL5" s="622"/>
      <c r="AM5" s="622"/>
      <c r="AN5" s="622"/>
      <c r="AO5" s="622"/>
      <c r="AP5" s="622"/>
      <c r="AQ5" s="622"/>
      <c r="AR5" s="622"/>
      <c r="AS5" s="622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6" t="s">
        <v>23</v>
      </c>
      <c r="AD7" s="398" t="s">
        <v>28</v>
      </c>
      <c r="AE7" s="398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43617</v>
      </c>
      <c r="B8" s="49"/>
      <c r="C8" s="50">
        <v>63.690211820602904</v>
      </c>
      <c r="D8" s="50">
        <v>727.7741638183586</v>
      </c>
      <c r="E8" s="50">
        <v>15.880339763561841</v>
      </c>
      <c r="F8" s="50">
        <v>0</v>
      </c>
      <c r="G8" s="50">
        <v>1614.9883058548014</v>
      </c>
      <c r="H8" s="51">
        <v>26.215070029099817</v>
      </c>
      <c r="I8" s="49">
        <v>224.78179628054332</v>
      </c>
      <c r="J8" s="50">
        <v>491.01938727696739</v>
      </c>
      <c r="K8" s="50">
        <v>26.913863431414022</v>
      </c>
      <c r="L8" s="50">
        <v>3.7765502929687501E-5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366.15761682736138</v>
      </c>
      <c r="V8" s="54">
        <v>146.42709751115112</v>
      </c>
      <c r="W8" s="54">
        <v>57.77969706110656</v>
      </c>
      <c r="X8" s="54">
        <v>23.106206035092384</v>
      </c>
      <c r="Y8" s="54">
        <v>189.6113037714307</v>
      </c>
      <c r="Z8" s="54">
        <v>75.8259055406903</v>
      </c>
      <c r="AA8" s="55">
        <v>0</v>
      </c>
      <c r="AB8" s="56">
        <v>95.549550777013494</v>
      </c>
      <c r="AC8" s="57">
        <v>0</v>
      </c>
      <c r="AD8" s="408">
        <v>15.437647646078634</v>
      </c>
      <c r="AE8" s="408">
        <v>5.9723663860655174</v>
      </c>
      <c r="AF8" s="57">
        <v>21.297415644592718</v>
      </c>
      <c r="AG8" s="58">
        <v>15.001343568127767</v>
      </c>
      <c r="AH8" s="58">
        <v>5.9990646008715824</v>
      </c>
      <c r="AI8" s="58">
        <v>0.71433580944739172</v>
      </c>
      <c r="AJ8" s="57">
        <v>223.79371641476948</v>
      </c>
      <c r="AK8" s="57">
        <v>1254.9599676767987</v>
      </c>
      <c r="AL8" s="57">
        <v>2861.7596810658774</v>
      </c>
      <c r="AM8" s="57">
        <v>477.00297546386719</v>
      </c>
      <c r="AN8" s="57">
        <v>4823.3521728515625</v>
      </c>
      <c r="AO8" s="57">
        <v>2366.405297724406</v>
      </c>
      <c r="AP8" s="57">
        <v>552.18911611239116</v>
      </c>
      <c r="AQ8" s="57">
        <v>2520.47574335734</v>
      </c>
      <c r="AR8" s="57">
        <v>448.57618265151979</v>
      </c>
      <c r="AS8" s="57">
        <v>677.451646645864</v>
      </c>
    </row>
    <row r="9" spans="1:49" x14ac:dyDescent="0.25">
      <c r="A9" s="11">
        <v>43618</v>
      </c>
      <c r="B9" s="59"/>
      <c r="C9" s="60">
        <v>62.957532676061568</v>
      </c>
      <c r="D9" s="60">
        <v>724.47380908330251</v>
      </c>
      <c r="E9" s="60">
        <v>15.889489324887599</v>
      </c>
      <c r="F9" s="60">
        <v>0</v>
      </c>
      <c r="G9" s="60">
        <v>1475.0766195933024</v>
      </c>
      <c r="H9" s="61">
        <v>26.255573982000417</v>
      </c>
      <c r="I9" s="59">
        <v>225.59890743891378</v>
      </c>
      <c r="J9" s="60">
        <v>492.87563807169613</v>
      </c>
      <c r="K9" s="60">
        <v>26.957030738393506</v>
      </c>
      <c r="L9" s="6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359.28438479610998</v>
      </c>
      <c r="V9" s="62">
        <v>143.67374830800659</v>
      </c>
      <c r="W9" s="62">
        <v>56.711120046869937</v>
      </c>
      <c r="X9" s="62">
        <v>22.678133346939035</v>
      </c>
      <c r="Y9" s="66">
        <v>185.26276993358891</v>
      </c>
      <c r="Z9" s="66">
        <v>74.084479327949836</v>
      </c>
      <c r="AA9" s="67">
        <v>0</v>
      </c>
      <c r="AB9" s="68">
        <v>95.793168507682978</v>
      </c>
      <c r="AC9" s="69">
        <v>0</v>
      </c>
      <c r="AD9" s="409">
        <v>15.495430229251891</v>
      </c>
      <c r="AE9" s="409">
        <v>5.9772666763989903</v>
      </c>
      <c r="AF9" s="69">
        <v>20.969628020789902</v>
      </c>
      <c r="AG9" s="68">
        <v>14.768897310108315</v>
      </c>
      <c r="AH9" s="68">
        <v>5.905914436341158</v>
      </c>
      <c r="AI9" s="68">
        <v>0.71434252902663586</v>
      </c>
      <c r="AJ9" s="69">
        <v>227.82574793497722</v>
      </c>
      <c r="AK9" s="69">
        <v>1255.7248097737624</v>
      </c>
      <c r="AL9" s="69">
        <v>2967.7347176869712</v>
      </c>
      <c r="AM9" s="69">
        <v>477.00297546386719</v>
      </c>
      <c r="AN9" s="69">
        <v>4823.3521728515625</v>
      </c>
      <c r="AO9" s="69">
        <v>2382.4532519022632</v>
      </c>
      <c r="AP9" s="69">
        <v>542.80781642595934</v>
      </c>
      <c r="AQ9" s="69">
        <v>2511.3132259368895</v>
      </c>
      <c r="AR9" s="69">
        <v>449.01879768371583</v>
      </c>
      <c r="AS9" s="69">
        <v>690.91850824356084</v>
      </c>
    </row>
    <row r="10" spans="1:49" x14ac:dyDescent="0.25">
      <c r="A10" s="11">
        <v>43619</v>
      </c>
      <c r="B10" s="59"/>
      <c r="C10" s="60">
        <v>63.09532931645721</v>
      </c>
      <c r="D10" s="60">
        <v>705.48640794754147</v>
      </c>
      <c r="E10" s="60">
        <v>15.869438658157966</v>
      </c>
      <c r="F10" s="60">
        <v>0</v>
      </c>
      <c r="G10" s="60">
        <v>1408.9328256606993</v>
      </c>
      <c r="H10" s="61">
        <v>26.240039825439496</v>
      </c>
      <c r="I10" s="59">
        <v>193.24210466941153</v>
      </c>
      <c r="J10" s="60">
        <v>430.6578488469122</v>
      </c>
      <c r="K10" s="60">
        <v>23.11669457852836</v>
      </c>
      <c r="L10" s="60">
        <v>3.7765502929687501E-5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307.02831816771146</v>
      </c>
      <c r="V10" s="62">
        <v>116.57460302679182</v>
      </c>
      <c r="W10" s="62">
        <v>49.058755277209293</v>
      </c>
      <c r="X10" s="62">
        <v>18.626962345229821</v>
      </c>
      <c r="Y10" s="66">
        <v>155.19063797368275</v>
      </c>
      <c r="Z10" s="66">
        <v>58.923838436865061</v>
      </c>
      <c r="AA10" s="67">
        <v>0</v>
      </c>
      <c r="AB10" s="68">
        <v>86.94202865229795</v>
      </c>
      <c r="AC10" s="69">
        <v>0</v>
      </c>
      <c r="AD10" s="409">
        <v>13.270221102109598</v>
      </c>
      <c r="AE10" s="409">
        <v>5.9748202564987123</v>
      </c>
      <c r="AF10" s="69">
        <v>17.314292313489631</v>
      </c>
      <c r="AG10" s="68">
        <v>12.300440822305578</v>
      </c>
      <c r="AH10" s="68">
        <v>4.6703151503163696</v>
      </c>
      <c r="AI10" s="68">
        <v>0.72480217393669732</v>
      </c>
      <c r="AJ10" s="69">
        <v>226.3505487283071</v>
      </c>
      <c r="AK10" s="69">
        <v>1254.791380818685</v>
      </c>
      <c r="AL10" s="69">
        <v>2894.4744445800779</v>
      </c>
      <c r="AM10" s="69">
        <v>436.17033462524415</v>
      </c>
      <c r="AN10" s="69">
        <v>4515.6341072082523</v>
      </c>
      <c r="AO10" s="69">
        <v>2221.6270256042485</v>
      </c>
      <c r="AP10" s="69">
        <v>551.86694156328849</v>
      </c>
      <c r="AQ10" s="69">
        <v>2338.3798055966695</v>
      </c>
      <c r="AR10" s="69">
        <v>459.34550380706793</v>
      </c>
      <c r="AS10" s="69">
        <v>785.25497474670419</v>
      </c>
    </row>
    <row r="11" spans="1:49" x14ac:dyDescent="0.25">
      <c r="A11" s="11">
        <v>43620</v>
      </c>
      <c r="B11" s="59"/>
      <c r="C11" s="60">
        <v>63.137349939346841</v>
      </c>
      <c r="D11" s="60">
        <v>706.86473798751797</v>
      </c>
      <c r="E11" s="60">
        <v>15.818555670976604</v>
      </c>
      <c r="F11" s="60">
        <v>0</v>
      </c>
      <c r="G11" s="60">
        <v>1221.3056845347089</v>
      </c>
      <c r="H11" s="61">
        <v>26.186747290690757</v>
      </c>
      <c r="I11" s="59">
        <v>200.28841075102497</v>
      </c>
      <c r="J11" s="60">
        <v>453.92971566120809</v>
      </c>
      <c r="K11" s="60">
        <v>24.290265707174893</v>
      </c>
      <c r="L11" s="60">
        <v>6.6089630126953122E-5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322.33552974693924</v>
      </c>
      <c r="V11" s="62">
        <v>113.62208880749205</v>
      </c>
      <c r="W11" s="62">
        <v>52.569734823964744</v>
      </c>
      <c r="X11" s="62">
        <v>18.530638193823087</v>
      </c>
      <c r="Y11" s="66">
        <v>167.29987676451847</v>
      </c>
      <c r="Z11" s="66">
        <v>58.972591293749844</v>
      </c>
      <c r="AA11" s="67">
        <v>0</v>
      </c>
      <c r="AB11" s="68">
        <v>88.693665517701987</v>
      </c>
      <c r="AC11" s="69">
        <v>0</v>
      </c>
      <c r="AD11" s="409">
        <v>13.761766409388091</v>
      </c>
      <c r="AE11" s="409">
        <v>5.9708931143758832</v>
      </c>
      <c r="AF11" s="69">
        <v>17.746293440792325</v>
      </c>
      <c r="AG11" s="68">
        <v>12.94208303330473</v>
      </c>
      <c r="AH11" s="68">
        <v>4.5620366731478796</v>
      </c>
      <c r="AI11" s="68">
        <v>0.73937354464811167</v>
      </c>
      <c r="AJ11" s="69">
        <v>225.24558062553405</v>
      </c>
      <c r="AK11" s="69">
        <v>1258.9578826268512</v>
      </c>
      <c r="AL11" s="69">
        <v>2913.6193733215332</v>
      </c>
      <c r="AM11" s="69">
        <v>410.63841247558594</v>
      </c>
      <c r="AN11" s="69">
        <v>4326.876708984375</v>
      </c>
      <c r="AO11" s="69">
        <v>2174.0374726613363</v>
      </c>
      <c r="AP11" s="69">
        <v>546.87111260096231</v>
      </c>
      <c r="AQ11" s="69">
        <v>2429.2624488353731</v>
      </c>
      <c r="AR11" s="69">
        <v>454.01628637313837</v>
      </c>
      <c r="AS11" s="69">
        <v>796.59476524988804</v>
      </c>
    </row>
    <row r="12" spans="1:49" x14ac:dyDescent="0.25">
      <c r="A12" s="11">
        <v>43621</v>
      </c>
      <c r="B12" s="59"/>
      <c r="C12" s="60">
        <v>62.517072598139791</v>
      </c>
      <c r="D12" s="60">
        <v>712.11228011448986</v>
      </c>
      <c r="E12" s="60">
        <v>15.900413611531256</v>
      </c>
      <c r="F12" s="60">
        <v>0</v>
      </c>
      <c r="G12" s="60">
        <v>1276.6747443517065</v>
      </c>
      <c r="H12" s="61">
        <v>26.210450679063843</v>
      </c>
      <c r="I12" s="59">
        <v>270.90877474149056</v>
      </c>
      <c r="J12" s="60">
        <v>587.2846742947886</v>
      </c>
      <c r="K12" s="60">
        <v>32.12617233494916</v>
      </c>
      <c r="L12" s="60">
        <v>9.4413757324218753E-6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432.46806577287776</v>
      </c>
      <c r="V12" s="62">
        <v>144.15373462859321</v>
      </c>
      <c r="W12" s="62">
        <v>70.902732067805218</v>
      </c>
      <c r="X12" s="62">
        <v>23.633869022626094</v>
      </c>
      <c r="Y12" s="66">
        <v>238.60289764838785</v>
      </c>
      <c r="Z12" s="66">
        <v>79.533037260797002</v>
      </c>
      <c r="AA12" s="67">
        <v>0</v>
      </c>
      <c r="AB12" s="68">
        <v>108.21684729258308</v>
      </c>
      <c r="AC12" s="69">
        <v>0</v>
      </c>
      <c r="AD12" s="409">
        <v>18.454068107549283</v>
      </c>
      <c r="AE12" s="409">
        <v>5.9810786273225247</v>
      </c>
      <c r="AF12" s="69">
        <v>24.314961560567209</v>
      </c>
      <c r="AG12" s="68">
        <v>17.99953300402683</v>
      </c>
      <c r="AH12" s="68">
        <v>5.9997491363067832</v>
      </c>
      <c r="AI12" s="68">
        <v>0.75000297503801161</v>
      </c>
      <c r="AJ12" s="69">
        <v>226.00434373219807</v>
      </c>
      <c r="AK12" s="69">
        <v>1263.8295362472536</v>
      </c>
      <c r="AL12" s="69">
        <v>2842.3964158376057</v>
      </c>
      <c r="AM12" s="69">
        <v>410.63841247558594</v>
      </c>
      <c r="AN12" s="69">
        <v>4326.876708984375</v>
      </c>
      <c r="AO12" s="69">
        <v>2311.7044509887692</v>
      </c>
      <c r="AP12" s="69">
        <v>556.45633546511328</v>
      </c>
      <c r="AQ12" s="69">
        <v>3235.346360905965</v>
      </c>
      <c r="AR12" s="69">
        <v>461.77164262135824</v>
      </c>
      <c r="AS12" s="69">
        <v>757.53042058944698</v>
      </c>
    </row>
    <row r="13" spans="1:49" x14ac:dyDescent="0.25">
      <c r="A13" s="11">
        <v>43622</v>
      </c>
      <c r="B13" s="59"/>
      <c r="C13" s="60">
        <v>62.710754831631128</v>
      </c>
      <c r="D13" s="60">
        <v>710.84317172368242</v>
      </c>
      <c r="E13" s="60">
        <v>15.9260718882084</v>
      </c>
      <c r="F13" s="60">
        <v>0</v>
      </c>
      <c r="G13" s="60">
        <v>1278.4507379531876</v>
      </c>
      <c r="H13" s="61">
        <v>26.343752727905922</v>
      </c>
      <c r="I13" s="59">
        <v>250.10339207649218</v>
      </c>
      <c r="J13" s="60">
        <v>534.47732810974128</v>
      </c>
      <c r="K13" s="60">
        <v>29.227030932406642</v>
      </c>
      <c r="L13" s="60">
        <v>9.4413757324218753E-6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384.49830157225438</v>
      </c>
      <c r="V13" s="62">
        <v>141.92114812798971</v>
      </c>
      <c r="W13" s="62">
        <v>61.652887125407098</v>
      </c>
      <c r="X13" s="62">
        <v>22.756533619170931</v>
      </c>
      <c r="Y13" s="66">
        <v>211.23592905695949</v>
      </c>
      <c r="Z13" s="66">
        <v>77.96873342498418</v>
      </c>
      <c r="AA13" s="67">
        <v>0</v>
      </c>
      <c r="AB13" s="68">
        <v>101.42958838674645</v>
      </c>
      <c r="AC13" s="69">
        <v>0</v>
      </c>
      <c r="AD13" s="409">
        <v>16.800599948167402</v>
      </c>
      <c r="AE13" s="409">
        <v>5.9708470310085939</v>
      </c>
      <c r="AF13" s="69">
        <v>22.189542151821971</v>
      </c>
      <c r="AG13" s="68">
        <v>15.986012077162199</v>
      </c>
      <c r="AH13" s="68">
        <v>5.9005545114285205</v>
      </c>
      <c r="AI13" s="68">
        <v>0.73040291689677683</v>
      </c>
      <c r="AJ13" s="69">
        <v>228.45961066881816</v>
      </c>
      <c r="AK13" s="69">
        <v>1271.8862213770549</v>
      </c>
      <c r="AL13" s="69">
        <v>2957.3962802886963</v>
      </c>
      <c r="AM13" s="69">
        <v>410.63841247558594</v>
      </c>
      <c r="AN13" s="69">
        <v>4326.876708984375</v>
      </c>
      <c r="AO13" s="69">
        <v>2317.3672701517744</v>
      </c>
      <c r="AP13" s="69">
        <v>571.88933261235547</v>
      </c>
      <c r="AQ13" s="69">
        <v>3163.1747357686359</v>
      </c>
      <c r="AR13" s="69">
        <v>454.82851785024008</v>
      </c>
      <c r="AS13" s="69">
        <v>752.66991586685174</v>
      </c>
    </row>
    <row r="14" spans="1:49" x14ac:dyDescent="0.25">
      <c r="A14" s="11">
        <v>43623</v>
      </c>
      <c r="B14" s="59"/>
      <c r="C14" s="60">
        <v>62.611841364701341</v>
      </c>
      <c r="D14" s="60">
        <v>709.92523183822607</v>
      </c>
      <c r="E14" s="60">
        <v>15.877564530571293</v>
      </c>
      <c r="F14" s="60">
        <v>0</v>
      </c>
      <c r="G14" s="60">
        <v>1318.1858280817696</v>
      </c>
      <c r="H14" s="61">
        <v>26.213447074095424</v>
      </c>
      <c r="I14" s="59">
        <v>147.02044745683659</v>
      </c>
      <c r="J14" s="60">
        <v>307.32880055109695</v>
      </c>
      <c r="K14" s="60">
        <v>15.202734691401336</v>
      </c>
      <c r="L14" s="60">
        <v>5.6648254394531249E-5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228.28290936391187</v>
      </c>
      <c r="V14" s="62">
        <v>99.77255429982597</v>
      </c>
      <c r="W14" s="62">
        <v>34.865688878368324</v>
      </c>
      <c r="X14" s="62">
        <v>15.238279757826509</v>
      </c>
      <c r="Y14" s="66">
        <v>115.38252333707099</v>
      </c>
      <c r="Z14" s="66">
        <v>50.428694408074378</v>
      </c>
      <c r="AA14" s="67">
        <v>0</v>
      </c>
      <c r="AB14" s="68">
        <v>70.829095245732532</v>
      </c>
      <c r="AC14" s="69">
        <v>0</v>
      </c>
      <c r="AD14" s="409">
        <v>9.5277448670681082</v>
      </c>
      <c r="AE14" s="409">
        <v>5.9636355830474814</v>
      </c>
      <c r="AF14" s="69">
        <v>13.121763816475875</v>
      </c>
      <c r="AG14" s="68">
        <v>9.0066525910077644</v>
      </c>
      <c r="AH14" s="68">
        <v>3.9364170414679682</v>
      </c>
      <c r="AI14" s="68">
        <v>0.69586681110089832</v>
      </c>
      <c r="AJ14" s="69">
        <v>240.43125993410746</v>
      </c>
      <c r="AK14" s="69">
        <v>1287.6993564605714</v>
      </c>
      <c r="AL14" s="69">
        <v>2972.8855766296383</v>
      </c>
      <c r="AM14" s="69">
        <v>410.63841247558594</v>
      </c>
      <c r="AN14" s="69">
        <v>4326.876708984375</v>
      </c>
      <c r="AO14" s="69">
        <v>2212.5538383483886</v>
      </c>
      <c r="AP14" s="69">
        <v>584.88992082277946</v>
      </c>
      <c r="AQ14" s="69">
        <v>1890.4393346071242</v>
      </c>
      <c r="AR14" s="69">
        <v>578.03509457906091</v>
      </c>
      <c r="AS14" s="69">
        <v>823.58225758870446</v>
      </c>
    </row>
    <row r="15" spans="1:49" x14ac:dyDescent="0.25">
      <c r="A15" s="11">
        <v>43624</v>
      </c>
      <c r="B15" s="59"/>
      <c r="C15" s="60">
        <v>62.415220920244934</v>
      </c>
      <c r="D15" s="60">
        <v>715.96816504796243</v>
      </c>
      <c r="E15" s="60">
        <v>15.948862012227345</v>
      </c>
      <c r="F15" s="60">
        <v>0</v>
      </c>
      <c r="G15" s="60">
        <v>1355.4412270863879</v>
      </c>
      <c r="H15" s="61">
        <v>26.24556802709899</v>
      </c>
      <c r="I15" s="59">
        <v>238.30261675516738</v>
      </c>
      <c r="J15" s="60">
        <v>487.86134131749509</v>
      </c>
      <c r="K15" s="60">
        <v>23.381678024431075</v>
      </c>
      <c r="L15" s="60">
        <v>1.8882751464843751E-5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362.32597051445561</v>
      </c>
      <c r="V15" s="62">
        <v>145.65012517256281</v>
      </c>
      <c r="W15" s="62">
        <v>56.704272777641187</v>
      </c>
      <c r="X15" s="62">
        <v>22.794348459636787</v>
      </c>
      <c r="Y15" s="66">
        <v>182.90748895546983</v>
      </c>
      <c r="Z15" s="66">
        <v>73.526329408673917</v>
      </c>
      <c r="AA15" s="67">
        <v>0</v>
      </c>
      <c r="AB15" s="68">
        <v>95.512964550656108</v>
      </c>
      <c r="AC15" s="69">
        <v>0</v>
      </c>
      <c r="AD15" s="409">
        <v>15.340524196087866</v>
      </c>
      <c r="AE15" s="409">
        <v>5.9861639342563295</v>
      </c>
      <c r="AF15" s="69">
        <v>20.641521616776838</v>
      </c>
      <c r="AG15" s="68">
        <v>14.591074429562612</v>
      </c>
      <c r="AH15" s="68">
        <v>5.8654139918551254</v>
      </c>
      <c r="AI15" s="68">
        <v>0.71327366305381645</v>
      </c>
      <c r="AJ15" s="69">
        <v>248.85194145838418</v>
      </c>
      <c r="AK15" s="69">
        <v>1275.2061637242634</v>
      </c>
      <c r="AL15" s="69">
        <v>2941.419595336914</v>
      </c>
      <c r="AM15" s="69">
        <v>410.63841247558594</v>
      </c>
      <c r="AN15" s="69">
        <v>4326.876708984375</v>
      </c>
      <c r="AO15" s="69">
        <v>2560.8109362284345</v>
      </c>
      <c r="AP15" s="69">
        <v>582.10850818951928</v>
      </c>
      <c r="AQ15" s="69">
        <v>2876.7233041127524</v>
      </c>
      <c r="AR15" s="69">
        <v>493.27390629450474</v>
      </c>
      <c r="AS15" s="69">
        <v>766.00252482096346</v>
      </c>
    </row>
    <row r="16" spans="1:49" x14ac:dyDescent="0.25">
      <c r="A16" s="11">
        <v>43625</v>
      </c>
      <c r="B16" s="59"/>
      <c r="C16" s="60">
        <v>63.559522247314803</v>
      </c>
      <c r="D16" s="60">
        <v>712.58196226755695</v>
      </c>
      <c r="E16" s="60">
        <v>15.90678451061247</v>
      </c>
      <c r="F16" s="60">
        <v>0</v>
      </c>
      <c r="G16" s="60">
        <v>1323.9324597040763</v>
      </c>
      <c r="H16" s="61">
        <v>26.26326174338665</v>
      </c>
      <c r="I16" s="59">
        <v>238.43754053115796</v>
      </c>
      <c r="J16" s="60">
        <v>488.08045886357615</v>
      </c>
      <c r="K16" s="60">
        <v>26.770982850591402</v>
      </c>
      <c r="L16" s="60">
        <v>1.8882751464843751E-5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372.21332153543784</v>
      </c>
      <c r="V16" s="62">
        <v>148.89142778385198</v>
      </c>
      <c r="W16" s="62">
        <v>59.865730319823903</v>
      </c>
      <c r="X16" s="62">
        <v>23.947273101005816</v>
      </c>
      <c r="Y16" s="66">
        <v>188.20306628613741</v>
      </c>
      <c r="Z16" s="66">
        <v>75.284310451457131</v>
      </c>
      <c r="AA16" s="67">
        <v>0</v>
      </c>
      <c r="AB16" s="68">
        <v>95.54034696155361</v>
      </c>
      <c r="AC16" s="69">
        <v>0</v>
      </c>
      <c r="AD16" s="409">
        <v>15.347331696684781</v>
      </c>
      <c r="AE16" s="409">
        <v>5.984408263527599</v>
      </c>
      <c r="AF16" s="69">
        <v>21.211512585480982</v>
      </c>
      <c r="AG16" s="68">
        <v>14.998975471540833</v>
      </c>
      <c r="AH16" s="68">
        <v>5.9998359651404032</v>
      </c>
      <c r="AI16" s="68">
        <v>0.7142773540668238</v>
      </c>
      <c r="AJ16" s="69">
        <v>228.9363922595978</v>
      </c>
      <c r="AK16" s="69">
        <v>1248.2416638056434</v>
      </c>
      <c r="AL16" s="69">
        <v>2801.1585470835366</v>
      </c>
      <c r="AM16" s="69">
        <v>410.63841247558594</v>
      </c>
      <c r="AN16" s="69">
        <v>4326.876708984375</v>
      </c>
      <c r="AO16" s="69">
        <v>2552.7567540486648</v>
      </c>
      <c r="AP16" s="69">
        <v>535.7804416974385</v>
      </c>
      <c r="AQ16" s="69">
        <v>2824.9490033467609</v>
      </c>
      <c r="AR16" s="69">
        <v>416.716287835439</v>
      </c>
      <c r="AS16" s="69">
        <v>606.09450101852428</v>
      </c>
    </row>
    <row r="17" spans="1:45" x14ac:dyDescent="0.25">
      <c r="A17" s="11">
        <v>43626</v>
      </c>
      <c r="B17" s="49"/>
      <c r="C17" s="50">
        <v>63.277256083488929</v>
      </c>
      <c r="D17" s="50">
        <v>702.78458340962663</v>
      </c>
      <c r="E17" s="50">
        <v>15.92291851242382</v>
      </c>
      <c r="F17" s="50">
        <v>0</v>
      </c>
      <c r="G17" s="50">
        <v>1295.4727950414008</v>
      </c>
      <c r="H17" s="51">
        <v>26.256002575159052</v>
      </c>
      <c r="I17" s="49">
        <v>248.08075901667257</v>
      </c>
      <c r="J17" s="50">
        <v>507.91030778884902</v>
      </c>
      <c r="K17" s="50">
        <v>27.791964063048439</v>
      </c>
      <c r="L17" s="60">
        <v>9.4413757324218753E-6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386.75610068760659</v>
      </c>
      <c r="V17" s="66">
        <v>135.82515198268504</v>
      </c>
      <c r="W17" s="62">
        <v>62.360166742733583</v>
      </c>
      <c r="X17" s="62">
        <v>21.900311618714152</v>
      </c>
      <c r="Y17" s="66">
        <v>194.30345590190822</v>
      </c>
      <c r="Z17" s="66">
        <v>68.237569832038915</v>
      </c>
      <c r="AA17" s="67">
        <v>0</v>
      </c>
      <c r="AB17" s="68">
        <v>97.653081464769286</v>
      </c>
      <c r="AC17" s="69">
        <v>0</v>
      </c>
      <c r="AD17" s="409">
        <v>15.975466753224961</v>
      </c>
      <c r="AE17" s="409">
        <v>5.9894857818398739</v>
      </c>
      <c r="AF17" s="69">
        <v>21.146285586886926</v>
      </c>
      <c r="AG17" s="68">
        <v>15.498449911302556</v>
      </c>
      <c r="AH17" s="68">
        <v>5.4429117238386659</v>
      </c>
      <c r="AI17" s="68">
        <v>0.74008797428410578</v>
      </c>
      <c r="AJ17" s="69">
        <v>232.83678717613219</v>
      </c>
      <c r="AK17" s="69">
        <v>1254.3682748158774</v>
      </c>
      <c r="AL17" s="69">
        <v>2803.3558575948082</v>
      </c>
      <c r="AM17" s="69">
        <v>412.26873563130698</v>
      </c>
      <c r="AN17" s="69">
        <v>4198.3364006042484</v>
      </c>
      <c r="AO17" s="69">
        <v>2460.7549892425536</v>
      </c>
      <c r="AP17" s="69">
        <v>541.46041351954136</v>
      </c>
      <c r="AQ17" s="69">
        <v>2869.5710269927981</v>
      </c>
      <c r="AR17" s="69">
        <v>433.82014554341629</v>
      </c>
      <c r="AS17" s="69">
        <v>748.49630343119293</v>
      </c>
    </row>
    <row r="18" spans="1:45" x14ac:dyDescent="0.25">
      <c r="A18" s="11">
        <v>43627</v>
      </c>
      <c r="B18" s="59"/>
      <c r="C18" s="60">
        <v>63.141416045030255</v>
      </c>
      <c r="D18" s="60">
        <v>698.11547934214275</v>
      </c>
      <c r="E18" s="60">
        <v>15.969248127937313</v>
      </c>
      <c r="F18" s="60">
        <v>0</v>
      </c>
      <c r="G18" s="60">
        <v>1284.6378360748313</v>
      </c>
      <c r="H18" s="61">
        <v>26.303123966852894</v>
      </c>
      <c r="I18" s="59">
        <v>274.89985335667916</v>
      </c>
      <c r="J18" s="60">
        <v>563.12455263137792</v>
      </c>
      <c r="K18" s="60">
        <v>30.832871216535516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425.01777837192554</v>
      </c>
      <c r="V18" s="62">
        <v>147.03723996829507</v>
      </c>
      <c r="W18" s="62">
        <v>69.064064190674145</v>
      </c>
      <c r="X18" s="62">
        <v>23.893093174806996</v>
      </c>
      <c r="Y18" s="66">
        <v>214.3300097864342</v>
      </c>
      <c r="Z18" s="66">
        <v>74.148646680368216</v>
      </c>
      <c r="AA18" s="67">
        <v>0</v>
      </c>
      <c r="AB18" s="68">
        <v>104.7293264071163</v>
      </c>
      <c r="AC18" s="69">
        <v>0</v>
      </c>
      <c r="AD18" s="409">
        <v>17.701835736362568</v>
      </c>
      <c r="AE18" s="409">
        <v>5.9962833248823202</v>
      </c>
      <c r="AF18" s="69">
        <v>23.243926819165569</v>
      </c>
      <c r="AG18" s="68">
        <v>17.092410943589119</v>
      </c>
      <c r="AH18" s="68">
        <v>5.913213652323857</v>
      </c>
      <c r="AI18" s="68">
        <v>0.742966611157588</v>
      </c>
      <c r="AJ18" s="69">
        <v>231.37058668136598</v>
      </c>
      <c r="AK18" s="69">
        <v>1264.2592854181921</v>
      </c>
      <c r="AL18" s="69">
        <v>2917.5690788269044</v>
      </c>
      <c r="AM18" s="69">
        <v>496.82864742279054</v>
      </c>
      <c r="AN18" s="69">
        <v>4113.3841552734375</v>
      </c>
      <c r="AO18" s="69">
        <v>2335.9509119669592</v>
      </c>
      <c r="AP18" s="69">
        <v>575.96959524154659</v>
      </c>
      <c r="AQ18" s="69">
        <v>3142.4081076304119</v>
      </c>
      <c r="AR18" s="69">
        <v>431.66122639973963</v>
      </c>
      <c r="AS18" s="69">
        <v>722.20714133580532</v>
      </c>
    </row>
    <row r="19" spans="1:45" x14ac:dyDescent="0.25">
      <c r="A19" s="11">
        <v>43628</v>
      </c>
      <c r="B19" s="59"/>
      <c r="C19" s="60">
        <v>63.596899088224347</v>
      </c>
      <c r="D19" s="60">
        <v>697.27290840148862</v>
      </c>
      <c r="E19" s="60">
        <v>15.989994388818737</v>
      </c>
      <c r="F19" s="60">
        <v>0</v>
      </c>
      <c r="G19" s="60">
        <v>1353.8456548055015</v>
      </c>
      <c r="H19" s="61">
        <v>26.23873750964794</v>
      </c>
      <c r="I19" s="59">
        <v>268.23528199195846</v>
      </c>
      <c r="J19" s="60">
        <v>584.09337008794125</v>
      </c>
      <c r="K19" s="60">
        <v>31.941979445020301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430.75061409029939</v>
      </c>
      <c r="V19" s="62">
        <v>128.30002879215701</v>
      </c>
      <c r="W19" s="62">
        <v>70.525483493260651</v>
      </c>
      <c r="X19" s="62">
        <v>21.006172171978122</v>
      </c>
      <c r="Y19" s="66">
        <v>225.50571154181534</v>
      </c>
      <c r="Z19" s="66">
        <v>67.167377914743</v>
      </c>
      <c r="AA19" s="67">
        <v>0</v>
      </c>
      <c r="AB19" s="68">
        <v>108.86311856905418</v>
      </c>
      <c r="AC19" s="69">
        <v>0</v>
      </c>
      <c r="AD19" s="409">
        <v>18.362782226588173</v>
      </c>
      <c r="AE19" s="409">
        <v>5.9887255427068</v>
      </c>
      <c r="AF19" s="69">
        <v>23.321285720003935</v>
      </c>
      <c r="AG19" s="68">
        <v>17.802091533009435</v>
      </c>
      <c r="AH19" s="68">
        <v>5.3023925713241624</v>
      </c>
      <c r="AI19" s="68">
        <v>0.77050374518729814</v>
      </c>
      <c r="AJ19" s="69">
        <v>243.20869290033977</v>
      </c>
      <c r="AK19" s="69">
        <v>1266.8220197041833</v>
      </c>
      <c r="AL19" s="69">
        <v>2943.2906267801923</v>
      </c>
      <c r="AM19" s="69">
        <v>406.396728515625</v>
      </c>
      <c r="AN19" s="69">
        <v>4113.3841552734375</v>
      </c>
      <c r="AO19" s="69">
        <v>2340.2847994486492</v>
      </c>
      <c r="AP19" s="69">
        <v>581.9794902324677</v>
      </c>
      <c r="AQ19" s="69">
        <v>3134.1768156687417</v>
      </c>
      <c r="AR19" s="69">
        <v>419.43000961939492</v>
      </c>
      <c r="AS19" s="69">
        <v>678.45713574091576</v>
      </c>
    </row>
    <row r="20" spans="1:45" x14ac:dyDescent="0.25">
      <c r="A20" s="11">
        <v>43629</v>
      </c>
      <c r="B20" s="59"/>
      <c r="C20" s="60">
        <v>62.727842720349763</v>
      </c>
      <c r="D20" s="60">
        <v>700.55302721659234</v>
      </c>
      <c r="E20" s="60">
        <v>15.952973151206969</v>
      </c>
      <c r="F20" s="60">
        <v>0</v>
      </c>
      <c r="G20" s="60">
        <v>1358.4365299224899</v>
      </c>
      <c r="H20" s="61">
        <v>26.23379796147352</v>
      </c>
      <c r="I20" s="59">
        <v>304.52689245541944</v>
      </c>
      <c r="J20" s="60">
        <v>683.31824941635034</v>
      </c>
      <c r="K20" s="60">
        <v>37.445947610338564</v>
      </c>
      <c r="L20" s="60">
        <v>9.4413757324218753E-6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494.63820047668509</v>
      </c>
      <c r="V20" s="62">
        <v>141.45986593804702</v>
      </c>
      <c r="W20" s="62">
        <v>80.084229599562491</v>
      </c>
      <c r="X20" s="62">
        <v>22.903011477860716</v>
      </c>
      <c r="Y20" s="66">
        <v>269.492486390468</v>
      </c>
      <c r="Z20" s="66">
        <v>77.071222884459516</v>
      </c>
      <c r="AA20" s="67">
        <v>0</v>
      </c>
      <c r="AB20" s="68">
        <v>121.02593719164328</v>
      </c>
      <c r="AC20" s="69">
        <v>0</v>
      </c>
      <c r="AD20" s="409">
        <v>21.483594550136274</v>
      </c>
      <c r="AE20" s="409">
        <v>5.9887318696993432</v>
      </c>
      <c r="AF20" s="69">
        <v>26.650168018870879</v>
      </c>
      <c r="AG20" s="68">
        <v>20.515449030149295</v>
      </c>
      <c r="AH20" s="68">
        <v>5.8671422196404883</v>
      </c>
      <c r="AI20" s="68">
        <v>0.7776131175254728</v>
      </c>
      <c r="AJ20" s="69">
        <v>232.42654878298441</v>
      </c>
      <c r="AK20" s="69">
        <v>1278.4879756291705</v>
      </c>
      <c r="AL20" s="69">
        <v>3011.5911931355786</v>
      </c>
      <c r="AM20" s="69">
        <v>414.08366673787435</v>
      </c>
      <c r="AN20" s="69">
        <v>4113.3841552734375</v>
      </c>
      <c r="AO20" s="69">
        <v>2429.2385059356689</v>
      </c>
      <c r="AP20" s="69">
        <v>590.66628144582114</v>
      </c>
      <c r="AQ20" s="69">
        <v>3484.2262007395429</v>
      </c>
      <c r="AR20" s="69">
        <v>532.77557474772129</v>
      </c>
      <c r="AS20" s="69">
        <v>801.78002742131548</v>
      </c>
    </row>
    <row r="21" spans="1:45" x14ac:dyDescent="0.25">
      <c r="A21" s="11">
        <v>43630</v>
      </c>
      <c r="B21" s="59"/>
      <c r="C21" s="60">
        <v>63.531050451596762</v>
      </c>
      <c r="D21" s="60">
        <v>704.09924004872585</v>
      </c>
      <c r="E21" s="60">
        <v>15.855102444688468</v>
      </c>
      <c r="F21" s="60">
        <v>0</v>
      </c>
      <c r="G21" s="60">
        <v>1380.6518251419081</v>
      </c>
      <c r="H21" s="61">
        <v>26.234493319193589</v>
      </c>
      <c r="I21" s="59">
        <v>303.10374695459967</v>
      </c>
      <c r="J21" s="60">
        <v>696.11330823898538</v>
      </c>
      <c r="K21" s="60">
        <v>38.148380642135884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519.99570491103555</v>
      </c>
      <c r="V21" s="62">
        <v>131.60752770581092</v>
      </c>
      <c r="W21" s="62">
        <v>84.324945728141799</v>
      </c>
      <c r="X21" s="62">
        <v>21.342094802698632</v>
      </c>
      <c r="Y21" s="66">
        <v>303.02963672476324</v>
      </c>
      <c r="Z21" s="66">
        <v>76.694828311628484</v>
      </c>
      <c r="AA21" s="67">
        <v>0</v>
      </c>
      <c r="AB21" s="68">
        <v>122.63997938367932</v>
      </c>
      <c r="AC21" s="69">
        <v>0</v>
      </c>
      <c r="AD21" s="409">
        <v>21.888999361753005</v>
      </c>
      <c r="AE21" s="409">
        <v>5.9801530188099887</v>
      </c>
      <c r="AF21" s="69">
        <v>27.223349429501425</v>
      </c>
      <c r="AG21" s="68">
        <v>21.498136546966276</v>
      </c>
      <c r="AH21" s="68">
        <v>5.4410384057157328</v>
      </c>
      <c r="AI21" s="68">
        <v>0.79802505402363721</v>
      </c>
      <c r="AJ21" s="69">
        <v>231.22301518122356</v>
      </c>
      <c r="AK21" s="69">
        <v>1251.0333617528279</v>
      </c>
      <c r="AL21" s="69">
        <v>3006.4668811798097</v>
      </c>
      <c r="AM21" s="69">
        <v>430.5553381919861</v>
      </c>
      <c r="AN21" s="69">
        <v>4113.3841552734375</v>
      </c>
      <c r="AO21" s="69">
        <v>2589.3766354878744</v>
      </c>
      <c r="AP21" s="69">
        <v>596.66648298899327</v>
      </c>
      <c r="AQ21" s="69">
        <v>3427.0640740712483</v>
      </c>
      <c r="AR21" s="69">
        <v>612.90661935806258</v>
      </c>
      <c r="AS21" s="69">
        <v>824.60936069488537</v>
      </c>
    </row>
    <row r="22" spans="1:45" x14ac:dyDescent="0.25">
      <c r="A22" s="11">
        <v>43631</v>
      </c>
      <c r="B22" s="59"/>
      <c r="C22" s="60">
        <v>63.554879363378113</v>
      </c>
      <c r="D22" s="60">
        <v>704.89672304789121</v>
      </c>
      <c r="E22" s="60">
        <v>15.66911699473855</v>
      </c>
      <c r="F22" s="60">
        <v>0</v>
      </c>
      <c r="G22" s="60">
        <v>1324.7292521158874</v>
      </c>
      <c r="H22" s="61">
        <v>26.416539484262511</v>
      </c>
      <c r="I22" s="59">
        <v>302.62856432596806</v>
      </c>
      <c r="J22" s="60">
        <v>681.01237335205144</v>
      </c>
      <c r="K22" s="60">
        <v>37.249314443270379</v>
      </c>
      <c r="L22" s="60">
        <v>1.8882751464843751E-5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499.22578200643659</v>
      </c>
      <c r="V22" s="62">
        <v>142.65161014783541</v>
      </c>
      <c r="W22" s="62">
        <v>82.204583198559178</v>
      </c>
      <c r="X22" s="62">
        <v>23.489604458479217</v>
      </c>
      <c r="Y22" s="66">
        <v>306.24636650160778</v>
      </c>
      <c r="Z22" s="66">
        <v>87.508575995009863</v>
      </c>
      <c r="AA22" s="67">
        <v>0</v>
      </c>
      <c r="AB22" s="68">
        <v>120.26651035414561</v>
      </c>
      <c r="AC22" s="69">
        <v>0</v>
      </c>
      <c r="AD22" s="409">
        <v>21.412706107042005</v>
      </c>
      <c r="AE22" s="409">
        <v>5.9871259430924537</v>
      </c>
      <c r="AF22" s="69">
        <v>26.991822991106215</v>
      </c>
      <c r="AG22" s="68">
        <v>20.767848596829523</v>
      </c>
      <c r="AH22" s="68">
        <v>5.934323002584831</v>
      </c>
      <c r="AI22" s="68">
        <v>0.77775878712744906</v>
      </c>
      <c r="AJ22" s="69">
        <v>240.32594326337181</v>
      </c>
      <c r="AK22" s="69">
        <v>1281.1421650568645</v>
      </c>
      <c r="AL22" s="69">
        <v>2963.1123817443849</v>
      </c>
      <c r="AM22" s="69">
        <v>363.76769256591797</v>
      </c>
      <c r="AN22" s="69">
        <v>4113.3841552734375</v>
      </c>
      <c r="AO22" s="69">
        <v>2579.2919005076087</v>
      </c>
      <c r="AP22" s="69">
        <v>585.18009112675986</v>
      </c>
      <c r="AQ22" s="69">
        <v>3411.2029111226393</v>
      </c>
      <c r="AR22" s="69">
        <v>507.37387555440273</v>
      </c>
      <c r="AS22" s="69">
        <v>756.69998458226507</v>
      </c>
    </row>
    <row r="23" spans="1:45" x14ac:dyDescent="0.25">
      <c r="A23" s="11">
        <v>43632</v>
      </c>
      <c r="B23" s="59"/>
      <c r="C23" s="60">
        <v>63.609310217698614</v>
      </c>
      <c r="D23" s="60">
        <v>705.00803616841642</v>
      </c>
      <c r="E23" s="60">
        <v>15.663455982009525</v>
      </c>
      <c r="F23" s="60">
        <v>0</v>
      </c>
      <c r="G23" s="60">
        <v>1295.327179908757</v>
      </c>
      <c r="H23" s="61">
        <v>26.32511484424278</v>
      </c>
      <c r="I23" s="59">
        <v>307.8034577886263</v>
      </c>
      <c r="J23" s="60">
        <v>684.76173391342184</v>
      </c>
      <c r="K23" s="60">
        <v>37.532257435719131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508.42682373978556</v>
      </c>
      <c r="V23" s="62">
        <v>146.69000685290158</v>
      </c>
      <c r="W23" s="62">
        <v>80.995556587749249</v>
      </c>
      <c r="X23" s="62">
        <v>23.368630835638939</v>
      </c>
      <c r="Y23" s="66">
        <v>303.8876158721838</v>
      </c>
      <c r="Z23" s="66">
        <v>87.676877720396121</v>
      </c>
      <c r="AA23" s="67">
        <v>0</v>
      </c>
      <c r="AB23" s="68">
        <v>120.80289569430757</v>
      </c>
      <c r="AC23" s="69">
        <v>0</v>
      </c>
      <c r="AD23" s="409">
        <v>21.531974248512931</v>
      </c>
      <c r="AE23" s="409">
        <v>5.9880065616447853</v>
      </c>
      <c r="AF23" s="69">
        <v>26.83918971154424</v>
      </c>
      <c r="AG23" s="68">
        <v>20.520924503557701</v>
      </c>
      <c r="AH23" s="68">
        <v>5.9206446542548923</v>
      </c>
      <c r="AI23" s="68">
        <v>0.77608573005185888</v>
      </c>
      <c r="AJ23" s="69">
        <v>244.24516175587974</v>
      </c>
      <c r="AK23" s="69">
        <v>1270.1874139149984</v>
      </c>
      <c r="AL23" s="69">
        <v>2926.8235903422042</v>
      </c>
      <c r="AM23" s="69">
        <v>363.76769256591797</v>
      </c>
      <c r="AN23" s="69">
        <v>4113.3841552734375</v>
      </c>
      <c r="AO23" s="69">
        <v>2558.9065830230716</v>
      </c>
      <c r="AP23" s="69">
        <v>573.31395209630318</v>
      </c>
      <c r="AQ23" s="69">
        <v>3441.8174823760996</v>
      </c>
      <c r="AR23" s="69">
        <v>436.05937547683715</v>
      </c>
      <c r="AS23" s="69">
        <v>717.68950064977014</v>
      </c>
    </row>
    <row r="24" spans="1:45" x14ac:dyDescent="0.25">
      <c r="A24" s="11">
        <v>43633</v>
      </c>
      <c r="B24" s="59"/>
      <c r="C24" s="60">
        <v>63.725350860755015</v>
      </c>
      <c r="D24" s="60">
        <v>704.43048483530526</v>
      </c>
      <c r="E24" s="60">
        <v>15.666694970925633</v>
      </c>
      <c r="F24" s="60">
        <v>0</v>
      </c>
      <c r="G24" s="60">
        <v>1248.8662930170692</v>
      </c>
      <c r="H24" s="61">
        <v>26.235795114437757</v>
      </c>
      <c r="I24" s="59">
        <v>285.47888099352474</v>
      </c>
      <c r="J24" s="60">
        <v>685.36254866918136</v>
      </c>
      <c r="K24" s="60">
        <v>37.514867775638891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516.39285720037958</v>
      </c>
      <c r="V24" s="62">
        <v>147.56450577993135</v>
      </c>
      <c r="W24" s="62">
        <v>82.618535517847661</v>
      </c>
      <c r="X24" s="62">
        <v>23.609085973902452</v>
      </c>
      <c r="Y24" s="66">
        <v>302.78084403321941</v>
      </c>
      <c r="Z24" s="66">
        <v>86.522702602091016</v>
      </c>
      <c r="AA24" s="67">
        <v>0</v>
      </c>
      <c r="AB24" s="68">
        <v>120.92215382258131</v>
      </c>
      <c r="AC24" s="69">
        <v>0</v>
      </c>
      <c r="AD24" s="409">
        <v>21.550836394467421</v>
      </c>
      <c r="AE24" s="409">
        <v>5.9837297709793882</v>
      </c>
      <c r="AF24" s="69">
        <v>26.85592975484003</v>
      </c>
      <c r="AG24" s="68">
        <v>20.556685449286459</v>
      </c>
      <c r="AH24" s="68">
        <v>5.8742817343431515</v>
      </c>
      <c r="AI24" s="68">
        <v>0.77775002732471055</v>
      </c>
      <c r="AJ24" s="69">
        <v>233.57016798655192</v>
      </c>
      <c r="AK24" s="69">
        <v>1263.8660507202146</v>
      </c>
      <c r="AL24" s="69">
        <v>2789.028452301025</v>
      </c>
      <c r="AM24" s="69">
        <v>363.76769256591797</v>
      </c>
      <c r="AN24" s="69">
        <v>4113.3841552734375</v>
      </c>
      <c r="AO24" s="69">
        <v>2596.1706189473466</v>
      </c>
      <c r="AP24" s="69">
        <v>548.34680864016207</v>
      </c>
      <c r="AQ24" s="69">
        <v>3448.0269822438559</v>
      </c>
      <c r="AR24" s="69">
        <v>434.94590762456278</v>
      </c>
      <c r="AS24" s="69">
        <v>690.6540294329327</v>
      </c>
    </row>
    <row r="25" spans="1:45" x14ac:dyDescent="0.25">
      <c r="A25" s="11">
        <v>43634</v>
      </c>
      <c r="B25" s="59"/>
      <c r="C25" s="60">
        <v>62.877268461385817</v>
      </c>
      <c r="D25" s="60">
        <v>705.3827361106853</v>
      </c>
      <c r="E25" s="60">
        <v>15.649717337886443</v>
      </c>
      <c r="F25" s="60">
        <v>0</v>
      </c>
      <c r="G25" s="60">
        <v>1295.8799973169921</v>
      </c>
      <c r="H25" s="61">
        <v>26.405124733845419</v>
      </c>
      <c r="I25" s="59">
        <v>237.43105723063152</v>
      </c>
      <c r="J25" s="60">
        <v>619.63369792302251</v>
      </c>
      <c r="K25" s="60">
        <v>33.890547535816793</v>
      </c>
      <c r="L25" s="60">
        <v>4.7206878662109375E-5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459.19300429043057</v>
      </c>
      <c r="V25" s="62">
        <v>145.43745297308632</v>
      </c>
      <c r="W25" s="62">
        <v>73.564820932824873</v>
      </c>
      <c r="X25" s="62">
        <v>23.299745607893179</v>
      </c>
      <c r="Y25" s="66">
        <v>275.60874245637063</v>
      </c>
      <c r="Z25" s="66">
        <v>87.291908076669273</v>
      </c>
      <c r="AA25" s="67">
        <v>0</v>
      </c>
      <c r="AB25" s="68">
        <v>112.56931092474119</v>
      </c>
      <c r="AC25" s="69">
        <v>0</v>
      </c>
      <c r="AD25" s="409">
        <v>19.48003237715411</v>
      </c>
      <c r="AE25" s="409">
        <v>5.9903953849520377</v>
      </c>
      <c r="AF25" s="69">
        <v>25.09359185563196</v>
      </c>
      <c r="AG25" s="68">
        <v>18.770714575000341</v>
      </c>
      <c r="AH25" s="68">
        <v>5.9451361252581014</v>
      </c>
      <c r="AI25" s="68">
        <v>0.7594605908023252</v>
      </c>
      <c r="AJ25" s="69">
        <v>225.46289313634236</v>
      </c>
      <c r="AK25" s="69">
        <v>1254.6000365575158</v>
      </c>
      <c r="AL25" s="69">
        <v>2763.3320793151856</v>
      </c>
      <c r="AM25" s="69">
        <v>363.76769256591797</v>
      </c>
      <c r="AN25" s="69">
        <v>4113.3841552734375</v>
      </c>
      <c r="AO25" s="69">
        <v>2614.4301480611166</v>
      </c>
      <c r="AP25" s="69">
        <v>551.65652793248489</v>
      </c>
      <c r="AQ25" s="69">
        <v>3237.2352522532142</v>
      </c>
      <c r="AR25" s="69">
        <v>446.95608167648311</v>
      </c>
      <c r="AS25" s="69">
        <v>700.35367937088006</v>
      </c>
    </row>
    <row r="26" spans="1:45" x14ac:dyDescent="0.25">
      <c r="A26" s="11">
        <v>43635</v>
      </c>
      <c r="B26" s="59"/>
      <c r="C26" s="60">
        <v>62.734045604864356</v>
      </c>
      <c r="D26" s="60">
        <v>706.02320788701184</v>
      </c>
      <c r="E26" s="60">
        <v>15.671446371078435</v>
      </c>
      <c r="F26" s="60">
        <v>0</v>
      </c>
      <c r="G26" s="60">
        <v>1317.7023733774834</v>
      </c>
      <c r="H26" s="61">
        <v>26.24815444151562</v>
      </c>
      <c r="I26" s="59">
        <v>228.69039095242854</v>
      </c>
      <c r="J26" s="60">
        <v>604.55823179880645</v>
      </c>
      <c r="K26" s="60">
        <v>33.022690019011435</v>
      </c>
      <c r="L26" s="60">
        <v>9.4413757324218764E-5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439.09740251749838</v>
      </c>
      <c r="V26" s="62">
        <v>143.63054995222819</v>
      </c>
      <c r="W26" s="62">
        <v>69.597783488591261</v>
      </c>
      <c r="X26" s="62">
        <v>22.765718632380448</v>
      </c>
      <c r="Y26" s="66">
        <v>260.91387410935465</v>
      </c>
      <c r="Z26" s="66">
        <v>85.345991603764105</v>
      </c>
      <c r="AA26" s="67">
        <v>0</v>
      </c>
      <c r="AB26" s="68">
        <v>110.20526317490297</v>
      </c>
      <c r="AC26" s="69">
        <v>0</v>
      </c>
      <c r="AD26" s="409">
        <v>19.001337060697853</v>
      </c>
      <c r="AE26" s="409">
        <v>5.9963260392842122</v>
      </c>
      <c r="AF26" s="69">
        <v>24.134906545612523</v>
      </c>
      <c r="AG26" s="68">
        <v>17.906756552324531</v>
      </c>
      <c r="AH26" s="68">
        <v>5.8573730491802305</v>
      </c>
      <c r="AI26" s="68">
        <v>0.75352040460133929</v>
      </c>
      <c r="AJ26" s="69">
        <v>231.10130097071331</v>
      </c>
      <c r="AK26" s="69">
        <v>1266.5096682866415</v>
      </c>
      <c r="AL26" s="69">
        <v>2797.6391288757322</v>
      </c>
      <c r="AM26" s="69">
        <v>363.76769256591797</v>
      </c>
      <c r="AN26" s="69">
        <v>4113.3841552734375</v>
      </c>
      <c r="AO26" s="69">
        <v>2643.8126653035479</v>
      </c>
      <c r="AP26" s="69">
        <v>554.89695259730013</v>
      </c>
      <c r="AQ26" s="69">
        <v>2941.4651576995852</v>
      </c>
      <c r="AR26" s="69">
        <v>451.5492361704508</v>
      </c>
      <c r="AS26" s="69">
        <v>747.02475697199509</v>
      </c>
    </row>
    <row r="27" spans="1:45" x14ac:dyDescent="0.25">
      <c r="A27" s="11">
        <v>43636</v>
      </c>
      <c r="B27" s="59"/>
      <c r="C27" s="60">
        <v>63.462309404214174</v>
      </c>
      <c r="D27" s="60">
        <v>706.35580565134683</v>
      </c>
      <c r="E27" s="60">
        <v>15.894267472624769</v>
      </c>
      <c r="F27" s="60">
        <v>0</v>
      </c>
      <c r="G27" s="60">
        <v>1406.7472171783456</v>
      </c>
      <c r="H27" s="61">
        <v>26.355150216817886</v>
      </c>
      <c r="I27" s="59">
        <v>211.48501601219192</v>
      </c>
      <c r="J27" s="60">
        <v>641.85828968684052</v>
      </c>
      <c r="K27" s="60">
        <v>35.083031528194766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466.74246721471366</v>
      </c>
      <c r="V27" s="62">
        <v>130.75207261835939</v>
      </c>
      <c r="W27" s="62">
        <v>75.08639030280051</v>
      </c>
      <c r="X27" s="62">
        <v>21.034514421002648</v>
      </c>
      <c r="Y27" s="66">
        <v>271.6868832173264</v>
      </c>
      <c r="Z27" s="66">
        <v>76.10968698836183</v>
      </c>
      <c r="AA27" s="67">
        <v>0</v>
      </c>
      <c r="AB27" s="68">
        <v>127.33739542431195</v>
      </c>
      <c r="AC27" s="69">
        <v>0</v>
      </c>
      <c r="AD27" s="409">
        <v>20.181540861971737</v>
      </c>
      <c r="AE27" s="409">
        <v>5.9987936402217148</v>
      </c>
      <c r="AF27" s="69">
        <v>24.384047842025719</v>
      </c>
      <c r="AG27" s="68">
        <v>18.748653453309149</v>
      </c>
      <c r="AH27" s="68">
        <v>5.2522010959328753</v>
      </c>
      <c r="AI27" s="68">
        <v>0.78116607951783346</v>
      </c>
      <c r="AJ27" s="69">
        <v>242.31526505152385</v>
      </c>
      <c r="AK27" s="69">
        <v>1227.4405122756957</v>
      </c>
      <c r="AL27" s="69">
        <v>2895.0517002105717</v>
      </c>
      <c r="AM27" s="69">
        <v>363.76769256591797</v>
      </c>
      <c r="AN27" s="69">
        <v>4113.3841552734375</v>
      </c>
      <c r="AO27" s="69">
        <v>2636.6875912984206</v>
      </c>
      <c r="AP27" s="69">
        <v>576.84385261535647</v>
      </c>
      <c r="AQ27" s="69">
        <v>3041.6160785675052</v>
      </c>
      <c r="AR27" s="69">
        <v>512.84394801457722</v>
      </c>
      <c r="AS27" s="69">
        <v>767.40247685114525</v>
      </c>
    </row>
    <row r="28" spans="1:45" x14ac:dyDescent="0.25">
      <c r="A28" s="11">
        <v>43637</v>
      </c>
      <c r="B28" s="59"/>
      <c r="C28" s="60">
        <v>63.107315325737062</v>
      </c>
      <c r="D28" s="60">
        <v>705.54093859990292</v>
      </c>
      <c r="E28" s="60">
        <v>15.946550569931663</v>
      </c>
      <c r="F28" s="60">
        <v>0</v>
      </c>
      <c r="G28" s="60">
        <v>1446.1747337977126</v>
      </c>
      <c r="H28" s="61">
        <v>26.274248061577484</v>
      </c>
      <c r="I28" s="59">
        <v>163.86888520717633</v>
      </c>
      <c r="J28" s="60">
        <v>511.47663680712401</v>
      </c>
      <c r="K28" s="60">
        <v>27.965148875117286</v>
      </c>
      <c r="L28" s="60">
        <v>9.4413757324218753E-6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379.86118957929267</v>
      </c>
      <c r="V28" s="62">
        <v>147.70300675300595</v>
      </c>
      <c r="W28" s="62">
        <v>59.430673109690666</v>
      </c>
      <c r="X28" s="62">
        <v>23.108675885994877</v>
      </c>
      <c r="Y28" s="66">
        <v>220.7623107854543</v>
      </c>
      <c r="Z28" s="66">
        <v>85.839927782216023</v>
      </c>
      <c r="AA28" s="67">
        <v>0</v>
      </c>
      <c r="AB28" s="68">
        <v>111.62977595858798</v>
      </c>
      <c r="AC28" s="69">
        <v>0</v>
      </c>
      <c r="AD28" s="409">
        <v>16.078693045323931</v>
      </c>
      <c r="AE28" s="409">
        <v>5.9924858382578208</v>
      </c>
      <c r="AF28" s="69">
        <v>21.331611618068489</v>
      </c>
      <c r="AG28" s="68">
        <v>15.100676195214273</v>
      </c>
      <c r="AH28" s="68">
        <v>5.871658751205775</v>
      </c>
      <c r="AI28" s="68">
        <v>0.72002837231969441</v>
      </c>
      <c r="AJ28" s="69">
        <v>246.68184267679851</v>
      </c>
      <c r="AK28" s="69">
        <v>1026.7791527430213</v>
      </c>
      <c r="AL28" s="69">
        <v>2863.7710998535154</v>
      </c>
      <c r="AM28" s="69">
        <v>363.76769256591797</v>
      </c>
      <c r="AN28" s="69">
        <v>4113.3841552734375</v>
      </c>
      <c r="AO28" s="69">
        <v>2668.8710502624508</v>
      </c>
      <c r="AP28" s="69">
        <v>570.54001742998764</v>
      </c>
      <c r="AQ28" s="69">
        <v>2828.8336133321127</v>
      </c>
      <c r="AR28" s="69">
        <v>548.68197437922163</v>
      </c>
      <c r="AS28" s="69">
        <v>622.97162698109935</v>
      </c>
    </row>
    <row r="29" spans="1:45" x14ac:dyDescent="0.25">
      <c r="A29" s="11">
        <v>43638</v>
      </c>
      <c r="B29" s="59"/>
      <c r="C29" s="60">
        <v>62.678187958398865</v>
      </c>
      <c r="D29" s="60">
        <v>704.68996823628686</v>
      </c>
      <c r="E29" s="60">
        <v>15.964769606788927</v>
      </c>
      <c r="F29" s="60">
        <v>0</v>
      </c>
      <c r="G29" s="60">
        <v>1443.8825330098539</v>
      </c>
      <c r="H29" s="61">
        <v>26.338973259925876</v>
      </c>
      <c r="I29" s="59">
        <v>112.22738661766044</v>
      </c>
      <c r="J29" s="60">
        <v>389.02808570861816</v>
      </c>
      <c r="K29" s="60">
        <v>21.287450819710905</v>
      </c>
      <c r="L29" s="60">
        <v>9.4413757324218753E-6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300.15814532137279</v>
      </c>
      <c r="V29" s="62">
        <v>152.3931072344769</v>
      </c>
      <c r="W29" s="62">
        <v>45.667461216512102</v>
      </c>
      <c r="X29" s="62">
        <v>23.185798629062553</v>
      </c>
      <c r="Y29" s="66">
        <v>165.28152826475247</v>
      </c>
      <c r="Z29" s="66">
        <v>83.914982995915878</v>
      </c>
      <c r="AA29" s="67">
        <v>0</v>
      </c>
      <c r="AB29" s="68">
        <v>92.231381702423548</v>
      </c>
      <c r="AC29" s="69">
        <v>0</v>
      </c>
      <c r="AD29" s="409">
        <v>12.230725065850013</v>
      </c>
      <c r="AE29" s="409">
        <v>5.9847686938191504</v>
      </c>
      <c r="AF29" s="69">
        <v>17.760571698678859</v>
      </c>
      <c r="AG29" s="68">
        <v>11.604724647693743</v>
      </c>
      <c r="AH29" s="68">
        <v>5.8918276089729194</v>
      </c>
      <c r="AI29" s="68">
        <v>0.66325779373316407</v>
      </c>
      <c r="AJ29" s="69">
        <v>241.88609070777889</v>
      </c>
      <c r="AK29" s="69">
        <v>1032.9025402704874</v>
      </c>
      <c r="AL29" s="69">
        <v>2733.0740624745686</v>
      </c>
      <c r="AM29" s="69">
        <v>383.5162425518036</v>
      </c>
      <c r="AN29" s="69">
        <v>4225.7893910725907</v>
      </c>
      <c r="AO29" s="69">
        <v>2715.0635375976563</v>
      </c>
      <c r="AP29" s="69">
        <v>520.65074753761303</v>
      </c>
      <c r="AQ29" s="69">
        <v>2247.9198304494225</v>
      </c>
      <c r="AR29" s="69">
        <v>446.57032988866172</v>
      </c>
      <c r="AS29" s="69">
        <v>600.91478945414224</v>
      </c>
    </row>
    <row r="30" spans="1:45" x14ac:dyDescent="0.25">
      <c r="A30" s="11">
        <v>43639</v>
      </c>
      <c r="B30" s="59"/>
      <c r="C30" s="60">
        <v>63.747147957484266</v>
      </c>
      <c r="D30" s="60">
        <v>696.87004690170227</v>
      </c>
      <c r="E30" s="60">
        <v>15.978715193271606</v>
      </c>
      <c r="F30" s="60">
        <v>0</v>
      </c>
      <c r="G30" s="60">
        <v>1339.6383570353166</v>
      </c>
      <c r="H30" s="61">
        <v>26.346339344978368</v>
      </c>
      <c r="I30" s="59">
        <v>103.87226924896235</v>
      </c>
      <c r="J30" s="60">
        <v>361.02340895334839</v>
      </c>
      <c r="K30" s="60">
        <v>19.785994758208581</v>
      </c>
      <c r="L30" s="60">
        <v>6.6089630126953122E-5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284.72307168242997</v>
      </c>
      <c r="V30" s="62">
        <v>155.30438220636245</v>
      </c>
      <c r="W30" s="62">
        <v>43.027492623489081</v>
      </c>
      <c r="X30" s="62">
        <v>23.46967571083616</v>
      </c>
      <c r="Y30" s="66">
        <v>151.05352344025317</v>
      </c>
      <c r="Z30" s="66">
        <v>82.393302373993961</v>
      </c>
      <c r="AA30" s="67">
        <v>0</v>
      </c>
      <c r="AB30" s="68">
        <v>88.313380898370085</v>
      </c>
      <c r="AC30" s="69">
        <v>0</v>
      </c>
      <c r="AD30" s="409">
        <v>11.351472452508935</v>
      </c>
      <c r="AE30" s="409">
        <v>5.9843807627827807</v>
      </c>
      <c r="AF30" s="69">
        <v>17.184619808197013</v>
      </c>
      <c r="AG30" s="68">
        <v>11.000676962625381</v>
      </c>
      <c r="AH30" s="68">
        <v>6.0004035831625453</v>
      </c>
      <c r="AI30" s="68">
        <v>0.64705751690299684</v>
      </c>
      <c r="AJ30" s="69">
        <v>241.86643851598103</v>
      </c>
      <c r="AK30" s="69">
        <v>1035.5488393147784</v>
      </c>
      <c r="AL30" s="69">
        <v>2736.724941507975</v>
      </c>
      <c r="AM30" s="69">
        <v>485.37895202636719</v>
      </c>
      <c r="AN30" s="69">
        <v>5002.7442626953125</v>
      </c>
      <c r="AO30" s="69">
        <v>2725.7612255096437</v>
      </c>
      <c r="AP30" s="69">
        <v>531.39585928916927</v>
      </c>
      <c r="AQ30" s="69">
        <v>2058.0269111633302</v>
      </c>
      <c r="AR30" s="69">
        <v>436.8819907824199</v>
      </c>
      <c r="AS30" s="69">
        <v>572.81547616322837</v>
      </c>
    </row>
    <row r="31" spans="1:45" x14ac:dyDescent="0.25">
      <c r="A31" s="11">
        <v>43640</v>
      </c>
      <c r="B31" s="59"/>
      <c r="C31" s="60">
        <v>64.11131134430552</v>
      </c>
      <c r="D31" s="60">
        <v>680.87558724085432</v>
      </c>
      <c r="E31" s="60">
        <v>15.936254183451315</v>
      </c>
      <c r="F31" s="60">
        <v>0</v>
      </c>
      <c r="G31" s="60">
        <v>1215.2727232615166</v>
      </c>
      <c r="H31" s="61">
        <v>26.204707791407884</v>
      </c>
      <c r="I31" s="59">
        <v>113.05883773962664</v>
      </c>
      <c r="J31" s="60">
        <v>383.99512368838037</v>
      </c>
      <c r="K31" s="60">
        <v>20.917092333734061</v>
      </c>
      <c r="L31" s="60">
        <v>9.4413757324218753E-6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294.37950895426519</v>
      </c>
      <c r="V31" s="62">
        <v>149.89547381601548</v>
      </c>
      <c r="W31" s="62">
        <v>44.694155403189242</v>
      </c>
      <c r="X31" s="62">
        <v>22.757873415735968</v>
      </c>
      <c r="Y31" s="66">
        <v>150.84399822224282</v>
      </c>
      <c r="Z31" s="66">
        <v>76.808445894031664</v>
      </c>
      <c r="AA31" s="67">
        <v>0</v>
      </c>
      <c r="AB31" s="68">
        <v>91.562985875870268</v>
      </c>
      <c r="AC31" s="69">
        <v>0</v>
      </c>
      <c r="AD31" s="409">
        <v>12.072914009636595</v>
      </c>
      <c r="AE31" s="409">
        <v>5.9825589667532189</v>
      </c>
      <c r="AF31" s="69">
        <v>17.383210793468677</v>
      </c>
      <c r="AG31" s="68">
        <v>11.382517774988232</v>
      </c>
      <c r="AH31" s="68">
        <v>5.7958785961768573</v>
      </c>
      <c r="AI31" s="68">
        <v>0.66260653957749116</v>
      </c>
      <c r="AJ31" s="69">
        <v>227.56791024208067</v>
      </c>
      <c r="AK31" s="69">
        <v>1034.6729634602866</v>
      </c>
      <c r="AL31" s="69">
        <v>2774.8518658955891</v>
      </c>
      <c r="AM31" s="69">
        <v>485.37895202636719</v>
      </c>
      <c r="AN31" s="69">
        <v>5002.7442626953125</v>
      </c>
      <c r="AO31" s="69">
        <v>2663.0495653788244</v>
      </c>
      <c r="AP31" s="69">
        <v>536.74868152936313</v>
      </c>
      <c r="AQ31" s="69">
        <v>2257.7436482111607</v>
      </c>
      <c r="AR31" s="69">
        <v>415.46922165552775</v>
      </c>
      <c r="AS31" s="69">
        <v>754.84353310267124</v>
      </c>
    </row>
    <row r="32" spans="1:45" x14ac:dyDescent="0.25">
      <c r="A32" s="11">
        <v>43641</v>
      </c>
      <c r="B32" s="59"/>
      <c r="C32" s="60">
        <v>63.872855965296949</v>
      </c>
      <c r="D32" s="60">
        <v>659.31130234400348</v>
      </c>
      <c r="E32" s="60">
        <v>15.93557995955149</v>
      </c>
      <c r="F32" s="60">
        <v>0</v>
      </c>
      <c r="G32" s="60">
        <v>1235.7608270645146</v>
      </c>
      <c r="H32" s="61">
        <v>26.327255310614891</v>
      </c>
      <c r="I32" s="59">
        <v>115.68489981492368</v>
      </c>
      <c r="J32" s="60">
        <v>392.0557010332746</v>
      </c>
      <c r="K32" s="60">
        <v>21.365556251009323</v>
      </c>
      <c r="L32" s="60">
        <v>2.8324127197265628E-5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306.45512029574985</v>
      </c>
      <c r="V32" s="62">
        <v>153.21316219190606</v>
      </c>
      <c r="W32" s="62">
        <v>46.756710968477172</v>
      </c>
      <c r="X32" s="62">
        <v>23.376158748008098</v>
      </c>
      <c r="Y32" s="66">
        <v>156.65601210155273</v>
      </c>
      <c r="Z32" s="66">
        <v>78.320645996350393</v>
      </c>
      <c r="AA32" s="67">
        <v>0</v>
      </c>
      <c r="AB32" s="68">
        <v>92.930138376023237</v>
      </c>
      <c r="AC32" s="69">
        <v>0</v>
      </c>
      <c r="AD32" s="409">
        <v>12.326159752222136</v>
      </c>
      <c r="AE32" s="409">
        <v>5.9823092656195458</v>
      </c>
      <c r="AF32" s="69">
        <v>17.924564479456986</v>
      </c>
      <c r="AG32" s="68">
        <v>11.843247449587158</v>
      </c>
      <c r="AH32" s="68">
        <v>5.9210673021919851</v>
      </c>
      <c r="AI32" s="68">
        <v>0.66668754832780852</v>
      </c>
      <c r="AJ32" s="69">
        <v>239.41718541781108</v>
      </c>
      <c r="AK32" s="69">
        <v>1039.4678277969363</v>
      </c>
      <c r="AL32" s="69">
        <v>2863.2463654836019</v>
      </c>
      <c r="AM32" s="69">
        <v>485.37895202636719</v>
      </c>
      <c r="AN32" s="69">
        <v>5002.7442626953125</v>
      </c>
      <c r="AO32" s="69">
        <v>2672.8477450052897</v>
      </c>
      <c r="AP32" s="69">
        <v>532.79933934211726</v>
      </c>
      <c r="AQ32" s="69">
        <v>2631.9217625935871</v>
      </c>
      <c r="AR32" s="69">
        <v>422.06691376368207</v>
      </c>
      <c r="AS32" s="69">
        <v>766.59422270456946</v>
      </c>
    </row>
    <row r="33" spans="1:45" x14ac:dyDescent="0.25">
      <c r="A33" s="11">
        <v>43642</v>
      </c>
      <c r="B33" s="59"/>
      <c r="C33" s="60">
        <v>63.634171187877932</v>
      </c>
      <c r="D33" s="60">
        <v>652.38009827931728</v>
      </c>
      <c r="E33" s="60">
        <v>15.942601808905575</v>
      </c>
      <c r="F33" s="60">
        <v>0</v>
      </c>
      <c r="G33" s="60">
        <v>1337.705733680725</v>
      </c>
      <c r="H33" s="61">
        <v>26.265776499112484</v>
      </c>
      <c r="I33" s="59">
        <v>118.54334998925523</v>
      </c>
      <c r="J33" s="60">
        <v>392.32759847641091</v>
      </c>
      <c r="K33" s="60">
        <v>21.436866197486729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307.4633669738563</v>
      </c>
      <c r="V33" s="62">
        <v>153.73750146316476</v>
      </c>
      <c r="W33" s="62">
        <v>47.143390430357975</v>
      </c>
      <c r="X33" s="62">
        <v>23.572587286087913</v>
      </c>
      <c r="Y33" s="66">
        <v>159.00644177000271</v>
      </c>
      <c r="Z33" s="66">
        <v>79.506229684744852</v>
      </c>
      <c r="AA33" s="67">
        <v>0</v>
      </c>
      <c r="AB33" s="68">
        <v>92.926944314107445</v>
      </c>
      <c r="AC33" s="69">
        <v>0</v>
      </c>
      <c r="AD33" s="409">
        <v>12.334798671956907</v>
      </c>
      <c r="AE33" s="409">
        <v>5.9815947207703859</v>
      </c>
      <c r="AF33" s="69">
        <v>18.179704138967733</v>
      </c>
      <c r="AG33" s="68">
        <v>11.999301647404513</v>
      </c>
      <c r="AH33" s="68">
        <v>5.9998778805140249</v>
      </c>
      <c r="AI33" s="68">
        <v>0.6666582567717817</v>
      </c>
      <c r="AJ33" s="69">
        <v>228.11492613156636</v>
      </c>
      <c r="AK33" s="69">
        <v>1035.8204727808634</v>
      </c>
      <c r="AL33" s="69">
        <v>2925.4960816701255</v>
      </c>
      <c r="AM33" s="69">
        <v>485.37895202636719</v>
      </c>
      <c r="AN33" s="69">
        <v>5002.7442626953125</v>
      </c>
      <c r="AO33" s="69">
        <v>2665.6444466908774</v>
      </c>
      <c r="AP33" s="69">
        <v>525.75668368339541</v>
      </c>
      <c r="AQ33" s="69">
        <v>2616.3631977081304</v>
      </c>
      <c r="AR33" s="69">
        <v>534.98706494967143</v>
      </c>
      <c r="AS33" s="69">
        <v>783.2199629147849</v>
      </c>
    </row>
    <row r="34" spans="1:45" x14ac:dyDescent="0.25">
      <c r="A34" s="11">
        <v>43643</v>
      </c>
      <c r="B34" s="59"/>
      <c r="C34" s="60">
        <v>63.375307512282795</v>
      </c>
      <c r="D34" s="60">
        <v>644.10756762822484</v>
      </c>
      <c r="E34" s="60">
        <v>15.931720352172823</v>
      </c>
      <c r="F34" s="60">
        <v>0</v>
      </c>
      <c r="G34" s="60">
        <v>1358.5732533137048</v>
      </c>
      <c r="H34" s="61">
        <v>26.282041976849261</v>
      </c>
      <c r="I34" s="59">
        <v>131.07553947766624</v>
      </c>
      <c r="J34" s="60">
        <v>392.31398893992196</v>
      </c>
      <c r="K34" s="60">
        <v>21.429161219298852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307.51223542083204</v>
      </c>
      <c r="V34" s="62">
        <v>153.75878599826939</v>
      </c>
      <c r="W34" s="62">
        <v>47.374022510570704</v>
      </c>
      <c r="X34" s="62">
        <v>23.687422320323652</v>
      </c>
      <c r="Y34" s="66">
        <v>159.85291798501146</v>
      </c>
      <c r="Z34" s="66">
        <v>79.927846038451406</v>
      </c>
      <c r="AA34" s="67">
        <v>0</v>
      </c>
      <c r="AB34" s="68">
        <v>92.930428139367223</v>
      </c>
      <c r="AC34" s="69">
        <v>0</v>
      </c>
      <c r="AD34" s="409">
        <v>12.33549635310432</v>
      </c>
      <c r="AE34" s="409">
        <v>5.9816749941365455</v>
      </c>
      <c r="AF34" s="69">
        <v>18.179258652528134</v>
      </c>
      <c r="AG34" s="68">
        <v>11.998837697090728</v>
      </c>
      <c r="AH34" s="68">
        <v>5.9995229626234199</v>
      </c>
      <c r="AI34" s="68">
        <v>0.66666281023847951</v>
      </c>
      <c r="AJ34" s="69">
        <v>233.07182165781657</v>
      </c>
      <c r="AK34" s="69">
        <v>1060.5774450937906</v>
      </c>
      <c r="AL34" s="69">
        <v>2966.7752084096273</v>
      </c>
      <c r="AM34" s="69">
        <v>485.37895202636719</v>
      </c>
      <c r="AN34" s="69">
        <v>5002.7442626953125</v>
      </c>
      <c r="AO34" s="69">
        <v>2710.6948638916015</v>
      </c>
      <c r="AP34" s="69">
        <v>562.80617849032069</v>
      </c>
      <c r="AQ34" s="69">
        <v>2606.6279928843182</v>
      </c>
      <c r="AR34" s="69">
        <v>744.27313124338798</v>
      </c>
      <c r="AS34" s="69">
        <v>842.34466317494719</v>
      </c>
    </row>
    <row r="35" spans="1:45" x14ac:dyDescent="0.25">
      <c r="A35" s="11">
        <v>43644</v>
      </c>
      <c r="B35" s="65"/>
      <c r="C35" s="66">
        <v>63.61323666572531</v>
      </c>
      <c r="D35" s="66">
        <v>650.31244770685737</v>
      </c>
      <c r="E35" s="66">
        <v>15.992625149091047</v>
      </c>
      <c r="F35" s="66">
        <v>0</v>
      </c>
      <c r="G35" s="66">
        <v>1502.2365676879915</v>
      </c>
      <c r="H35" s="67">
        <v>26.291798017422359</v>
      </c>
      <c r="I35" s="71">
        <v>131.79946200052913</v>
      </c>
      <c r="J35" s="66">
        <v>392.28753471374586</v>
      </c>
      <c r="K35" s="66">
        <v>21.472671024998014</v>
      </c>
      <c r="L35" s="66">
        <v>0</v>
      </c>
      <c r="M35" s="66">
        <v>0</v>
      </c>
      <c r="N35" s="67">
        <v>0</v>
      </c>
      <c r="O35" s="71">
        <v>0</v>
      </c>
      <c r="P35" s="66">
        <v>0</v>
      </c>
      <c r="Q35" s="66">
        <v>0</v>
      </c>
      <c r="R35" s="390">
        <v>0</v>
      </c>
      <c r="S35" s="66">
        <v>0</v>
      </c>
      <c r="T35" s="392">
        <v>0</v>
      </c>
      <c r="U35" s="71">
        <v>302.05670718520776</v>
      </c>
      <c r="V35" s="66">
        <v>151.06207454036112</v>
      </c>
      <c r="W35" s="62">
        <v>46.332456695740888</v>
      </c>
      <c r="X35" s="62">
        <v>23.171400801633386</v>
      </c>
      <c r="Y35" s="66">
        <v>156.94026431562551</v>
      </c>
      <c r="Z35" s="66">
        <v>78.487652624427497</v>
      </c>
      <c r="AA35" s="67">
        <v>0</v>
      </c>
      <c r="AB35" s="68">
        <v>92.934357918632273</v>
      </c>
      <c r="AC35" s="391">
        <v>0</v>
      </c>
      <c r="AD35" s="409">
        <v>12.33320151346831</v>
      </c>
      <c r="AE35" s="409">
        <v>5.9893211770506491</v>
      </c>
      <c r="AF35" s="391">
        <v>17.850557135873373</v>
      </c>
      <c r="AG35" s="68">
        <v>11.774343802113357</v>
      </c>
      <c r="AH35" s="68">
        <v>5.8884863629533424</v>
      </c>
      <c r="AI35" s="68">
        <v>0.66661705355693734</v>
      </c>
      <c r="AJ35" s="391">
        <v>238.85058921178182</v>
      </c>
      <c r="AK35" s="391">
        <v>1064.2265497843425</v>
      </c>
      <c r="AL35" s="391">
        <v>3051.2420163472493</v>
      </c>
      <c r="AM35" s="391">
        <v>485.37895202636719</v>
      </c>
      <c r="AN35" s="391">
        <v>5002.7442626953125</v>
      </c>
      <c r="AO35" s="391">
        <v>2704.8422032674162</v>
      </c>
      <c r="AP35" s="391">
        <v>550.1036228338877</v>
      </c>
      <c r="AQ35" s="391">
        <v>2635.0280452728271</v>
      </c>
      <c r="AR35" s="391">
        <v>745.8157360394797</v>
      </c>
      <c r="AS35" s="391">
        <v>896.08780953089376</v>
      </c>
    </row>
    <row r="36" spans="1:45" x14ac:dyDescent="0.25">
      <c r="A36" s="11">
        <v>43645</v>
      </c>
      <c r="B36" s="65"/>
      <c r="C36" s="66">
        <v>63.923256293933093</v>
      </c>
      <c r="D36" s="66">
        <v>644.90909077326455</v>
      </c>
      <c r="E36" s="66">
        <v>15.983004674315458</v>
      </c>
      <c r="F36" s="66">
        <v>0</v>
      </c>
      <c r="G36" s="66">
        <v>1607.9729366938298</v>
      </c>
      <c r="H36" s="67">
        <v>26.394655748208422</v>
      </c>
      <c r="I36" s="390">
        <v>131.65901668071768</v>
      </c>
      <c r="J36" s="66">
        <v>392.42378508250016</v>
      </c>
      <c r="K36" s="66">
        <v>21.465736655394217</v>
      </c>
      <c r="L36" s="66">
        <v>0</v>
      </c>
      <c r="M36" s="66">
        <v>0</v>
      </c>
      <c r="N36" s="392">
        <v>0</v>
      </c>
      <c r="O36" s="71">
        <v>0</v>
      </c>
      <c r="P36" s="66">
        <v>0</v>
      </c>
      <c r="Q36" s="66">
        <v>0</v>
      </c>
      <c r="R36" s="66">
        <v>0</v>
      </c>
      <c r="S36" s="66">
        <v>0</v>
      </c>
      <c r="T36" s="392">
        <v>0</v>
      </c>
      <c r="U36" s="71">
        <v>305.17922463293081</v>
      </c>
      <c r="V36" s="66">
        <v>139.8563156087383</v>
      </c>
      <c r="W36" s="62">
        <v>46.412860568803481</v>
      </c>
      <c r="X36" s="62">
        <v>21.269900281785137</v>
      </c>
      <c r="Y36" s="66">
        <v>158.41154652558626</v>
      </c>
      <c r="Z36" s="66">
        <v>72.596210550041718</v>
      </c>
      <c r="AA36" s="392">
        <v>0</v>
      </c>
      <c r="AB36" s="433">
        <v>92.934432162178098</v>
      </c>
      <c r="AC36" s="391">
        <v>0</v>
      </c>
      <c r="AD36" s="409">
        <v>12.337666025443045</v>
      </c>
      <c r="AE36" s="409">
        <v>5.983386815002155</v>
      </c>
      <c r="AF36" s="391">
        <v>17.506415408187429</v>
      </c>
      <c r="AG36" s="68">
        <v>11.872810917656318</v>
      </c>
      <c r="AH36" s="68">
        <v>5.4410243451527469</v>
      </c>
      <c r="AI36" s="68">
        <v>0.68574124319870799</v>
      </c>
      <c r="AJ36" s="391">
        <v>236.08976402282715</v>
      </c>
      <c r="AK36" s="391">
        <v>1070.0739981333415</v>
      </c>
      <c r="AL36" s="391">
        <v>3086.0713582356766</v>
      </c>
      <c r="AM36" s="391">
        <v>485.37895202636719</v>
      </c>
      <c r="AN36" s="391">
        <v>5002.7442626953125</v>
      </c>
      <c r="AO36" s="391">
        <v>2678.2459476470945</v>
      </c>
      <c r="AP36" s="391">
        <v>580.19998041788745</v>
      </c>
      <c r="AQ36" s="391">
        <v>2612.3292760213212</v>
      </c>
      <c r="AR36" s="391">
        <v>650.14248069127393</v>
      </c>
      <c r="AS36" s="391">
        <v>838.29183842341104</v>
      </c>
    </row>
    <row r="37" spans="1:45" x14ac:dyDescent="0.25">
      <c r="A37" s="11">
        <v>43646</v>
      </c>
      <c r="B37" s="396"/>
      <c r="C37" s="80">
        <v>63.638668362300002</v>
      </c>
      <c r="D37" s="80">
        <v>624.10769901275501</v>
      </c>
      <c r="E37" s="80">
        <v>15.990641800562521</v>
      </c>
      <c r="F37" s="80">
        <v>0</v>
      </c>
      <c r="G37" s="80">
        <v>1663.6752455393496</v>
      </c>
      <c r="H37" s="82">
        <v>26.15544576048854</v>
      </c>
      <c r="I37" s="438">
        <v>128.53149665991469</v>
      </c>
      <c r="J37" s="80">
        <v>392.4327314694728</v>
      </c>
      <c r="K37" s="80">
        <v>21.478769098718953</v>
      </c>
      <c r="L37" s="80">
        <v>0</v>
      </c>
      <c r="M37" s="80">
        <v>0</v>
      </c>
      <c r="N37" s="439">
        <v>0</v>
      </c>
      <c r="O37" s="79">
        <v>0</v>
      </c>
      <c r="P37" s="80">
        <v>0</v>
      </c>
      <c r="Q37" s="80">
        <v>0</v>
      </c>
      <c r="R37" s="80">
        <v>0</v>
      </c>
      <c r="S37" s="80">
        <v>0</v>
      </c>
      <c r="T37" s="439">
        <v>0</v>
      </c>
      <c r="U37" s="79">
        <v>305.52594187190334</v>
      </c>
      <c r="V37" s="80">
        <v>152.75546917189777</v>
      </c>
      <c r="W37" s="81">
        <v>46.936856800609469</v>
      </c>
      <c r="X37" s="81">
        <v>23.467275931146165</v>
      </c>
      <c r="Y37" s="80">
        <v>165.4831674203873</v>
      </c>
      <c r="Z37" s="80">
        <v>82.737520501455066</v>
      </c>
      <c r="AA37" s="439">
        <v>0</v>
      </c>
      <c r="AB37" s="440">
        <v>92.935628096261397</v>
      </c>
      <c r="AC37" s="441">
        <v>0</v>
      </c>
      <c r="AD37" s="442">
        <v>12.336976963734386</v>
      </c>
      <c r="AE37" s="442">
        <v>5.9794433300526366</v>
      </c>
      <c r="AF37" s="441">
        <v>18.042063174645094</v>
      </c>
      <c r="AG37" s="397">
        <v>11.918175321032988</v>
      </c>
      <c r="AH37" s="397">
        <v>5.9587950263176968</v>
      </c>
      <c r="AI37" s="397">
        <v>0.66667757955973939</v>
      </c>
      <c r="AJ37" s="441">
        <v>236.44861542383828</v>
      </c>
      <c r="AK37" s="441">
        <v>1072.8869908650718</v>
      </c>
      <c r="AL37" s="441">
        <v>3153.5230305989576</v>
      </c>
      <c r="AM37" s="441">
        <v>485.37895202636719</v>
      </c>
      <c r="AN37" s="441">
        <v>5002.7442626953125</v>
      </c>
      <c r="AO37" s="441">
        <v>2636.0848092397055</v>
      </c>
      <c r="AP37" s="441">
        <v>570.66691042582204</v>
      </c>
      <c r="AQ37" s="441">
        <v>2647.6506793975832</v>
      </c>
      <c r="AR37" s="441">
        <v>566.53731203079235</v>
      </c>
      <c r="AS37" s="441">
        <v>843.97639366785677</v>
      </c>
    </row>
    <row r="38" spans="1:45" ht="15.75" thickBot="1" x14ac:dyDescent="0.3">
      <c r="A38" s="11"/>
      <c r="B38" s="426"/>
      <c r="C38" s="427"/>
      <c r="D38" s="427"/>
      <c r="E38" s="427"/>
      <c r="F38" s="427"/>
      <c r="G38" s="427"/>
      <c r="H38" s="428"/>
      <c r="I38" s="429"/>
      <c r="J38" s="427"/>
      <c r="K38" s="427"/>
      <c r="L38" s="427"/>
      <c r="M38" s="427"/>
      <c r="N38" s="431"/>
      <c r="O38" s="432"/>
      <c r="P38" s="427"/>
      <c r="Q38" s="427"/>
      <c r="R38" s="427"/>
      <c r="S38" s="427"/>
      <c r="T38" s="431"/>
      <c r="U38" s="432"/>
      <c r="V38" s="427"/>
      <c r="W38" s="430"/>
      <c r="X38" s="430"/>
      <c r="Y38" s="427"/>
      <c r="Z38" s="427"/>
      <c r="AA38" s="431"/>
      <c r="AB38" s="434"/>
      <c r="AC38" s="435"/>
      <c r="AD38" s="436"/>
      <c r="AE38" s="436"/>
      <c r="AF38" s="435"/>
      <c r="AG38" s="437"/>
      <c r="AH38" s="437"/>
      <c r="AI38" s="437"/>
      <c r="AJ38" s="435"/>
      <c r="AK38" s="435"/>
      <c r="AL38" s="435"/>
      <c r="AM38" s="435"/>
      <c r="AN38" s="435"/>
      <c r="AO38" s="435"/>
      <c r="AP38" s="435"/>
      <c r="AQ38" s="435"/>
      <c r="AR38" s="435"/>
      <c r="AS38" s="435"/>
    </row>
    <row r="39" spans="1:45" ht="15.75" thickTop="1" x14ac:dyDescent="0.25">
      <c r="A39" s="46" t="s">
        <v>171</v>
      </c>
      <c r="B39" s="417">
        <f t="shared" ref="B39" si="0">SUM(B8:B35)</f>
        <v>0</v>
      </c>
      <c r="C39" s="418">
        <f t="shared" ref="C39:AC39" si="1">SUM(C8:C38)</f>
        <v>1898.6339225888282</v>
      </c>
      <c r="D39" s="418">
        <f t="shared" si="1"/>
        <v>20824.056908671038</v>
      </c>
      <c r="E39" s="418">
        <f t="shared" si="1"/>
        <v>476.5249190231159</v>
      </c>
      <c r="F39" s="418">
        <f t="shared" si="1"/>
        <v>0</v>
      </c>
      <c r="G39" s="418">
        <f t="shared" si="1"/>
        <v>40986.178297805825</v>
      </c>
      <c r="H39" s="419">
        <f t="shared" si="1"/>
        <v>788.30718731681577</v>
      </c>
      <c r="I39" s="417">
        <f t="shared" si="1"/>
        <v>6211.3690352161702</v>
      </c>
      <c r="J39" s="418">
        <f t="shared" si="1"/>
        <v>15224.626451373106</v>
      </c>
      <c r="K39" s="418">
        <f t="shared" si="1"/>
        <v>827.04475223769771</v>
      </c>
      <c r="L39" s="418">
        <f t="shared" si="1"/>
        <v>5.5704116821289054E-4</v>
      </c>
      <c r="M39" s="418">
        <f t="shared" si="1"/>
        <v>0</v>
      </c>
      <c r="N39" s="419">
        <f t="shared" si="1"/>
        <v>0</v>
      </c>
      <c r="O39" s="420">
        <f t="shared" si="1"/>
        <v>0</v>
      </c>
      <c r="P39" s="421">
        <f t="shared" si="1"/>
        <v>0</v>
      </c>
      <c r="Q39" s="421">
        <f t="shared" si="1"/>
        <v>0</v>
      </c>
      <c r="R39" s="421">
        <f t="shared" si="1"/>
        <v>0</v>
      </c>
      <c r="S39" s="421">
        <f t="shared" si="1"/>
        <v>0</v>
      </c>
      <c r="T39" s="422">
        <f t="shared" si="1"/>
        <v>0</v>
      </c>
      <c r="U39" s="420">
        <f t="shared" si="1"/>
        <v>11374.145665721699</v>
      </c>
      <c r="V39" s="421">
        <f t="shared" si="1"/>
        <v>4251.3218193618004</v>
      </c>
      <c r="W39" s="421">
        <f t="shared" si="1"/>
        <v>1804.3132584883822</v>
      </c>
      <c r="X39" s="421">
        <f t="shared" si="1"/>
        <v>670.99099606732</v>
      </c>
      <c r="Y39" s="421">
        <f t="shared" si="1"/>
        <v>6205.7738310935656</v>
      </c>
      <c r="Z39" s="421">
        <f t="shared" si="1"/>
        <v>2298.8560726043997</v>
      </c>
      <c r="AA39" s="423">
        <f t="shared" si="1"/>
        <v>0</v>
      </c>
      <c r="AB39" s="424">
        <f t="shared" si="1"/>
        <v>3046.8516817450436</v>
      </c>
      <c r="AC39" s="424">
        <f t="shared" si="1"/>
        <v>0</v>
      </c>
      <c r="AD39" s="425" t="s">
        <v>29</v>
      </c>
      <c r="AE39" s="425" t="s">
        <v>29</v>
      </c>
      <c r="AF39" s="425" t="s">
        <v>29</v>
      </c>
      <c r="AG39" s="425" t="s">
        <v>29</v>
      </c>
      <c r="AH39" s="425" t="s">
        <v>29</v>
      </c>
      <c r="AI39" s="425" t="s">
        <v>159</v>
      </c>
      <c r="AJ39" s="424">
        <f t="shared" ref="AJ39:AS39" si="2">SUM(AJ8:AJ38)</f>
        <v>7033.9806886514034</v>
      </c>
      <c r="AK39" s="424">
        <f t="shared" si="2"/>
        <v>35722.970526885976</v>
      </c>
      <c r="AL39" s="424">
        <f t="shared" si="2"/>
        <v>87124.881632614139</v>
      </c>
      <c r="AM39" s="424">
        <f t="shared" si="2"/>
        <v>12827.061583630244</v>
      </c>
      <c r="AN39" s="424">
        <f t="shared" si="2"/>
        <v>133816.90430806478</v>
      </c>
      <c r="AO39" s="424">
        <f t="shared" si="2"/>
        <v>75725.727041371676</v>
      </c>
      <c r="AP39" s="424">
        <f t="shared" si="2"/>
        <v>16783.507994906107</v>
      </c>
      <c r="AQ39" s="424">
        <f t="shared" si="2"/>
        <v>84511.319008866936</v>
      </c>
      <c r="AR39" s="424">
        <f t="shared" si="2"/>
        <v>14947.330375305814</v>
      </c>
      <c r="AS39" s="424">
        <f t="shared" si="2"/>
        <v>22333.534227371216</v>
      </c>
    </row>
    <row r="40" spans="1:45" ht="15.75" thickBot="1" x14ac:dyDescent="0.3">
      <c r="A40" s="47" t="s">
        <v>172</v>
      </c>
      <c r="B40" s="32">
        <f>Projection!$AB$30</f>
        <v>0.82128400199999985</v>
      </c>
      <c r="C40" s="33">
        <f>Projection!$AB$28</f>
        <v>1.4863548</v>
      </c>
      <c r="D40" s="33">
        <f>Projection!$AB$31</f>
        <v>3.0824639999999999</v>
      </c>
      <c r="E40" s="33">
        <f>Projection!$AB$26</f>
        <v>4.3368000000000002</v>
      </c>
      <c r="F40" s="33">
        <f>Projection!$AB$23</f>
        <v>0</v>
      </c>
      <c r="G40" s="33">
        <f>Projection!$AB$24</f>
        <v>5.7950000000000002E-2</v>
      </c>
      <c r="H40" s="34">
        <f>Projection!$AB$29</f>
        <v>3.7390305000000001</v>
      </c>
      <c r="I40" s="32">
        <f>Projection!$AB$30</f>
        <v>0.82128400199999985</v>
      </c>
      <c r="J40" s="33">
        <f>Projection!$AB$28</f>
        <v>1.4863548</v>
      </c>
      <c r="K40" s="33">
        <f>Projection!$AB$26</f>
        <v>4.3368000000000002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1.4863548</v>
      </c>
      <c r="T40" s="38">
        <f>Projection!$AB$28</f>
        <v>1.4863548</v>
      </c>
      <c r="U40" s="26">
        <f>Projection!$AB$27</f>
        <v>0.29960000000000003</v>
      </c>
      <c r="V40" s="27">
        <f>Projection!$AB$27</f>
        <v>0.29960000000000003</v>
      </c>
      <c r="W40" s="27">
        <f>Projection!$AB$22</f>
        <v>0.74349432000000004</v>
      </c>
      <c r="X40" s="27">
        <f>Projection!$AB$22</f>
        <v>0.74349432000000004</v>
      </c>
      <c r="Y40" s="27">
        <f>Projection!$AB$31</f>
        <v>3.0824639999999999</v>
      </c>
      <c r="Z40" s="27">
        <f>Projection!$AB$31</f>
        <v>3.0824639999999999</v>
      </c>
      <c r="AA40" s="28">
        <v>0</v>
      </c>
      <c r="AB40" s="41">
        <f>Projection!$AB$27</f>
        <v>0.29960000000000003</v>
      </c>
      <c r="AC40" s="41">
        <f>Projection!$AB$30</f>
        <v>0.82128400199999985</v>
      </c>
      <c r="AD40" s="400">
        <f>SUM(AD8:AD38)</f>
        <v>477.74454373354519</v>
      </c>
      <c r="AE40" s="400">
        <f>SUM(AE8:AE38)</f>
        <v>179.51116131485946</v>
      </c>
      <c r="AF40" s="277">
        <f>SUM(AF8:AF38)</f>
        <v>636.03401233404873</v>
      </c>
      <c r="AG40" s="277">
        <f>SUM(AG8:AG38)</f>
        <v>457.7684458178777</v>
      </c>
      <c r="AH40" s="277">
        <f>SUM(AH8:AH38)</f>
        <v>170.35850216054405</v>
      </c>
      <c r="AI40" s="277">
        <f>IF(SUM(AG40:AH40)&gt;0, AG40/(AG40+AH40), 0)</f>
        <v>0.72878332523571898</v>
      </c>
      <c r="AJ40" s="312">
        <v>6.4000000000000001E-2</v>
      </c>
      <c r="AK40" s="312">
        <f t="shared" ref="AK40:AS40" si="3">$AJ$40</f>
        <v>6.4000000000000001E-2</v>
      </c>
      <c r="AL40" s="312">
        <f t="shared" si="3"/>
        <v>6.4000000000000001E-2</v>
      </c>
      <c r="AM40" s="312">
        <f t="shared" si="3"/>
        <v>6.4000000000000001E-2</v>
      </c>
      <c r="AN40" s="312">
        <f t="shared" si="3"/>
        <v>6.4000000000000001E-2</v>
      </c>
      <c r="AO40" s="312">
        <f t="shared" si="3"/>
        <v>6.4000000000000001E-2</v>
      </c>
      <c r="AP40" s="312">
        <f t="shared" si="3"/>
        <v>6.4000000000000001E-2</v>
      </c>
      <c r="AQ40" s="312">
        <f t="shared" si="3"/>
        <v>6.4000000000000001E-2</v>
      </c>
      <c r="AR40" s="312">
        <f t="shared" si="3"/>
        <v>6.4000000000000001E-2</v>
      </c>
      <c r="AS40" s="312">
        <f t="shared" si="3"/>
        <v>6.4000000000000001E-2</v>
      </c>
    </row>
    <row r="41" spans="1:45" ht="16.5" thickTop="1" thickBot="1" x14ac:dyDescent="0.3">
      <c r="A41" s="48" t="s">
        <v>26</v>
      </c>
      <c r="B41" s="35">
        <f t="shared" ref="B41:AC41" si="4">B40*B39</f>
        <v>0</v>
      </c>
      <c r="C41" s="36">
        <f t="shared" si="4"/>
        <v>2822.0436442827331</v>
      </c>
      <c r="D41" s="36">
        <f t="shared" si="4"/>
        <v>64189.405754929758</v>
      </c>
      <c r="E41" s="36">
        <f t="shared" si="4"/>
        <v>2066.5932688194493</v>
      </c>
      <c r="F41" s="36">
        <f t="shared" si="4"/>
        <v>0</v>
      </c>
      <c r="G41" s="36">
        <f t="shared" si="4"/>
        <v>2375.1490323578478</v>
      </c>
      <c r="H41" s="37">
        <f t="shared" si="4"/>
        <v>2947.5046167467876</v>
      </c>
      <c r="I41" s="35">
        <f t="shared" si="4"/>
        <v>5101.2980191412144</v>
      </c>
      <c r="J41" s="36">
        <f t="shared" si="4"/>
        <v>22629.196604205383</v>
      </c>
      <c r="K41" s="36">
        <f t="shared" si="4"/>
        <v>3586.7276815044474</v>
      </c>
      <c r="L41" s="36">
        <f t="shared" si="4"/>
        <v>0</v>
      </c>
      <c r="M41" s="36">
        <f t="shared" si="4"/>
        <v>0</v>
      </c>
      <c r="N41" s="37">
        <f t="shared" si="4"/>
        <v>0</v>
      </c>
      <c r="O41" s="267">
        <f t="shared" si="4"/>
        <v>0</v>
      </c>
      <c r="P41" s="268">
        <f t="shared" si="4"/>
        <v>0</v>
      </c>
      <c r="Q41" s="268">
        <f t="shared" si="4"/>
        <v>0</v>
      </c>
      <c r="R41" s="268">
        <f t="shared" si="4"/>
        <v>0</v>
      </c>
      <c r="S41" s="268">
        <f t="shared" si="4"/>
        <v>0</v>
      </c>
      <c r="T41" s="269">
        <f t="shared" si="4"/>
        <v>0</v>
      </c>
      <c r="U41" s="267">
        <f t="shared" si="4"/>
        <v>3407.6940414502214</v>
      </c>
      <c r="V41" s="268">
        <f t="shared" si="4"/>
        <v>1273.6960170807956</v>
      </c>
      <c r="W41" s="268">
        <f t="shared" si="4"/>
        <v>1341.496659186804</v>
      </c>
      <c r="X41" s="268">
        <f t="shared" si="4"/>
        <v>498.87799434719477</v>
      </c>
      <c r="Y41" s="268">
        <f t="shared" si="4"/>
        <v>19129.074426487994</v>
      </c>
      <c r="Z41" s="268">
        <f t="shared" si="4"/>
        <v>7086.1410849844478</v>
      </c>
      <c r="AA41" s="272">
        <f t="shared" si="4"/>
        <v>0</v>
      </c>
      <c r="AB41" s="275">
        <f t="shared" si="4"/>
        <v>912.83676385081515</v>
      </c>
      <c r="AC41" s="275">
        <f t="shared" si="4"/>
        <v>0</v>
      </c>
      <c r="AJ41" s="278">
        <f t="shared" ref="AJ41:AS41" si="5">AJ40*AJ39</f>
        <v>450.1747640736898</v>
      </c>
      <c r="AK41" s="278">
        <f t="shared" si="5"/>
        <v>2286.2701137207027</v>
      </c>
      <c r="AL41" s="278">
        <f t="shared" si="5"/>
        <v>5575.9924244873046</v>
      </c>
      <c r="AM41" s="278">
        <f t="shared" si="5"/>
        <v>820.93194135233568</v>
      </c>
      <c r="AN41" s="278">
        <f t="shared" si="5"/>
        <v>8564.2818757161458</v>
      </c>
      <c r="AO41" s="278">
        <f t="shared" si="5"/>
        <v>4846.4465306477878</v>
      </c>
      <c r="AP41" s="278">
        <f t="shared" si="5"/>
        <v>1074.1445116739908</v>
      </c>
      <c r="AQ41" s="278">
        <f t="shared" si="5"/>
        <v>5408.7244165674838</v>
      </c>
      <c r="AR41" s="278">
        <f t="shared" si="5"/>
        <v>956.6291440195721</v>
      </c>
      <c r="AS41" s="278">
        <f t="shared" si="5"/>
        <v>1429.3461905517579</v>
      </c>
    </row>
    <row r="42" spans="1:45" ht="49.5" customHeight="1" thickTop="1" thickBot="1" x14ac:dyDescent="0.3">
      <c r="A42" s="633">
        <f>MAY!$A$42+31</f>
        <v>43618</v>
      </c>
      <c r="B42" s="634"/>
      <c r="C42" s="634"/>
      <c r="D42" s="634"/>
      <c r="E42" s="634"/>
      <c r="F42" s="634"/>
      <c r="G42" s="634"/>
      <c r="H42" s="634"/>
      <c r="I42" s="634"/>
      <c r="J42" s="634"/>
      <c r="K42" s="63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677.07</v>
      </c>
      <c r="AK42" s="278" t="s">
        <v>197</v>
      </c>
      <c r="AL42" s="278">
        <v>535.49</v>
      </c>
      <c r="AM42" s="278">
        <v>324.64999999999998</v>
      </c>
      <c r="AN42" s="278">
        <v>486.19</v>
      </c>
      <c r="AO42" s="278">
        <v>2110.4899999999998</v>
      </c>
      <c r="AP42" s="278">
        <v>598.45000000000005</v>
      </c>
      <c r="AQ42" s="278" t="s">
        <v>197</v>
      </c>
      <c r="AR42" s="278">
        <v>46.29</v>
      </c>
      <c r="AS42" s="278">
        <v>275.36</v>
      </c>
    </row>
    <row r="43" spans="1:45" ht="38.25" customHeight="1" thickTop="1" thickBot="1" x14ac:dyDescent="0.3">
      <c r="A43" s="630" t="s">
        <v>49</v>
      </c>
      <c r="B43" s="626"/>
      <c r="C43" s="289"/>
      <c r="D43" s="626" t="s">
        <v>47</v>
      </c>
      <c r="E43" s="626"/>
      <c r="F43" s="289"/>
      <c r="G43" s="626" t="s">
        <v>48</v>
      </c>
      <c r="H43" s="626"/>
      <c r="I43" s="290"/>
      <c r="J43" s="626" t="s">
        <v>50</v>
      </c>
      <c r="K43" s="627"/>
      <c r="L43" s="44"/>
      <c r="M43" s="44"/>
      <c r="N43" s="44"/>
      <c r="O43" s="45"/>
      <c r="P43" s="45"/>
      <c r="Q43" s="45"/>
      <c r="R43" s="615" t="s">
        <v>166</v>
      </c>
      <c r="S43" s="616"/>
      <c r="T43" s="616"/>
      <c r="U43" s="617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139367.73560937587</v>
      </c>
      <c r="C44" s="12"/>
      <c r="D44" s="282" t="s">
        <v>135</v>
      </c>
      <c r="E44" s="283">
        <f>SUM(B41:H41)+P41+R41+T41+V41+X41+Z41</f>
        <v>83259.411413549009</v>
      </c>
      <c r="F44" s="12"/>
      <c r="G44" s="282" t="s">
        <v>135</v>
      </c>
      <c r="H44" s="283">
        <f>SUM(I41:N41)+O41+Q41+S41+U41+W41+Y41</f>
        <v>55195.487431976071</v>
      </c>
      <c r="I44" s="12"/>
      <c r="J44" s="282" t="s">
        <v>198</v>
      </c>
      <c r="K44" s="283">
        <v>147914.10999999999</v>
      </c>
      <c r="L44" s="12"/>
      <c r="M44" s="12"/>
      <c r="N44" s="12"/>
      <c r="O44" s="12"/>
      <c r="P44" s="12"/>
      <c r="Q44" s="12"/>
      <c r="R44" s="319" t="s">
        <v>135</v>
      </c>
      <c r="S44" s="320"/>
      <c r="T44" s="313" t="s">
        <v>167</v>
      </c>
      <c r="U44" s="255" t="s">
        <v>168</v>
      </c>
    </row>
    <row r="45" spans="1:45" ht="24" thickBot="1" x14ac:dyDescent="0.4">
      <c r="A45" s="284" t="s">
        <v>183</v>
      </c>
      <c r="B45" s="285">
        <f>SUM(AJ41:AS41)</f>
        <v>31412.941912810773</v>
      </c>
      <c r="C45" s="12"/>
      <c r="D45" s="284" t="s">
        <v>183</v>
      </c>
      <c r="E45" s="285">
        <f>AJ41*(1-$AI$40)+AK41+AL41*0.5+AN41+AO41*(1-$AI$40)+AP41*(1-$AI$40)+AQ41*(1-$AI$40)+AR41*0.5+AS41*0.5</f>
        <v>18026.330037656538</v>
      </c>
      <c r="F45" s="24"/>
      <c r="G45" s="284" t="s">
        <v>183</v>
      </c>
      <c r="H45" s="285">
        <f>AJ41*AI40+AL41*0.5+AM41+AO41*AI40+AP41*AI40+AQ41*AI40+AR41*0.5+AS41*0.5</f>
        <v>13386.611875154233</v>
      </c>
      <c r="I45" s="12"/>
      <c r="J45" s="12"/>
      <c r="K45" s="288"/>
      <c r="L45" s="12"/>
      <c r="M45" s="12"/>
      <c r="N45" s="12"/>
      <c r="O45" s="12"/>
      <c r="P45" s="12"/>
      <c r="Q45" s="12"/>
      <c r="R45" s="317" t="s">
        <v>141</v>
      </c>
      <c r="S45" s="318"/>
      <c r="T45" s="254">
        <f>$W$39+$X$39</f>
        <v>2475.3042545557023</v>
      </c>
      <c r="U45" s="256">
        <f>(T45*8.34*0.895)/27000</f>
        <v>0.68431161286222697</v>
      </c>
    </row>
    <row r="46" spans="1:45" ht="32.25" thickBot="1" x14ac:dyDescent="0.3">
      <c r="A46" s="286" t="s">
        <v>184</v>
      </c>
      <c r="B46" s="287">
        <f>SUM(AJ42:AS42)</f>
        <v>5053.9899999999989</v>
      </c>
      <c r="C46" s="12"/>
      <c r="D46" s="286" t="s">
        <v>184</v>
      </c>
      <c r="E46" s="287">
        <f>AJ42*(1-$AI$40)+AL42*0.5+AN42+AO42*(1-$AI$40)+AP42*(1-$AI$40)+AR42*0.5+AS42*0.5</f>
        <v>1833.1023729186031</v>
      </c>
      <c r="F46" s="23"/>
      <c r="G46" s="286" t="s">
        <v>184</v>
      </c>
      <c r="H46" s="287">
        <f>AJ42*AI40+AL42*0.5+AM42+AO42*AI40+AP42*AI40+AR42*0.5+AS42*0.5</f>
        <v>3220.8876270813967</v>
      </c>
      <c r="I46" s="12"/>
      <c r="J46" s="628" t="s">
        <v>199</v>
      </c>
      <c r="K46" s="629"/>
      <c r="L46" s="12"/>
      <c r="M46" s="12"/>
      <c r="N46" s="12"/>
      <c r="O46" s="12"/>
      <c r="P46" s="12"/>
      <c r="Q46" s="12"/>
      <c r="R46" s="317" t="s">
        <v>145</v>
      </c>
      <c r="S46" s="318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147914.10999999999</v>
      </c>
      <c r="C47" s="12"/>
      <c r="D47" s="286" t="s">
        <v>187</v>
      </c>
      <c r="E47" s="287">
        <f>K44*0.5</f>
        <v>73957.054999999993</v>
      </c>
      <c r="F47" s="24"/>
      <c r="G47" s="286" t="s">
        <v>185</v>
      </c>
      <c r="H47" s="287">
        <f>K44*0.5</f>
        <v>73957.054999999993</v>
      </c>
      <c r="I47" s="12"/>
      <c r="J47" s="282" t="s">
        <v>198</v>
      </c>
      <c r="K47" s="283">
        <v>80211.03</v>
      </c>
      <c r="L47" s="12"/>
      <c r="M47" s="12"/>
      <c r="N47" s="12"/>
      <c r="O47" s="12"/>
      <c r="P47" s="12"/>
      <c r="Q47" s="12"/>
      <c r="R47" s="317" t="s">
        <v>148</v>
      </c>
      <c r="S47" s="318"/>
      <c r="T47" s="254">
        <f>$G$39</f>
        <v>40986.178297805825</v>
      </c>
      <c r="U47" s="256">
        <f>T47/40000</f>
        <v>1.0246544574451457</v>
      </c>
    </row>
    <row r="48" spans="1:45" ht="24" thickBot="1" x14ac:dyDescent="0.3">
      <c r="A48" s="286" t="s">
        <v>186</v>
      </c>
      <c r="B48" s="287">
        <f>K47</f>
        <v>80211.03</v>
      </c>
      <c r="C48" s="12"/>
      <c r="D48" s="286" t="s">
        <v>186</v>
      </c>
      <c r="E48" s="287">
        <f>K47*0.5</f>
        <v>40105.514999999999</v>
      </c>
      <c r="F48" s="23"/>
      <c r="G48" s="286" t="s">
        <v>186</v>
      </c>
      <c r="H48" s="287">
        <f>K47*0.5</f>
        <v>40105.514999999999</v>
      </c>
      <c r="I48" s="12"/>
      <c r="J48" s="12"/>
      <c r="K48" s="86"/>
      <c r="L48" s="12"/>
      <c r="M48" s="12"/>
      <c r="N48" s="12"/>
      <c r="O48" s="12"/>
      <c r="P48" s="12"/>
      <c r="Q48" s="12"/>
      <c r="R48" s="317" t="s">
        <v>150</v>
      </c>
      <c r="S48" s="318"/>
      <c r="T48" s="254">
        <f>$L$39</f>
        <v>5.5704116821289054E-4</v>
      </c>
      <c r="U48" s="256">
        <f>T48*9.34*0.107</f>
        <v>5.5669580268859849E-4</v>
      </c>
    </row>
    <row r="49" spans="1:25" ht="48" thickTop="1" thickBot="1" x14ac:dyDescent="0.3">
      <c r="A49" s="291" t="s">
        <v>194</v>
      </c>
      <c r="B49" s="292">
        <f>AF40</f>
        <v>636.03401233404873</v>
      </c>
      <c r="C49" s="12"/>
      <c r="D49" s="291" t="s">
        <v>195</v>
      </c>
      <c r="E49" s="292">
        <f>AH40</f>
        <v>170.35850216054405</v>
      </c>
      <c r="F49" s="374">
        <f>E44/E49</f>
        <v>488.7305908283123</v>
      </c>
      <c r="G49" s="291" t="s">
        <v>196</v>
      </c>
      <c r="H49" s="292">
        <f>AG40</f>
        <v>457.7684458178777</v>
      </c>
      <c r="I49" s="373">
        <f>H44/H49</f>
        <v>120.57512468636925</v>
      </c>
      <c r="J49" s="12"/>
      <c r="K49" s="86"/>
      <c r="L49" s="12"/>
      <c r="M49" s="12"/>
      <c r="N49" s="12"/>
      <c r="O49" s="12"/>
      <c r="P49" s="12"/>
      <c r="Q49" s="12"/>
      <c r="R49" s="317" t="s">
        <v>152</v>
      </c>
      <c r="S49" s="318"/>
      <c r="T49" s="254">
        <f>$E$39+$K$39</f>
        <v>1303.5696712608137</v>
      </c>
      <c r="U49" s="256">
        <f>(T49*8.34*1.04)/45000</f>
        <v>0.25125870890328428</v>
      </c>
    </row>
    <row r="50" spans="1:25" ht="48" customHeight="1" thickTop="1" thickBot="1" x14ac:dyDescent="0.3">
      <c r="A50" s="291" t="s">
        <v>223</v>
      </c>
      <c r="B50" s="292">
        <f>SUM(E50+H50)</f>
        <v>657.25570504840471</v>
      </c>
      <c r="C50" s="12"/>
      <c r="D50" s="291" t="s">
        <v>224</v>
      </c>
      <c r="E50" s="292">
        <f>AE40</f>
        <v>179.51116131485946</v>
      </c>
      <c r="F50" s="374"/>
      <c r="G50" s="291" t="s">
        <v>225</v>
      </c>
      <c r="H50" s="292">
        <f>AD40</f>
        <v>477.74454373354519</v>
      </c>
      <c r="I50" s="373"/>
      <c r="J50" s="12"/>
      <c r="K50" s="86"/>
      <c r="L50" s="12"/>
      <c r="M50" s="12"/>
      <c r="N50" s="12"/>
      <c r="O50" s="12"/>
      <c r="P50" s="12"/>
      <c r="Q50" s="12"/>
      <c r="R50" s="317"/>
      <c r="S50" s="318"/>
      <c r="T50" s="254"/>
      <c r="U50" s="256"/>
    </row>
    <row r="51" spans="1:25" ht="48" thickTop="1" thickBot="1" x14ac:dyDescent="0.3">
      <c r="A51" s="291" t="s">
        <v>190</v>
      </c>
      <c r="B51" s="293">
        <f>(SUM(B44:B48)/B50)</f>
        <v>614.61590126849694</v>
      </c>
      <c r="C51" s="12"/>
      <c r="D51" s="291" t="s">
        <v>188</v>
      </c>
      <c r="E51" s="294">
        <f>SUM(E44:E48)/E50</f>
        <v>1209.8490825491999</v>
      </c>
      <c r="F51" s="23"/>
      <c r="G51" s="291" t="s">
        <v>189</v>
      </c>
      <c r="H51" s="294">
        <f>SUM(H44:H48)/H50</f>
        <v>389.04799515172567</v>
      </c>
      <c r="I51" s="12"/>
      <c r="J51" s="12"/>
      <c r="K51" s="86"/>
      <c r="L51" s="12"/>
      <c r="M51" s="12"/>
      <c r="N51" s="12"/>
      <c r="O51" s="12"/>
      <c r="P51" s="12"/>
      <c r="Q51" s="12"/>
      <c r="R51" s="317" t="s">
        <v>153</v>
      </c>
      <c r="S51" s="318"/>
      <c r="T51" s="254">
        <f>$U$39+$V$39+$AB$39</f>
        <v>18672.319166828544</v>
      </c>
      <c r="U51" s="256">
        <f>T51/2000/8</f>
        <v>1.167019947926784</v>
      </c>
    </row>
    <row r="52" spans="1:25" ht="47.25" customHeight="1" thickTop="1" thickBot="1" x14ac:dyDescent="0.3">
      <c r="A52" s="281" t="s">
        <v>191</v>
      </c>
      <c r="B52" s="294">
        <f>B51/1000</f>
        <v>0.61461590126849697</v>
      </c>
      <c r="C52" s="12"/>
      <c r="D52" s="281" t="s">
        <v>192</v>
      </c>
      <c r="E52" s="294">
        <f>E51/1000</f>
        <v>1.2098490825491999</v>
      </c>
      <c r="F52" s="12"/>
      <c r="G52" s="281" t="s">
        <v>193</v>
      </c>
      <c r="H52" s="294">
        <f>H51/1000</f>
        <v>0.38904799515172567</v>
      </c>
      <c r="I52" s="12"/>
      <c r="J52" s="12"/>
      <c r="K52" s="86"/>
      <c r="L52" s="12"/>
      <c r="M52" s="12"/>
      <c r="N52" s="12"/>
      <c r="O52" s="12"/>
      <c r="P52" s="12"/>
      <c r="Q52" s="12"/>
      <c r="R52" s="317" t="s">
        <v>154</v>
      </c>
      <c r="S52" s="318"/>
      <c r="T52" s="254">
        <f>$C$39+$J$39+$S$39+$T$39</f>
        <v>17123.260373961934</v>
      </c>
      <c r="U52" s="256">
        <f>(T52*8.34*1.4)/45000</f>
        <v>4.4429152916973225</v>
      </c>
    </row>
    <row r="53" spans="1:25" ht="16.5" thickTop="1" thickBot="1" x14ac:dyDescent="0.3">
      <c r="A53" s="302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7" t="s">
        <v>155</v>
      </c>
      <c r="S53" s="318"/>
      <c r="T53" s="254">
        <f>$H$39</f>
        <v>788.30718731681577</v>
      </c>
      <c r="U53" s="256">
        <f>(T53*8.34*1.135)/45000</f>
        <v>0.1658230445427166</v>
      </c>
    </row>
    <row r="54" spans="1:25" ht="48" customHeight="1" thickTop="1" thickBot="1" x14ac:dyDescent="0.3">
      <c r="A54" s="618" t="s">
        <v>51</v>
      </c>
      <c r="B54" s="619"/>
      <c r="C54" s="619"/>
      <c r="D54" s="619"/>
      <c r="E54" s="62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7" t="s">
        <v>156</v>
      </c>
      <c r="S54" s="318"/>
      <c r="T54" s="254">
        <f>$B$39+$I$39+$AC$39</f>
        <v>6211.3690352161702</v>
      </c>
      <c r="U54" s="256">
        <f>(T54*8.34*1.029*0.03)/3300</f>
        <v>0.48459181335054763</v>
      </c>
    </row>
    <row r="55" spans="1:25" ht="54" customHeight="1" thickBot="1" x14ac:dyDescent="0.3">
      <c r="A55" s="623" t="s">
        <v>200</v>
      </c>
      <c r="B55" s="624"/>
      <c r="C55" s="624"/>
      <c r="D55" s="624"/>
      <c r="E55" s="62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1" t="s">
        <v>158</v>
      </c>
      <c r="S55" s="632"/>
      <c r="T55" s="258">
        <f>$D$39+$Y$39+$Z$39</f>
        <v>29328.686812369007</v>
      </c>
      <c r="U55" s="259">
        <f>(T55*1.54*8.34)/45000</f>
        <v>8.370798265407613</v>
      </c>
    </row>
    <row r="56" spans="1:25" ht="24" thickTop="1" x14ac:dyDescent="0.25">
      <c r="A56" s="661"/>
      <c r="B56" s="66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63"/>
      <c r="B57" s="66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59"/>
      <c r="B58" s="66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60"/>
      <c r="B59" s="66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59"/>
      <c r="B60" s="66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60"/>
      <c r="B61" s="660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algorithmName="SHA-512" hashValue="NDcuROUgWhvj6NszBVKog5MenlGGHIbhGxV6yCix/WLJLaP661CyDOdTWQjYdsz/1jFAVrpdzDuQzPqbsylLqg==" saltValue="EhfPnusC1Wusb1GFWzdEQw==" spinCount="100000" sheet="1" objects="1" scenarios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6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W63"/>
  <sheetViews>
    <sheetView topLeftCell="A43" zoomScale="75" zoomScaleNormal="75" workbookViewId="0">
      <selection activeCell="AD42" sqref="AD42"/>
    </sheetView>
  </sheetViews>
  <sheetFormatPr defaultRowHeight="15" x14ac:dyDescent="0.25"/>
  <cols>
    <col min="1" max="1" width="35.28515625" bestFit="1" customWidth="1"/>
    <col min="2" max="2" width="26.5703125" bestFit="1" customWidth="1"/>
    <col min="3" max="3" width="27.85546875" bestFit="1" customWidth="1"/>
    <col min="4" max="4" width="29.5703125" customWidth="1"/>
    <col min="5" max="5" width="24.28515625" bestFit="1" customWidth="1"/>
    <col min="6" max="6" width="15.140625" bestFit="1" customWidth="1"/>
    <col min="7" max="7" width="35.5703125" customWidth="1"/>
    <col min="8" max="8" width="19.7109375" bestFit="1" customWidth="1"/>
    <col min="9" max="10" width="25.42578125" bestFit="1" customWidth="1"/>
    <col min="11" max="11" width="22.57031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8554687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37" t="s">
        <v>3</v>
      </c>
      <c r="C4" s="638"/>
      <c r="D4" s="638"/>
      <c r="E4" s="638"/>
      <c r="F4" s="638"/>
      <c r="G4" s="638"/>
      <c r="H4" s="639"/>
      <c r="I4" s="637" t="s">
        <v>4</v>
      </c>
      <c r="J4" s="638"/>
      <c r="K4" s="638"/>
      <c r="L4" s="638"/>
      <c r="M4" s="638"/>
      <c r="N4" s="639"/>
      <c r="O4" s="643" t="s">
        <v>5</v>
      </c>
      <c r="P4" s="644"/>
      <c r="Q4" s="645"/>
      <c r="R4" s="645"/>
      <c r="S4" s="645"/>
      <c r="T4" s="646"/>
      <c r="U4" s="637" t="s">
        <v>6</v>
      </c>
      <c r="V4" s="650"/>
      <c r="W4" s="650"/>
      <c r="X4" s="650"/>
      <c r="Y4" s="650"/>
      <c r="Z4" s="650"/>
      <c r="AA4" s="651"/>
      <c r="AB4" s="655" t="s">
        <v>7</v>
      </c>
      <c r="AC4" s="657" t="s">
        <v>8</v>
      </c>
      <c r="AD4" s="621" t="s">
        <v>222</v>
      </c>
      <c r="AE4" s="621" t="s">
        <v>221</v>
      </c>
      <c r="AF4" s="621" t="s">
        <v>27</v>
      </c>
      <c r="AG4" s="621" t="s">
        <v>31</v>
      </c>
      <c r="AH4" s="621" t="s">
        <v>32</v>
      </c>
      <c r="AI4" s="621" t="s">
        <v>33</v>
      </c>
      <c r="AJ4" s="655" t="s">
        <v>173</v>
      </c>
      <c r="AK4" s="655" t="s">
        <v>174</v>
      </c>
      <c r="AL4" s="655" t="s">
        <v>175</v>
      </c>
      <c r="AM4" s="655" t="s">
        <v>176</v>
      </c>
      <c r="AN4" s="655" t="s">
        <v>177</v>
      </c>
      <c r="AO4" s="655" t="s">
        <v>178</v>
      </c>
      <c r="AP4" s="655" t="s">
        <v>179</v>
      </c>
      <c r="AQ4" s="655" t="s">
        <v>182</v>
      </c>
      <c r="AR4" s="655" t="s">
        <v>180</v>
      </c>
      <c r="AS4" s="655" t="s">
        <v>181</v>
      </c>
      <c r="AV4" t="s">
        <v>169</v>
      </c>
      <c r="AW4" s="337" t="s">
        <v>207</v>
      </c>
    </row>
    <row r="5" spans="1:49" ht="30" customHeight="1" thickBot="1" x14ac:dyDescent="0.3">
      <c r="A5" s="13"/>
      <c r="B5" s="640"/>
      <c r="C5" s="641"/>
      <c r="D5" s="641"/>
      <c r="E5" s="641"/>
      <c r="F5" s="641"/>
      <c r="G5" s="641"/>
      <c r="H5" s="642"/>
      <c r="I5" s="640"/>
      <c r="J5" s="641"/>
      <c r="K5" s="641"/>
      <c r="L5" s="641"/>
      <c r="M5" s="641"/>
      <c r="N5" s="642"/>
      <c r="O5" s="647"/>
      <c r="P5" s="648"/>
      <c r="Q5" s="648"/>
      <c r="R5" s="648"/>
      <c r="S5" s="648"/>
      <c r="T5" s="649"/>
      <c r="U5" s="652"/>
      <c r="V5" s="653"/>
      <c r="W5" s="653"/>
      <c r="X5" s="653"/>
      <c r="Y5" s="653"/>
      <c r="Z5" s="653"/>
      <c r="AA5" s="654"/>
      <c r="AB5" s="656"/>
      <c r="AC5" s="658"/>
      <c r="AD5" s="622"/>
      <c r="AE5" s="622"/>
      <c r="AF5" s="636"/>
      <c r="AG5" s="636"/>
      <c r="AH5" s="636"/>
      <c r="AI5" s="636"/>
      <c r="AJ5" s="622"/>
      <c r="AK5" s="622"/>
      <c r="AL5" s="622"/>
      <c r="AM5" s="622"/>
      <c r="AN5" s="622"/>
      <c r="AO5" s="622"/>
      <c r="AP5" s="622"/>
      <c r="AQ5" s="622"/>
      <c r="AR5" s="622"/>
      <c r="AS5" s="622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6" t="s">
        <v>23</v>
      </c>
      <c r="AD7" s="398" t="s">
        <v>28</v>
      </c>
      <c r="AE7" s="398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43647</v>
      </c>
      <c r="B8" s="49"/>
      <c r="C8" s="50">
        <v>62.821379466851731</v>
      </c>
      <c r="D8" s="50">
        <v>606.33203029632682</v>
      </c>
      <c r="E8" s="50">
        <v>15.948614145318658</v>
      </c>
      <c r="F8" s="50">
        <v>0</v>
      </c>
      <c r="G8" s="50">
        <v>1702.3361277262372</v>
      </c>
      <c r="H8" s="51">
        <v>26.295971999565779</v>
      </c>
      <c r="I8" s="49">
        <v>127.97152006626121</v>
      </c>
      <c r="J8" s="50">
        <v>392.39570509592733</v>
      </c>
      <c r="K8" s="50">
        <v>21.364191742738097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305.1207395125532</v>
      </c>
      <c r="V8" s="54">
        <v>152.57299232525153</v>
      </c>
      <c r="W8" s="54">
        <v>47.597357725881629</v>
      </c>
      <c r="X8" s="54">
        <v>23.800647922572356</v>
      </c>
      <c r="Y8" s="54">
        <v>174.08519349371539</v>
      </c>
      <c r="Z8" s="54">
        <v>87.049798493831375</v>
      </c>
      <c r="AA8" s="55">
        <v>0</v>
      </c>
      <c r="AB8" s="56">
        <v>92.934275955622951</v>
      </c>
      <c r="AC8" s="57">
        <v>0</v>
      </c>
      <c r="AD8" s="408">
        <v>12.339040830558533</v>
      </c>
      <c r="AE8" s="408">
        <v>5.9794433257478721</v>
      </c>
      <c r="AF8" s="57">
        <v>18.044025005234612</v>
      </c>
      <c r="AG8" s="58">
        <v>11.910108444351419</v>
      </c>
      <c r="AH8" s="58">
        <v>5.9555469325879153</v>
      </c>
      <c r="AI8" s="58">
        <v>0.66664828090912198</v>
      </c>
      <c r="AJ8" s="57">
        <v>249.23121137619017</v>
      </c>
      <c r="AK8" s="57">
        <v>1080.4607464472451</v>
      </c>
      <c r="AL8" s="57">
        <v>2992.9909973144531</v>
      </c>
      <c r="AM8" s="57">
        <v>485.37895202636719</v>
      </c>
      <c r="AN8" s="57">
        <v>5002.7442626953125</v>
      </c>
      <c r="AO8" s="57">
        <v>2689.4737735748295</v>
      </c>
      <c r="AP8" s="57">
        <v>569.74574454625451</v>
      </c>
      <c r="AQ8" s="57">
        <v>2635.4035977681478</v>
      </c>
      <c r="AR8" s="57">
        <v>474.16509949366247</v>
      </c>
      <c r="AS8" s="57">
        <v>840.52404683431007</v>
      </c>
    </row>
    <row r="9" spans="1:49" x14ac:dyDescent="0.25">
      <c r="A9" s="11">
        <v>43648</v>
      </c>
      <c r="B9" s="59"/>
      <c r="C9" s="60">
        <v>63.935841651757201</v>
      </c>
      <c r="D9" s="60">
        <v>606.32319272359302</v>
      </c>
      <c r="E9" s="60">
        <v>15.919165929158522</v>
      </c>
      <c r="F9" s="60">
        <v>0</v>
      </c>
      <c r="G9" s="60">
        <v>1759.2994293212921</v>
      </c>
      <c r="H9" s="61">
        <v>26.276727243264574</v>
      </c>
      <c r="I9" s="59">
        <v>127.56452671686812</v>
      </c>
      <c r="J9" s="60">
        <v>392.34926013946631</v>
      </c>
      <c r="K9" s="60">
        <v>21.429774918655529</v>
      </c>
      <c r="L9" s="60">
        <v>9.4413757324218753E-6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307.99324770341713</v>
      </c>
      <c r="V9" s="62">
        <v>153.97632508439668</v>
      </c>
      <c r="W9" s="62">
        <v>47.735893656995785</v>
      </c>
      <c r="X9" s="62">
        <v>23.864800721221211</v>
      </c>
      <c r="Y9" s="66">
        <v>177.43598353975344</v>
      </c>
      <c r="Z9" s="66">
        <v>88.706297579275187</v>
      </c>
      <c r="AA9" s="67">
        <v>0</v>
      </c>
      <c r="AB9" s="68">
        <v>92.938436900243403</v>
      </c>
      <c r="AC9" s="69">
        <v>0</v>
      </c>
      <c r="AD9" s="409">
        <v>12.33773141827373</v>
      </c>
      <c r="AE9" s="409">
        <v>5.98022586283584</v>
      </c>
      <c r="AF9" s="69">
        <v>18.175879270500641</v>
      </c>
      <c r="AG9" s="68">
        <v>12.000200531352187</v>
      </c>
      <c r="AH9" s="68">
        <v>5.9993093740572077</v>
      </c>
      <c r="AI9" s="68">
        <v>0.66669595974642426</v>
      </c>
      <c r="AJ9" s="69">
        <v>239.85533603032431</v>
      </c>
      <c r="AK9" s="69">
        <v>1078.4711107254027</v>
      </c>
      <c r="AL9" s="69">
        <v>3024.9257727305094</v>
      </c>
      <c r="AM9" s="69">
        <v>497.51281690597534</v>
      </c>
      <c r="AN9" s="69">
        <v>5002.7442626953125</v>
      </c>
      <c r="AO9" s="69">
        <v>2594.0598548889157</v>
      </c>
      <c r="AP9" s="69">
        <v>588.60114841461177</v>
      </c>
      <c r="AQ9" s="69">
        <v>2653.2425497690838</v>
      </c>
      <c r="AR9" s="69">
        <v>443.51723524729408</v>
      </c>
      <c r="AS9" s="69">
        <v>766.49123036066692</v>
      </c>
    </row>
    <row r="10" spans="1:49" x14ac:dyDescent="0.25">
      <c r="A10" s="11">
        <v>43649</v>
      </c>
      <c r="B10" s="59"/>
      <c r="C10" s="60">
        <v>63.450646855434215</v>
      </c>
      <c r="D10" s="60">
        <v>606.37158412933309</v>
      </c>
      <c r="E10" s="60">
        <v>15.894872106114978</v>
      </c>
      <c r="F10" s="60">
        <v>0</v>
      </c>
      <c r="G10" s="60">
        <v>1627.4985633850124</v>
      </c>
      <c r="H10" s="61">
        <v>26.261977525552137</v>
      </c>
      <c r="I10" s="59">
        <v>128.71080890496563</v>
      </c>
      <c r="J10" s="60">
        <v>395.50422472953835</v>
      </c>
      <c r="K10" s="60">
        <v>21.620650761822866</v>
      </c>
      <c r="L10" s="6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319.9357294076645</v>
      </c>
      <c r="V10" s="62">
        <v>159.92982135408971</v>
      </c>
      <c r="W10" s="62">
        <v>44.463342476115862</v>
      </c>
      <c r="X10" s="62">
        <v>22.226384130889024</v>
      </c>
      <c r="Y10" s="66">
        <v>184.33620156169152</v>
      </c>
      <c r="Z10" s="66">
        <v>92.146181482869238</v>
      </c>
      <c r="AA10" s="67">
        <v>0</v>
      </c>
      <c r="AB10" s="68">
        <v>93.345998138852792</v>
      </c>
      <c r="AC10" s="69">
        <v>0</v>
      </c>
      <c r="AD10" s="409">
        <v>12.435857074215768</v>
      </c>
      <c r="AE10" s="409">
        <v>5.980644982134133</v>
      </c>
      <c r="AF10" s="69">
        <v>17.503017220232223</v>
      </c>
      <c r="AG10" s="68">
        <v>11.542211572009458</v>
      </c>
      <c r="AH10" s="68">
        <v>5.7697333091249234</v>
      </c>
      <c r="AI10" s="68">
        <v>0.666719519456623</v>
      </c>
      <c r="AJ10" s="69">
        <v>244.24188803037009</v>
      </c>
      <c r="AK10" s="69">
        <v>1085.3992352167766</v>
      </c>
      <c r="AL10" s="69">
        <v>3035.1525431315104</v>
      </c>
      <c r="AM10" s="69">
        <v>565.16326904296875</v>
      </c>
      <c r="AN10" s="69">
        <v>5002.7442626953125</v>
      </c>
      <c r="AO10" s="69">
        <v>2668.6094098409017</v>
      </c>
      <c r="AP10" s="69">
        <v>569.82502334912624</v>
      </c>
      <c r="AQ10" s="69">
        <v>2668.5538075764975</v>
      </c>
      <c r="AR10" s="69">
        <v>559.52139371236171</v>
      </c>
      <c r="AS10" s="69">
        <v>824.1988670984905</v>
      </c>
    </row>
    <row r="11" spans="1:49" x14ac:dyDescent="0.25">
      <c r="A11" s="11">
        <v>43650</v>
      </c>
      <c r="B11" s="59"/>
      <c r="C11" s="60">
        <v>62.952642432849153</v>
      </c>
      <c r="D11" s="60">
        <v>606.07539682388312</v>
      </c>
      <c r="E11" s="60">
        <v>15.932551457484543</v>
      </c>
      <c r="F11" s="60">
        <v>0</v>
      </c>
      <c r="G11" s="60">
        <v>1414.4547302246117</v>
      </c>
      <c r="H11" s="61">
        <v>26.245248132944088</v>
      </c>
      <c r="I11" s="59">
        <v>130.78844688733452</v>
      </c>
      <c r="J11" s="60">
        <v>392.93051230112792</v>
      </c>
      <c r="K11" s="60">
        <v>21.465481569866341</v>
      </c>
      <c r="L11" s="60">
        <v>1.8882751464843751E-5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365.16597459112</v>
      </c>
      <c r="V11" s="62">
        <v>182.59225780109003</v>
      </c>
      <c r="W11" s="62">
        <v>47.01816555103359</v>
      </c>
      <c r="X11" s="62">
        <v>23.510276430441081</v>
      </c>
      <c r="Y11" s="66">
        <v>216.20138559543673</v>
      </c>
      <c r="Z11" s="66">
        <v>108.1061815241612</v>
      </c>
      <c r="AA11" s="67">
        <v>0</v>
      </c>
      <c r="AB11" s="68">
        <v>93.560585557090775</v>
      </c>
      <c r="AC11" s="69">
        <v>0</v>
      </c>
      <c r="AD11" s="409">
        <v>12.353185465964295</v>
      </c>
      <c r="AE11" s="409">
        <v>5.9777768514746565</v>
      </c>
      <c r="AF11" s="69">
        <v>18.067965279022857</v>
      </c>
      <c r="AG11" s="68">
        <v>11.920901199836615</v>
      </c>
      <c r="AH11" s="68">
        <v>5.9607532370427538</v>
      </c>
      <c r="AI11" s="68">
        <v>0.66665538370156541</v>
      </c>
      <c r="AJ11" s="69">
        <v>241.75927734375</v>
      </c>
      <c r="AK11" s="69">
        <v>1097.7585503896075</v>
      </c>
      <c r="AL11" s="69">
        <v>2955.8654402414959</v>
      </c>
      <c r="AM11" s="69">
        <v>565.16326904296875</v>
      </c>
      <c r="AN11" s="69">
        <v>5002.7442626953125</v>
      </c>
      <c r="AO11" s="69">
        <v>2683.5308635711667</v>
      </c>
      <c r="AP11" s="69">
        <v>624.29012006123867</v>
      </c>
      <c r="AQ11" s="69">
        <v>2693.0119411468504</v>
      </c>
      <c r="AR11" s="69">
        <v>728.39162238438917</v>
      </c>
      <c r="AS11" s="69">
        <v>775.38223403294899</v>
      </c>
    </row>
    <row r="12" spans="1:49" x14ac:dyDescent="0.25">
      <c r="A12" s="11">
        <v>43651</v>
      </c>
      <c r="B12" s="59"/>
      <c r="C12" s="60">
        <v>62.508547019958861</v>
      </c>
      <c r="D12" s="60">
        <v>606.19824272791561</v>
      </c>
      <c r="E12" s="60">
        <v>15.894344259301805</v>
      </c>
      <c r="F12" s="60">
        <v>0</v>
      </c>
      <c r="G12" s="60">
        <v>1365.31706027985</v>
      </c>
      <c r="H12" s="61">
        <v>26.290728034575807</v>
      </c>
      <c r="I12" s="59">
        <v>138.17471196651471</v>
      </c>
      <c r="J12" s="60">
        <v>393.43856929143294</v>
      </c>
      <c r="K12" s="60">
        <v>21.578728241721763</v>
      </c>
      <c r="L12" s="60">
        <v>9.4413757324218753E-6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364.98919288021261</v>
      </c>
      <c r="V12" s="62">
        <v>182.5363919976464</v>
      </c>
      <c r="W12" s="62">
        <v>47.688465271851484</v>
      </c>
      <c r="X12" s="62">
        <v>23.849693526366195</v>
      </c>
      <c r="Y12" s="66">
        <v>203.98349688397153</v>
      </c>
      <c r="Z12" s="66">
        <v>102.01510695272404</v>
      </c>
      <c r="AA12" s="67">
        <v>0</v>
      </c>
      <c r="AB12" s="68">
        <v>93.601019250023029</v>
      </c>
      <c r="AC12" s="69">
        <v>0</v>
      </c>
      <c r="AD12" s="409">
        <v>12.349043513056754</v>
      </c>
      <c r="AE12" s="409">
        <v>5.9787269437628909</v>
      </c>
      <c r="AF12" s="69">
        <v>18.186752270327634</v>
      </c>
      <c r="AG12" s="68">
        <v>11.999631150037246</v>
      </c>
      <c r="AH12" s="68">
        <v>6.0011896739891517</v>
      </c>
      <c r="AI12" s="68">
        <v>0.66661577643286518</v>
      </c>
      <c r="AJ12" s="69">
        <v>246.52396047910054</v>
      </c>
      <c r="AK12" s="69">
        <v>1080.7516295750936</v>
      </c>
      <c r="AL12" s="69">
        <v>3026.1484752655028</v>
      </c>
      <c r="AM12" s="69">
        <v>565.16326904296875</v>
      </c>
      <c r="AN12" s="69">
        <v>5002.7442626953125</v>
      </c>
      <c r="AO12" s="69">
        <v>2674.8700649261473</v>
      </c>
      <c r="AP12" s="69">
        <v>600.64017051060978</v>
      </c>
      <c r="AQ12" s="69">
        <v>2606.449542999268</v>
      </c>
      <c r="AR12" s="69">
        <v>490.0501240730286</v>
      </c>
      <c r="AS12" s="69">
        <v>757.30530563990271</v>
      </c>
    </row>
    <row r="13" spans="1:49" x14ac:dyDescent="0.25">
      <c r="A13" s="11">
        <v>43652</v>
      </c>
      <c r="B13" s="59"/>
      <c r="C13" s="60">
        <v>62.078334959348446</v>
      </c>
      <c r="D13" s="60">
        <v>615.67202361424904</v>
      </c>
      <c r="E13" s="60">
        <v>15.87273825407026</v>
      </c>
      <c r="F13" s="60">
        <v>0</v>
      </c>
      <c r="G13" s="60">
        <v>1362.6126200993895</v>
      </c>
      <c r="H13" s="61">
        <v>26.131511276960406</v>
      </c>
      <c r="I13" s="59">
        <v>143.99221142133086</v>
      </c>
      <c r="J13" s="60">
        <v>392.92280918757154</v>
      </c>
      <c r="K13" s="60">
        <v>21.478321281572171</v>
      </c>
      <c r="L13" s="60">
        <v>8.4972381591796883E-5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363.97327722707945</v>
      </c>
      <c r="V13" s="62">
        <v>181.99666931630196</v>
      </c>
      <c r="W13" s="62">
        <v>48.475086738586263</v>
      </c>
      <c r="X13" s="62">
        <v>24.238879289309441</v>
      </c>
      <c r="Y13" s="66">
        <v>194.83670638622141</v>
      </c>
      <c r="Z13" s="66">
        <v>97.423722678210893</v>
      </c>
      <c r="AA13" s="67">
        <v>0</v>
      </c>
      <c r="AB13" s="68">
        <v>93.597794845370316</v>
      </c>
      <c r="AC13" s="69">
        <v>0</v>
      </c>
      <c r="AD13" s="409">
        <v>12.356497842099262</v>
      </c>
      <c r="AE13" s="409">
        <v>5.967253189303487</v>
      </c>
      <c r="AF13" s="69">
        <v>18.007316942347444</v>
      </c>
      <c r="AG13" s="68">
        <v>11.887499354645024</v>
      </c>
      <c r="AH13" s="68">
        <v>5.944077283715818</v>
      </c>
      <c r="AI13" s="68">
        <v>0.66665441849217066</v>
      </c>
      <c r="AJ13" s="69">
        <v>251.88303162256875</v>
      </c>
      <c r="AK13" s="69">
        <v>1084.6503920873006</v>
      </c>
      <c r="AL13" s="69">
        <v>2927.6592943827318</v>
      </c>
      <c r="AM13" s="69">
        <v>565.16326904296875</v>
      </c>
      <c r="AN13" s="69">
        <v>5002.7442626953125</v>
      </c>
      <c r="AO13" s="69">
        <v>2677.8826187133791</v>
      </c>
      <c r="AP13" s="69">
        <v>591.90947330792756</v>
      </c>
      <c r="AQ13" s="69">
        <v>2627.7658334096277</v>
      </c>
      <c r="AR13" s="69">
        <v>517.06699117024732</v>
      </c>
      <c r="AS13" s="69">
        <v>721.98894103368116</v>
      </c>
    </row>
    <row r="14" spans="1:49" x14ac:dyDescent="0.25">
      <c r="A14" s="11">
        <v>43653</v>
      </c>
      <c r="B14" s="59"/>
      <c r="C14" s="60">
        <v>62.791231656074267</v>
      </c>
      <c r="D14" s="60">
        <v>620.21032110849922</v>
      </c>
      <c r="E14" s="60">
        <v>15.884425881504999</v>
      </c>
      <c r="F14" s="60">
        <v>0</v>
      </c>
      <c r="G14" s="60">
        <v>1330.2524482727108</v>
      </c>
      <c r="H14" s="61">
        <v>26.129744698604028</v>
      </c>
      <c r="I14" s="59">
        <v>149.11535785992928</v>
      </c>
      <c r="J14" s="60">
        <v>396.84484189351434</v>
      </c>
      <c r="K14" s="60">
        <v>21.814546242852984</v>
      </c>
      <c r="L14" s="60">
        <v>1.7938613891601567E-4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364.19753495598422</v>
      </c>
      <c r="V14" s="62">
        <v>181.96305019314946</v>
      </c>
      <c r="W14" s="62">
        <v>48.184296594293883</v>
      </c>
      <c r="X14" s="62">
        <v>24.074192541607243</v>
      </c>
      <c r="Y14" s="66">
        <v>201.55098251610994</v>
      </c>
      <c r="Z14" s="66">
        <v>100.70038379718827</v>
      </c>
      <c r="AA14" s="67">
        <v>0</v>
      </c>
      <c r="AB14" s="68">
        <v>93.603797213235026</v>
      </c>
      <c r="AC14" s="69">
        <v>0</v>
      </c>
      <c r="AD14" s="409">
        <v>12.47634645790083</v>
      </c>
      <c r="AE14" s="409">
        <v>5.963035870116367</v>
      </c>
      <c r="AF14" s="69">
        <v>18.036160275671218</v>
      </c>
      <c r="AG14" s="68">
        <v>11.88616341319071</v>
      </c>
      <c r="AH14" s="68">
        <v>5.9386523580391408</v>
      </c>
      <c r="AI14" s="68">
        <v>0.66683232891391653</v>
      </c>
      <c r="AJ14" s="69">
        <v>247.64008598327635</v>
      </c>
      <c r="AK14" s="69">
        <v>1090.5155839920044</v>
      </c>
      <c r="AL14" s="69">
        <v>3058.5268155415852</v>
      </c>
      <c r="AM14" s="69">
        <v>524.16007525126133</v>
      </c>
      <c r="AN14" s="69">
        <v>5002.7442626953125</v>
      </c>
      <c r="AO14" s="69">
        <v>2686.3385611216231</v>
      </c>
      <c r="AP14" s="69">
        <v>602.04099715550751</v>
      </c>
      <c r="AQ14" s="69">
        <v>2657.9311834971109</v>
      </c>
      <c r="AR14" s="69">
        <v>672.60912499427798</v>
      </c>
      <c r="AS14" s="69">
        <v>758.78558708826688</v>
      </c>
    </row>
    <row r="15" spans="1:49" x14ac:dyDescent="0.25">
      <c r="A15" s="11">
        <v>43654</v>
      </c>
      <c r="B15" s="59"/>
      <c r="C15" s="60">
        <v>63.386797241370012</v>
      </c>
      <c r="D15" s="60">
        <v>621.5922531763722</v>
      </c>
      <c r="E15" s="60">
        <v>15.92808550894255</v>
      </c>
      <c r="F15" s="60">
        <v>0</v>
      </c>
      <c r="G15" s="60">
        <v>1294.2035214106247</v>
      </c>
      <c r="H15" s="61">
        <v>26.308171466986366</v>
      </c>
      <c r="I15" s="59">
        <v>148.11465324560794</v>
      </c>
      <c r="J15" s="60">
        <v>393.50667239824998</v>
      </c>
      <c r="K15" s="60">
        <v>21.56589381049076</v>
      </c>
      <c r="L15" s="60">
        <v>1.6050338745117191E-4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355.79061484850587</v>
      </c>
      <c r="V15" s="62">
        <v>171.72693500535078</v>
      </c>
      <c r="W15" s="62">
        <v>46.647033091876757</v>
      </c>
      <c r="X15" s="62">
        <v>22.514792930589319</v>
      </c>
      <c r="Y15" s="66">
        <v>187.64303470523262</v>
      </c>
      <c r="Z15" s="66">
        <v>90.568333958873069</v>
      </c>
      <c r="AA15" s="67">
        <v>0</v>
      </c>
      <c r="AB15" s="68">
        <v>93.317186482748809</v>
      </c>
      <c r="AC15" s="69">
        <v>0</v>
      </c>
      <c r="AD15" s="409">
        <v>12.372450390377136</v>
      </c>
      <c r="AE15" s="409">
        <v>5.9763054162586187</v>
      </c>
      <c r="AF15" s="69">
        <v>17.393634254402588</v>
      </c>
      <c r="AG15" s="68">
        <v>11.587460662591701</v>
      </c>
      <c r="AH15" s="68">
        <v>5.5928375315049434</v>
      </c>
      <c r="AI15" s="68">
        <v>0.67446213864747062</v>
      </c>
      <c r="AJ15" s="69">
        <v>244.9355286916097</v>
      </c>
      <c r="AK15" s="69">
        <v>1081.2652399698895</v>
      </c>
      <c r="AL15" s="69">
        <v>3089.5587772369381</v>
      </c>
      <c r="AM15" s="69">
        <v>528.0699462890625</v>
      </c>
      <c r="AN15" s="69">
        <v>5002.7442626953125</v>
      </c>
      <c r="AO15" s="69">
        <v>2698.6643241882325</v>
      </c>
      <c r="AP15" s="69">
        <v>601.87261546452839</v>
      </c>
      <c r="AQ15" s="69">
        <v>2596.0529820760089</v>
      </c>
      <c r="AR15" s="69">
        <v>714.22460292180392</v>
      </c>
      <c r="AS15" s="69">
        <v>845.85361859003706</v>
      </c>
    </row>
    <row r="16" spans="1:49" x14ac:dyDescent="0.25">
      <c r="A16" s="11">
        <v>43655</v>
      </c>
      <c r="B16" s="59"/>
      <c r="C16" s="60">
        <v>62.959923084577191</v>
      </c>
      <c r="D16" s="60">
        <v>620.97485357920357</v>
      </c>
      <c r="E16" s="60">
        <v>15.890620143214855</v>
      </c>
      <c r="F16" s="60">
        <v>0</v>
      </c>
      <c r="G16" s="60">
        <v>1328.5823891957582</v>
      </c>
      <c r="H16" s="61">
        <v>25.651795134941771</v>
      </c>
      <c r="I16" s="59">
        <v>148.11675106684362</v>
      </c>
      <c r="J16" s="60">
        <v>393.34636720021666</v>
      </c>
      <c r="K16" s="60">
        <v>21.469193143149212</v>
      </c>
      <c r="L16" s="60">
        <v>5.6648254394531249E-5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365.95661107938491</v>
      </c>
      <c r="V16" s="62">
        <v>182.96120203096865</v>
      </c>
      <c r="W16" s="62">
        <v>48.440200367876294</v>
      </c>
      <c r="X16" s="62">
        <v>24.21783626148261</v>
      </c>
      <c r="Y16" s="66">
        <v>191.10560243804514</v>
      </c>
      <c r="Z16" s="66">
        <v>95.543869623747312</v>
      </c>
      <c r="AA16" s="67">
        <v>0</v>
      </c>
      <c r="AB16" s="68">
        <v>93.592414877150915</v>
      </c>
      <c r="AC16" s="69">
        <v>0</v>
      </c>
      <c r="AD16" s="409">
        <v>12.368585785709673</v>
      </c>
      <c r="AE16" s="409">
        <v>5.9705553495988717</v>
      </c>
      <c r="AF16" s="69">
        <v>18.083089905314949</v>
      </c>
      <c r="AG16" s="68">
        <v>11.912257077337516</v>
      </c>
      <c r="AH16" s="68">
        <v>5.9555718021959798</v>
      </c>
      <c r="AI16" s="68">
        <v>0.66668743906442252</v>
      </c>
      <c r="AJ16" s="69">
        <v>237.51902437210083</v>
      </c>
      <c r="AK16" s="69">
        <v>1072.5637474695841</v>
      </c>
      <c r="AL16" s="69">
        <v>3034.9259237925212</v>
      </c>
      <c r="AM16" s="69">
        <v>528.0699462890625</v>
      </c>
      <c r="AN16" s="69">
        <v>5002.7442626953125</v>
      </c>
      <c r="AO16" s="69">
        <v>2689.7038127899168</v>
      </c>
      <c r="AP16" s="69">
        <v>608.65819904009493</v>
      </c>
      <c r="AQ16" s="69">
        <v>2688.1799636840815</v>
      </c>
      <c r="AR16" s="69">
        <v>583.00921042760217</v>
      </c>
      <c r="AS16" s="69">
        <v>814.881959629059</v>
      </c>
    </row>
    <row r="17" spans="1:45" x14ac:dyDescent="0.25">
      <c r="A17" s="11">
        <v>43656</v>
      </c>
      <c r="B17" s="49"/>
      <c r="C17" s="50">
        <v>63.210152077674302</v>
      </c>
      <c r="D17" s="50">
        <v>621.22280063629216</v>
      </c>
      <c r="E17" s="50">
        <v>15.911510923504837</v>
      </c>
      <c r="F17" s="50">
        <v>0</v>
      </c>
      <c r="G17" s="50">
        <v>1351.1084894180315</v>
      </c>
      <c r="H17" s="51">
        <v>25.644718170166026</v>
      </c>
      <c r="I17" s="49">
        <v>148.18451178868622</v>
      </c>
      <c r="J17" s="50">
        <v>393.52092644373698</v>
      </c>
      <c r="K17" s="50">
        <v>21.519303951660792</v>
      </c>
      <c r="L17" s="6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364.28049652603119</v>
      </c>
      <c r="V17" s="66">
        <v>182.16539080646459</v>
      </c>
      <c r="W17" s="62">
        <v>48.098361749202574</v>
      </c>
      <c r="X17" s="62">
        <v>24.052500610798084</v>
      </c>
      <c r="Y17" s="66">
        <v>191.86612026285309</v>
      </c>
      <c r="Z17" s="66">
        <v>95.946302680262121</v>
      </c>
      <c r="AA17" s="67">
        <v>0</v>
      </c>
      <c r="AB17" s="68">
        <v>93.592630444634082</v>
      </c>
      <c r="AC17" s="69">
        <v>0</v>
      </c>
      <c r="AD17" s="409">
        <v>12.373538079769482</v>
      </c>
      <c r="AE17" s="409">
        <v>5.9726747901135626</v>
      </c>
      <c r="AF17" s="69">
        <v>18.209121363692823</v>
      </c>
      <c r="AG17" s="68">
        <v>11.999942600194302</v>
      </c>
      <c r="AH17" s="68">
        <v>6.0007995329591575</v>
      </c>
      <c r="AI17" s="68">
        <v>0.66663599264015971</v>
      </c>
      <c r="AJ17" s="69">
        <v>244.12044781049093</v>
      </c>
      <c r="AK17" s="69">
        <v>1076.444657643636</v>
      </c>
      <c r="AL17" s="69">
        <v>2915.2679991404216</v>
      </c>
      <c r="AM17" s="69">
        <v>528.0699462890625</v>
      </c>
      <c r="AN17" s="69">
        <v>5002.7442626953125</v>
      </c>
      <c r="AO17" s="69">
        <v>2696.5359587351486</v>
      </c>
      <c r="AP17" s="69">
        <v>614.5915172100066</v>
      </c>
      <c r="AQ17" s="69">
        <v>2646.3659192403156</v>
      </c>
      <c r="AR17" s="69">
        <v>556.42623620033271</v>
      </c>
      <c r="AS17" s="69">
        <v>789.884557533264</v>
      </c>
    </row>
    <row r="18" spans="1:45" x14ac:dyDescent="0.25">
      <c r="A18" s="11">
        <v>43657</v>
      </c>
      <c r="B18" s="59"/>
      <c r="C18" s="60">
        <v>63.191536164283967</v>
      </c>
      <c r="D18" s="60">
        <v>624.40599562327213</v>
      </c>
      <c r="E18" s="60">
        <v>15.943761092424397</v>
      </c>
      <c r="F18" s="60">
        <v>0</v>
      </c>
      <c r="G18" s="60">
        <v>1389.0232452392574</v>
      </c>
      <c r="H18" s="61">
        <v>26.240342391530632</v>
      </c>
      <c r="I18" s="59">
        <v>193.70447088082665</v>
      </c>
      <c r="J18" s="60">
        <v>542.36963777542098</v>
      </c>
      <c r="K18" s="60">
        <v>29.688445184628165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457.97417891130192</v>
      </c>
      <c r="V18" s="62">
        <v>166.48866746320991</v>
      </c>
      <c r="W18" s="62">
        <v>65.858322649752125</v>
      </c>
      <c r="X18" s="62">
        <v>23.941665020033689</v>
      </c>
      <c r="Y18" s="66">
        <v>267.75752436656376</v>
      </c>
      <c r="Z18" s="66">
        <v>97.338661190483649</v>
      </c>
      <c r="AA18" s="67">
        <v>0</v>
      </c>
      <c r="AB18" s="68">
        <v>116.75122886764007</v>
      </c>
      <c r="AC18" s="69">
        <v>0</v>
      </c>
      <c r="AD18" s="409">
        <v>17.054694387579801</v>
      </c>
      <c r="AE18" s="409">
        <v>5.9775423620112447</v>
      </c>
      <c r="AF18" s="69">
        <v>22.056973593764859</v>
      </c>
      <c r="AG18" s="68">
        <v>16.004824356128427</v>
      </c>
      <c r="AH18" s="68">
        <v>5.8182797256581109</v>
      </c>
      <c r="AI18" s="68">
        <v>0.73338899434961591</v>
      </c>
      <c r="AJ18" s="69">
        <v>251.44657216072082</v>
      </c>
      <c r="AK18" s="69">
        <v>1080.2027039845786</v>
      </c>
      <c r="AL18" s="69">
        <v>3038.3252639770508</v>
      </c>
      <c r="AM18" s="69">
        <v>528.0699462890625</v>
      </c>
      <c r="AN18" s="69">
        <v>5002.7442626953125</v>
      </c>
      <c r="AO18" s="69">
        <v>2724.29011370341</v>
      </c>
      <c r="AP18" s="69">
        <v>622.46291104952491</v>
      </c>
      <c r="AQ18" s="69">
        <v>2972.1965568542482</v>
      </c>
      <c r="AR18" s="69">
        <v>717.86541509628285</v>
      </c>
      <c r="AS18" s="69">
        <v>941.56110928853343</v>
      </c>
    </row>
    <row r="19" spans="1:45" x14ac:dyDescent="0.25">
      <c r="A19" s="11">
        <v>43658</v>
      </c>
      <c r="B19" s="59"/>
      <c r="C19" s="60">
        <v>62.947788655758188</v>
      </c>
      <c r="D19" s="60">
        <v>625.25322395960393</v>
      </c>
      <c r="E19" s="60">
        <v>15.966842066248251</v>
      </c>
      <c r="F19" s="60">
        <v>0</v>
      </c>
      <c r="G19" s="60">
        <v>1450.4233649571806</v>
      </c>
      <c r="H19" s="61">
        <v>26.163953381776789</v>
      </c>
      <c r="I19" s="59">
        <v>197.09374928474432</v>
      </c>
      <c r="J19" s="60">
        <v>553.26054442723478</v>
      </c>
      <c r="K19" s="60">
        <v>30.29545991917454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418.36911757066321</v>
      </c>
      <c r="V19" s="62">
        <v>147.63818488311472</v>
      </c>
      <c r="W19" s="62">
        <v>69.607073986182087</v>
      </c>
      <c r="X19" s="62">
        <v>24.563624863178035</v>
      </c>
      <c r="Y19" s="66">
        <v>274.16453313909608</v>
      </c>
      <c r="Z19" s="66">
        <v>96.749861144198931</v>
      </c>
      <c r="AA19" s="67">
        <v>0</v>
      </c>
      <c r="AB19" s="68">
        <v>118.84571711222581</v>
      </c>
      <c r="AC19" s="69">
        <v>0</v>
      </c>
      <c r="AD19" s="409">
        <v>17.396773986107476</v>
      </c>
      <c r="AE19" s="409">
        <v>5.974222388981782</v>
      </c>
      <c r="AF19" s="69">
        <v>23.135469268427983</v>
      </c>
      <c r="AG19" s="68">
        <v>16.91419625872199</v>
      </c>
      <c r="AH19" s="68">
        <v>5.9688469571913538</v>
      </c>
      <c r="AI19" s="68">
        <v>0.73915851572397095</v>
      </c>
      <c r="AJ19" s="69">
        <v>240.23795059521993</v>
      </c>
      <c r="AK19" s="69">
        <v>1085.7925552368167</v>
      </c>
      <c r="AL19" s="69">
        <v>3152.4617111206057</v>
      </c>
      <c r="AM19" s="69">
        <v>528.0699462890625</v>
      </c>
      <c r="AN19" s="69">
        <v>5002.7442626953125</v>
      </c>
      <c r="AO19" s="69">
        <v>2648.8678831736247</v>
      </c>
      <c r="AP19" s="69">
        <v>630.9783905188242</v>
      </c>
      <c r="AQ19" s="69">
        <v>2964.574010721843</v>
      </c>
      <c r="AR19" s="69">
        <v>554.88826486269625</v>
      </c>
      <c r="AS19" s="69">
        <v>953.24925543467202</v>
      </c>
    </row>
    <row r="20" spans="1:45" x14ac:dyDescent="0.25">
      <c r="A20" s="11">
        <v>43659</v>
      </c>
      <c r="B20" s="59"/>
      <c r="C20" s="60">
        <v>62.618440536658291</v>
      </c>
      <c r="D20" s="60">
        <v>624.68765538533626</v>
      </c>
      <c r="E20" s="60">
        <v>15.914637459317831</v>
      </c>
      <c r="F20" s="60">
        <v>0</v>
      </c>
      <c r="G20" s="60">
        <v>1479.3394135793101</v>
      </c>
      <c r="H20" s="61">
        <v>26.142818522453346</v>
      </c>
      <c r="I20" s="59">
        <v>197.02911454836538</v>
      </c>
      <c r="J20" s="60">
        <v>553.13906294504739</v>
      </c>
      <c r="K20" s="60">
        <v>30.293943877021462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414.53561521478906</v>
      </c>
      <c r="V20" s="62">
        <v>146.32584282184206</v>
      </c>
      <c r="W20" s="62">
        <v>67.506984278086449</v>
      </c>
      <c r="X20" s="62">
        <v>23.829113852457784</v>
      </c>
      <c r="Y20" s="66">
        <v>271.9331925972449</v>
      </c>
      <c r="Z20" s="66">
        <v>95.98898656128442</v>
      </c>
      <c r="AA20" s="67">
        <v>0</v>
      </c>
      <c r="AB20" s="68">
        <v>118.84135965771412</v>
      </c>
      <c r="AC20" s="69">
        <v>0</v>
      </c>
      <c r="AD20" s="409">
        <v>17.393106415253236</v>
      </c>
      <c r="AE20" s="409">
        <v>5.9691470902660537</v>
      </c>
      <c r="AF20" s="69">
        <v>23.240675807661457</v>
      </c>
      <c r="AG20" s="68">
        <v>16.999874166426093</v>
      </c>
      <c r="AH20" s="68">
        <v>6.0007411280660747</v>
      </c>
      <c r="AI20" s="68">
        <v>0.73910519126403373</v>
      </c>
      <c r="AJ20" s="69">
        <v>241.6658957163493</v>
      </c>
      <c r="AK20" s="69">
        <v>1078.4914766311645</v>
      </c>
      <c r="AL20" s="69">
        <v>2996.2841965993243</v>
      </c>
      <c r="AM20" s="69">
        <v>528.0699462890625</v>
      </c>
      <c r="AN20" s="69">
        <v>5002.7442626953125</v>
      </c>
      <c r="AO20" s="69">
        <v>2608.4910057067868</v>
      </c>
      <c r="AP20" s="69">
        <v>628.40866034825649</v>
      </c>
      <c r="AQ20" s="69">
        <v>3078.9392543792719</v>
      </c>
      <c r="AR20" s="69">
        <v>568.66562159856164</v>
      </c>
      <c r="AS20" s="69">
        <v>865.56031468709318</v>
      </c>
    </row>
    <row r="21" spans="1:45" x14ac:dyDescent="0.25">
      <c r="A21" s="11">
        <v>43660</v>
      </c>
      <c r="B21" s="59"/>
      <c r="C21" s="60">
        <v>63.034259541829755</v>
      </c>
      <c r="D21" s="60">
        <v>625.0989045143142</v>
      </c>
      <c r="E21" s="60">
        <v>15.951191433270761</v>
      </c>
      <c r="F21" s="60">
        <v>0</v>
      </c>
      <c r="G21" s="60">
        <v>1464.3834198633899</v>
      </c>
      <c r="H21" s="61">
        <v>26.255913327137648</v>
      </c>
      <c r="I21" s="59">
        <v>197.08215041160585</v>
      </c>
      <c r="J21" s="60">
        <v>553.12335141499761</v>
      </c>
      <c r="K21" s="60">
        <v>30.274248032768561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424.27734323825666</v>
      </c>
      <c r="V21" s="62">
        <v>149.74346089145195</v>
      </c>
      <c r="W21" s="62">
        <v>67.912704877459902</v>
      </c>
      <c r="X21" s="62">
        <v>23.968952452735312</v>
      </c>
      <c r="Y21" s="66">
        <v>272.21403240395449</v>
      </c>
      <c r="Z21" s="66">
        <v>96.074588862727893</v>
      </c>
      <c r="AA21" s="67">
        <v>0</v>
      </c>
      <c r="AB21" s="68">
        <v>118.84701118999291</v>
      </c>
      <c r="AC21" s="69">
        <v>0</v>
      </c>
      <c r="AD21" s="409">
        <v>17.390984896867664</v>
      </c>
      <c r="AE21" s="409">
        <v>5.9727349824722689</v>
      </c>
      <c r="AF21" s="69">
        <v>23.262405571672669</v>
      </c>
      <c r="AG21" s="68">
        <v>17.000257648004201</v>
      </c>
      <c r="AH21" s="68">
        <v>6.000031481362833</v>
      </c>
      <c r="AI21" s="68">
        <v>0.73913234535378414</v>
      </c>
      <c r="AJ21" s="69">
        <v>241.65434476534526</v>
      </c>
      <c r="AK21" s="69">
        <v>1078.6944526036577</v>
      </c>
      <c r="AL21" s="69">
        <v>3103.7161738077798</v>
      </c>
      <c r="AM21" s="69">
        <v>528.0699462890625</v>
      </c>
      <c r="AN21" s="69">
        <v>5002.7442626953125</v>
      </c>
      <c r="AO21" s="69">
        <v>2590.8284328460695</v>
      </c>
      <c r="AP21" s="69">
        <v>627.63920556704227</v>
      </c>
      <c r="AQ21" s="69">
        <v>3005.6165009816482</v>
      </c>
      <c r="AR21" s="69">
        <v>718.50033302307133</v>
      </c>
      <c r="AS21" s="69">
        <v>827.2801085472106</v>
      </c>
    </row>
    <row r="22" spans="1:45" x14ac:dyDescent="0.25">
      <c r="A22" s="11">
        <v>43661</v>
      </c>
      <c r="B22" s="59"/>
      <c r="C22" s="60">
        <v>65.951188472906622</v>
      </c>
      <c r="D22" s="60">
        <v>653.38388350804576</v>
      </c>
      <c r="E22" s="60">
        <v>16.677481242020928</v>
      </c>
      <c r="F22" s="60">
        <v>0</v>
      </c>
      <c r="G22" s="60">
        <v>1509.043902969363</v>
      </c>
      <c r="H22" s="61">
        <v>27.493092938264255</v>
      </c>
      <c r="I22" s="59">
        <v>198.54544845422112</v>
      </c>
      <c r="J22" s="60">
        <v>557.35354369481456</v>
      </c>
      <c r="K22" s="60">
        <v>30.48485357761383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428.93031161088732</v>
      </c>
      <c r="V22" s="62">
        <v>152.34743240681874</v>
      </c>
      <c r="W22" s="62">
        <v>65.675109437618545</v>
      </c>
      <c r="X22" s="62">
        <v>23.326479908313505</v>
      </c>
      <c r="Y22" s="66">
        <v>281.0194226172423</v>
      </c>
      <c r="Z22" s="66">
        <v>99.812455154770802</v>
      </c>
      <c r="AA22" s="67">
        <v>0</v>
      </c>
      <c r="AB22" s="68">
        <v>120.5265791734067</v>
      </c>
      <c r="AC22" s="69">
        <v>0</v>
      </c>
      <c r="AD22" s="409">
        <v>17.523507997330864</v>
      </c>
      <c r="AE22" s="409">
        <v>6.2433670893209259</v>
      </c>
      <c r="AF22" s="69">
        <v>22.607225231329561</v>
      </c>
      <c r="AG22" s="68">
        <v>16.494392556587602</v>
      </c>
      <c r="AH22" s="68">
        <v>5.8584769765254361</v>
      </c>
      <c r="AI22" s="68">
        <v>0.73790940049791731</v>
      </c>
      <c r="AJ22" s="69">
        <v>244.83093872070313</v>
      </c>
      <c r="AK22" s="69">
        <v>1077.6580141703287</v>
      </c>
      <c r="AL22" s="69">
        <v>2999.6612790425615</v>
      </c>
      <c r="AM22" s="69">
        <v>528.0699462890625</v>
      </c>
      <c r="AN22" s="69">
        <v>5002.7442626953125</v>
      </c>
      <c r="AO22" s="69">
        <v>2653.5558391571039</v>
      </c>
      <c r="AP22" s="69">
        <v>628.67276411056525</v>
      </c>
      <c r="AQ22" s="69">
        <v>2978.4956316630046</v>
      </c>
      <c r="AR22" s="69">
        <v>647.93069621721895</v>
      </c>
      <c r="AS22" s="69">
        <v>877.83473059336359</v>
      </c>
    </row>
    <row r="23" spans="1:45" x14ac:dyDescent="0.25">
      <c r="A23" s="11">
        <v>43662</v>
      </c>
      <c r="B23" s="59"/>
      <c r="C23" s="60">
        <v>75.032680712143602</v>
      </c>
      <c r="D23" s="60">
        <v>727.64486776987656</v>
      </c>
      <c r="E23" s="60">
        <v>18.465286882718402</v>
      </c>
      <c r="F23" s="60">
        <v>0</v>
      </c>
      <c r="G23" s="60">
        <v>1714.3552021026624</v>
      </c>
      <c r="H23" s="61">
        <v>30.447942722837226</v>
      </c>
      <c r="I23" s="59">
        <v>189.52667564551035</v>
      </c>
      <c r="J23" s="60">
        <v>555.69531071980748</v>
      </c>
      <c r="K23" s="60">
        <v>30.452854934334766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421.27194339863945</v>
      </c>
      <c r="V23" s="62">
        <v>166.27416173187939</v>
      </c>
      <c r="W23" s="62">
        <v>68.007517363231003</v>
      </c>
      <c r="X23" s="62">
        <v>26.842264523505385</v>
      </c>
      <c r="Y23" s="66">
        <v>295.5387929712652</v>
      </c>
      <c r="Z23" s="66">
        <v>116.64784667145074</v>
      </c>
      <c r="AA23" s="67">
        <v>0</v>
      </c>
      <c r="AB23" s="68">
        <v>123.74018355475748</v>
      </c>
      <c r="AC23" s="69">
        <v>0</v>
      </c>
      <c r="AD23" s="409">
        <v>17.472986187295664</v>
      </c>
      <c r="AE23" s="409">
        <v>6.9523994514222869</v>
      </c>
      <c r="AF23" s="69">
        <v>23.552569439013777</v>
      </c>
      <c r="AG23" s="68">
        <v>16.624761479436501</v>
      </c>
      <c r="AH23" s="68">
        <v>6.5617193888698715</v>
      </c>
      <c r="AI23" s="68">
        <v>0.71700235899794984</v>
      </c>
      <c r="AJ23" s="69">
        <v>241.99098580678307</v>
      </c>
      <c r="AK23" s="69">
        <v>1074.4681943893434</v>
      </c>
      <c r="AL23" s="69">
        <v>3068.3704060872396</v>
      </c>
      <c r="AM23" s="69">
        <v>566.09296086629229</v>
      </c>
      <c r="AN23" s="69">
        <v>5002.7442626953125</v>
      </c>
      <c r="AO23" s="69">
        <v>2693.2683428446453</v>
      </c>
      <c r="AP23" s="69">
        <v>619.81509458223979</v>
      </c>
      <c r="AQ23" s="69">
        <v>3104.6219511667887</v>
      </c>
      <c r="AR23" s="69">
        <v>537.40876715977981</v>
      </c>
      <c r="AS23" s="69">
        <v>967.66053787867224</v>
      </c>
    </row>
    <row r="24" spans="1:45" x14ac:dyDescent="0.25">
      <c r="A24" s="11">
        <v>43663</v>
      </c>
      <c r="B24" s="59"/>
      <c r="C24" s="60">
        <v>73.519592595100178</v>
      </c>
      <c r="D24" s="60">
        <v>727.08439912795995</v>
      </c>
      <c r="E24" s="60">
        <v>18.484554551045118</v>
      </c>
      <c r="F24" s="60">
        <v>0</v>
      </c>
      <c r="G24" s="60">
        <v>1661.0992172241224</v>
      </c>
      <c r="H24" s="61">
        <v>30.480956635872612</v>
      </c>
      <c r="I24" s="59">
        <v>186.88507455190046</v>
      </c>
      <c r="J24" s="60">
        <v>556.34474986394196</v>
      </c>
      <c r="K24" s="60">
        <v>30.419256286819767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405.76593407008392</v>
      </c>
      <c r="V24" s="62">
        <v>167.09591190006577</v>
      </c>
      <c r="W24" s="62">
        <v>65.116490931081458</v>
      </c>
      <c r="X24" s="62">
        <v>26.815211722485568</v>
      </c>
      <c r="Y24" s="66">
        <v>269.68038125559121</v>
      </c>
      <c r="Z24" s="66">
        <v>111.05537809804709</v>
      </c>
      <c r="AA24" s="67">
        <v>0</v>
      </c>
      <c r="AB24" s="68">
        <v>124.20736948649352</v>
      </c>
      <c r="AC24" s="69">
        <v>0</v>
      </c>
      <c r="AD24" s="409">
        <v>17.492103967988214</v>
      </c>
      <c r="AE24" s="409">
        <v>6.947008314020076</v>
      </c>
      <c r="AF24" s="69">
        <v>24.008510691589805</v>
      </c>
      <c r="AG24" s="68">
        <v>16.773712098057143</v>
      </c>
      <c r="AH24" s="68">
        <v>6.9074766599059059</v>
      </c>
      <c r="AI24" s="68">
        <v>0.70831377045701749</v>
      </c>
      <c r="AJ24" s="69">
        <v>231.07550811767578</v>
      </c>
      <c r="AK24" s="69">
        <v>1079.6054148356118</v>
      </c>
      <c r="AL24" s="69">
        <v>3041.1381797790527</v>
      </c>
      <c r="AM24" s="69">
        <v>630.98535079956059</v>
      </c>
      <c r="AN24" s="69">
        <v>4981.0896583557133</v>
      </c>
      <c r="AO24" s="69">
        <v>2696.5336500803637</v>
      </c>
      <c r="AP24" s="69">
        <v>629.29645369847617</v>
      </c>
      <c r="AQ24" s="69">
        <v>3112.0765749613447</v>
      </c>
      <c r="AR24" s="69">
        <v>611.19916963577271</v>
      </c>
      <c r="AS24" s="69">
        <v>943.29714870452858</v>
      </c>
    </row>
    <row r="25" spans="1:45" x14ac:dyDescent="0.25">
      <c r="A25" s="11">
        <v>43664</v>
      </c>
      <c r="B25" s="59"/>
      <c r="C25" s="60">
        <v>73.325326295693799</v>
      </c>
      <c r="D25" s="60">
        <v>726.39688288370814</v>
      </c>
      <c r="E25" s="60">
        <v>18.490110388398168</v>
      </c>
      <c r="F25" s="60">
        <v>0</v>
      </c>
      <c r="G25" s="60">
        <v>1504.1358435948671</v>
      </c>
      <c r="H25" s="61">
        <v>30.532643616199589</v>
      </c>
      <c r="I25" s="59">
        <v>187.05137344996137</v>
      </c>
      <c r="J25" s="60">
        <v>556.84283202489235</v>
      </c>
      <c r="K25" s="60">
        <v>30.520824386676157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408.9236677779171</v>
      </c>
      <c r="V25" s="62">
        <v>168.3724280277772</v>
      </c>
      <c r="W25" s="62">
        <v>64.909724959388257</v>
      </c>
      <c r="X25" s="62">
        <v>26.726278900449611</v>
      </c>
      <c r="Y25" s="66">
        <v>269.23492700883281</v>
      </c>
      <c r="Z25" s="66">
        <v>110.8562353866439</v>
      </c>
      <c r="AA25" s="67">
        <v>0</v>
      </c>
      <c r="AB25" s="68">
        <v>124.2038767019924</v>
      </c>
      <c r="AC25" s="69">
        <v>0</v>
      </c>
      <c r="AD25" s="409">
        <v>17.50983503430232</v>
      </c>
      <c r="AE25" s="409">
        <v>6.9400755265862371</v>
      </c>
      <c r="AF25" s="69">
        <v>24.167993386586517</v>
      </c>
      <c r="AG25" s="68">
        <v>16.872714989013538</v>
      </c>
      <c r="AH25" s="68">
        <v>6.9472623229618176</v>
      </c>
      <c r="AI25" s="68">
        <v>0.70834303358176909</v>
      </c>
      <c r="AJ25" s="69">
        <v>240.03374751408893</v>
      </c>
      <c r="AK25" s="69">
        <v>1041.171620432536</v>
      </c>
      <c r="AL25" s="69">
        <v>3050.2607930501299</v>
      </c>
      <c r="AM25" s="69">
        <v>434.75390625</v>
      </c>
      <c r="AN25" s="69">
        <v>3806.1815185546875</v>
      </c>
      <c r="AO25" s="69">
        <v>2622.7349712371824</v>
      </c>
      <c r="AP25" s="69">
        <v>626.15528108278909</v>
      </c>
      <c r="AQ25" s="69">
        <v>3075.1403747558588</v>
      </c>
      <c r="AR25" s="69">
        <v>575.78378969828293</v>
      </c>
      <c r="AS25" s="69">
        <v>943.75537004470823</v>
      </c>
    </row>
    <row r="26" spans="1:45" x14ac:dyDescent="0.25">
      <c r="A26" s="11">
        <v>43665</v>
      </c>
      <c r="B26" s="59"/>
      <c r="C26" s="60">
        <v>73.686244706312948</v>
      </c>
      <c r="D26" s="60">
        <v>750.88606669108083</v>
      </c>
      <c r="E26" s="60">
        <v>18.522112651666038</v>
      </c>
      <c r="F26" s="60">
        <v>0</v>
      </c>
      <c r="G26" s="60">
        <v>1499.424924786884</v>
      </c>
      <c r="H26" s="61">
        <v>30.604984740416295</v>
      </c>
      <c r="I26" s="59">
        <v>186.94710010687513</v>
      </c>
      <c r="J26" s="60">
        <v>556.63693958918248</v>
      </c>
      <c r="K26" s="60">
        <v>30.435636488596604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406.36146103016227</v>
      </c>
      <c r="V26" s="62">
        <v>168.08990867927338</v>
      </c>
      <c r="W26" s="62">
        <v>64.718847376438163</v>
      </c>
      <c r="X26" s="62">
        <v>26.770710779893211</v>
      </c>
      <c r="Y26" s="66">
        <v>277.82355424106788</v>
      </c>
      <c r="Z26" s="66">
        <v>114.92068106789777</v>
      </c>
      <c r="AA26" s="67">
        <v>0</v>
      </c>
      <c r="AB26" s="68">
        <v>124.20307397842615</v>
      </c>
      <c r="AC26" s="69">
        <v>0</v>
      </c>
      <c r="AD26" s="409">
        <v>17.503623896545825</v>
      </c>
      <c r="AE26" s="409">
        <v>6.9396642290229549</v>
      </c>
      <c r="AF26" s="69">
        <v>23.902334511280081</v>
      </c>
      <c r="AG26" s="68">
        <v>16.6571044216799</v>
      </c>
      <c r="AH26" s="68">
        <v>6.8901493611213125</v>
      </c>
      <c r="AI26" s="68">
        <v>0.70739053374649408</v>
      </c>
      <c r="AJ26" s="69">
        <v>239.98812306722004</v>
      </c>
      <c r="AK26" s="69">
        <v>1062.3708641688027</v>
      </c>
      <c r="AL26" s="69">
        <v>3174.1013403574625</v>
      </c>
      <c r="AM26" s="69">
        <v>650.14498100280764</v>
      </c>
      <c r="AN26" s="69">
        <v>3806.1815185546875</v>
      </c>
      <c r="AO26" s="69">
        <v>2602.2122548421221</v>
      </c>
      <c r="AP26" s="69">
        <v>640.1953409512837</v>
      </c>
      <c r="AQ26" s="69">
        <v>3146.0182693481447</v>
      </c>
      <c r="AR26" s="69">
        <v>455.67288223902381</v>
      </c>
      <c r="AS26" s="69">
        <v>924.73630139033003</v>
      </c>
    </row>
    <row r="27" spans="1:45" x14ac:dyDescent="0.25">
      <c r="A27" s="11">
        <v>43666</v>
      </c>
      <c r="B27" s="59"/>
      <c r="C27" s="60">
        <v>73.881299277146468</v>
      </c>
      <c r="D27" s="60">
        <v>801.81881265640402</v>
      </c>
      <c r="E27" s="60">
        <v>18.638710734248157</v>
      </c>
      <c r="F27" s="60">
        <v>0</v>
      </c>
      <c r="G27" s="60">
        <v>1673.0476788838719</v>
      </c>
      <c r="H27" s="61">
        <v>30.764773346980505</v>
      </c>
      <c r="I27" s="59">
        <v>186.90904680093138</v>
      </c>
      <c r="J27" s="60">
        <v>556.51875527699769</v>
      </c>
      <c r="K27" s="60">
        <v>30.478764646251985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404.66824367037651</v>
      </c>
      <c r="V27" s="62">
        <v>161.50681244806225</v>
      </c>
      <c r="W27" s="62">
        <v>64.49341638765722</v>
      </c>
      <c r="X27" s="62">
        <v>25.739914776066836</v>
      </c>
      <c r="Y27" s="62">
        <v>277.23749701134199</v>
      </c>
      <c r="Z27" s="62">
        <v>110.64803115574647</v>
      </c>
      <c r="AA27" s="72">
        <v>0</v>
      </c>
      <c r="AB27" s="69">
        <v>124.8434314833781</v>
      </c>
      <c r="AC27" s="69">
        <v>0</v>
      </c>
      <c r="AD27" s="409">
        <v>17.497179622673809</v>
      </c>
      <c r="AE27" s="409">
        <v>7.0042637663604452</v>
      </c>
      <c r="AF27" s="69">
        <v>23.388955221573475</v>
      </c>
      <c r="AG27" s="69">
        <v>16.450178549186646</v>
      </c>
      <c r="AH27" s="69">
        <v>6.5654173344146569</v>
      </c>
      <c r="AI27" s="69">
        <v>0.71474050171811798</v>
      </c>
      <c r="AJ27" s="69">
        <v>242.81697549819947</v>
      </c>
      <c r="AK27" s="69">
        <v>1070.7933537801107</v>
      </c>
      <c r="AL27" s="69">
        <v>3041.7288557688398</v>
      </c>
      <c r="AM27" s="69">
        <v>538.99273322423301</v>
      </c>
      <c r="AN27" s="69">
        <v>3806.1815185546875</v>
      </c>
      <c r="AO27" s="69">
        <v>2579.3356391906736</v>
      </c>
      <c r="AP27" s="69">
        <v>626.26423203150432</v>
      </c>
      <c r="AQ27" s="69">
        <v>3180.7894502003987</v>
      </c>
      <c r="AR27" s="69">
        <v>458.75654872258502</v>
      </c>
      <c r="AS27" s="69">
        <v>793.84430850346871</v>
      </c>
    </row>
    <row r="28" spans="1:45" x14ac:dyDescent="0.25">
      <c r="A28" s="11">
        <v>43667</v>
      </c>
      <c r="B28" s="59"/>
      <c r="C28" s="60">
        <v>73.79022784233112</v>
      </c>
      <c r="D28" s="60">
        <v>825.84790973663576</v>
      </c>
      <c r="E28" s="60">
        <v>18.484577808777487</v>
      </c>
      <c r="F28" s="60">
        <v>0</v>
      </c>
      <c r="G28" s="60">
        <v>1657.8342402776123</v>
      </c>
      <c r="H28" s="61">
        <v>30.610460023085341</v>
      </c>
      <c r="I28" s="59">
        <v>186.65833565394084</v>
      </c>
      <c r="J28" s="60">
        <v>555.74710343678692</v>
      </c>
      <c r="K28" s="60">
        <v>30.397600447138117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413.04457926224126</v>
      </c>
      <c r="V28" s="62">
        <v>170.12635814875529</v>
      </c>
      <c r="W28" s="62">
        <v>66.72835726557382</v>
      </c>
      <c r="X28" s="62">
        <v>27.484327302195588</v>
      </c>
      <c r="Y28" s="66">
        <v>283.18765990845594</v>
      </c>
      <c r="Z28" s="66">
        <v>116.64040075031697</v>
      </c>
      <c r="AA28" s="67">
        <v>0</v>
      </c>
      <c r="AB28" s="68">
        <v>124.75240314801833</v>
      </c>
      <c r="AC28" s="69">
        <v>0</v>
      </c>
      <c r="AD28" s="409">
        <v>17.473553623855928</v>
      </c>
      <c r="AE28" s="409">
        <v>6.9593326057534766</v>
      </c>
      <c r="AF28" s="69">
        <v>24.232930971516495</v>
      </c>
      <c r="AG28" s="68">
        <v>16.916643390774198</v>
      </c>
      <c r="AH28" s="68">
        <v>6.9676908417829875</v>
      </c>
      <c r="AI28" s="68">
        <v>0.7082736000116262</v>
      </c>
      <c r="AJ28" s="69">
        <v>242.32928056716918</v>
      </c>
      <c r="AK28" s="69">
        <v>1063.104260635376</v>
      </c>
      <c r="AL28" s="69">
        <v>2966.3350334167485</v>
      </c>
      <c r="AM28" s="69">
        <v>521.70158386230469</v>
      </c>
      <c r="AN28" s="69">
        <v>3806.1815185546875</v>
      </c>
      <c r="AO28" s="69">
        <v>2525.7928794860841</v>
      </c>
      <c r="AP28" s="69">
        <v>629.31394929885857</v>
      </c>
      <c r="AQ28" s="69">
        <v>3096.5104217529292</v>
      </c>
      <c r="AR28" s="69">
        <v>414.07428700129191</v>
      </c>
      <c r="AS28" s="69">
        <v>747.74441121419261</v>
      </c>
    </row>
    <row r="29" spans="1:45" x14ac:dyDescent="0.25">
      <c r="A29" s="11">
        <v>43668</v>
      </c>
      <c r="B29" s="59"/>
      <c r="C29" s="60">
        <v>73.226838159561069</v>
      </c>
      <c r="D29" s="60">
        <v>834.77290166219063</v>
      </c>
      <c r="E29" s="60">
        <v>18.498316469788559</v>
      </c>
      <c r="F29" s="60">
        <v>0</v>
      </c>
      <c r="G29" s="60">
        <v>1664.8515396118196</v>
      </c>
      <c r="H29" s="61">
        <v>30.291810697317175</v>
      </c>
      <c r="I29" s="59">
        <v>186.78747952779136</v>
      </c>
      <c r="J29" s="60">
        <v>556.18221883773845</v>
      </c>
      <c r="K29" s="60">
        <v>30.426106956601149</v>
      </c>
      <c r="L29" s="60">
        <v>9.4413757324218753E-6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412.91538756640841</v>
      </c>
      <c r="V29" s="62">
        <v>169.99761995786969</v>
      </c>
      <c r="W29" s="62">
        <v>67.242053127811246</v>
      </c>
      <c r="X29" s="62">
        <v>27.683611066613771</v>
      </c>
      <c r="Y29" s="66">
        <v>283.11854496358035</v>
      </c>
      <c r="Z29" s="66">
        <v>116.56014829915534</v>
      </c>
      <c r="AA29" s="67">
        <v>0</v>
      </c>
      <c r="AB29" s="68">
        <v>124.21179118686463</v>
      </c>
      <c r="AC29" s="69">
        <v>0</v>
      </c>
      <c r="AD29" s="409">
        <v>17.488101107258387</v>
      </c>
      <c r="AE29" s="409">
        <v>6.9352123799739696</v>
      </c>
      <c r="AF29" s="69">
        <v>24.23053569926158</v>
      </c>
      <c r="AG29" s="68">
        <v>16.916285774717451</v>
      </c>
      <c r="AH29" s="68">
        <v>6.9644493928350784</v>
      </c>
      <c r="AI29" s="68">
        <v>0.7083653688225694</v>
      </c>
      <c r="AJ29" s="69">
        <v>242.92217033704122</v>
      </c>
      <c r="AK29" s="69">
        <v>1057.4701447168986</v>
      </c>
      <c r="AL29" s="69">
        <v>2928.1153158823649</v>
      </c>
      <c r="AM29" s="69">
        <v>521.70158386230469</v>
      </c>
      <c r="AN29" s="69">
        <v>3806.1815185546875</v>
      </c>
      <c r="AO29" s="69">
        <v>2560.6296096801752</v>
      </c>
      <c r="AP29" s="69">
        <v>625.11561508178704</v>
      </c>
      <c r="AQ29" s="69">
        <v>3020.947194163005</v>
      </c>
      <c r="AR29" s="69">
        <v>417.89953851699829</v>
      </c>
      <c r="AS29" s="69">
        <v>812.24999856948841</v>
      </c>
    </row>
    <row r="30" spans="1:45" x14ac:dyDescent="0.25">
      <c r="A30" s="11">
        <v>43669</v>
      </c>
      <c r="B30" s="59"/>
      <c r="C30" s="60">
        <v>73.409335327148185</v>
      </c>
      <c r="D30" s="60">
        <v>855.49940376281734</v>
      </c>
      <c r="E30" s="60">
        <v>18.406199554602296</v>
      </c>
      <c r="F30" s="60">
        <v>0</v>
      </c>
      <c r="G30" s="60">
        <v>1690.0614844640068</v>
      </c>
      <c r="H30" s="61">
        <v>30.609514546394394</v>
      </c>
      <c r="I30" s="59">
        <v>186.88040959040336</v>
      </c>
      <c r="J30" s="60">
        <v>556.33965584437078</v>
      </c>
      <c r="K30" s="60">
        <v>30.387305707732828</v>
      </c>
      <c r="L30" s="60">
        <v>4.7206878662109375E-5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412.3083474511123</v>
      </c>
      <c r="V30" s="62">
        <v>169.74510035704583</v>
      </c>
      <c r="W30" s="62">
        <v>66.463199306162736</v>
      </c>
      <c r="X30" s="62">
        <v>27.362537057566183</v>
      </c>
      <c r="Y30" s="66">
        <v>283.74744147033118</v>
      </c>
      <c r="Z30" s="66">
        <v>116.8172757747702</v>
      </c>
      <c r="AA30" s="67">
        <v>0</v>
      </c>
      <c r="AB30" s="68">
        <v>124.21447321044216</v>
      </c>
      <c r="AC30" s="69">
        <v>0</v>
      </c>
      <c r="AD30" s="409">
        <v>17.491323051473927</v>
      </c>
      <c r="AE30" s="409">
        <v>6.9425714017994578</v>
      </c>
      <c r="AF30" s="69">
        <v>24.150842172569707</v>
      </c>
      <c r="AG30" s="68">
        <v>16.861347529454111</v>
      </c>
      <c r="AH30" s="68">
        <v>6.9417249159176446</v>
      </c>
      <c r="AI30" s="68">
        <v>0.70836853385843535</v>
      </c>
      <c r="AJ30" s="69">
        <v>243.60331252415975</v>
      </c>
      <c r="AK30" s="69">
        <v>1043.2407552719117</v>
      </c>
      <c r="AL30" s="69">
        <v>3044.0845586140949</v>
      </c>
      <c r="AM30" s="69">
        <v>521.70158386230469</v>
      </c>
      <c r="AN30" s="69">
        <v>3806.1815185546875</v>
      </c>
      <c r="AO30" s="69">
        <v>2557.5399031321203</v>
      </c>
      <c r="AP30" s="69">
        <v>629.5528235753377</v>
      </c>
      <c r="AQ30" s="69">
        <v>3082.7302316029868</v>
      </c>
      <c r="AR30" s="69">
        <v>423.52832050323485</v>
      </c>
      <c r="AS30" s="69">
        <v>812.80097923278811</v>
      </c>
    </row>
    <row r="31" spans="1:45" x14ac:dyDescent="0.25">
      <c r="A31" s="11">
        <v>43670</v>
      </c>
      <c r="B31" s="59"/>
      <c r="C31" s="60">
        <v>73.547092314561382</v>
      </c>
      <c r="D31" s="60">
        <v>859.09414513905995</v>
      </c>
      <c r="E31" s="60">
        <v>18.724569260080667</v>
      </c>
      <c r="F31" s="60">
        <v>0</v>
      </c>
      <c r="G31" s="60">
        <v>1795.3220354716004</v>
      </c>
      <c r="H31" s="61">
        <v>30.598171530167303</v>
      </c>
      <c r="I31" s="59">
        <v>185.47999006907139</v>
      </c>
      <c r="J31" s="60">
        <v>552.33205502827934</v>
      </c>
      <c r="K31" s="60">
        <v>30.285666384299603</v>
      </c>
      <c r="L31" s="60">
        <v>4.7206878662109375E-5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408.42439824038274</v>
      </c>
      <c r="V31" s="62">
        <v>168.99065213905325</v>
      </c>
      <c r="W31" s="62">
        <v>66.272768743680672</v>
      </c>
      <c r="X31" s="62">
        <v>27.42117869869195</v>
      </c>
      <c r="Y31" s="66">
        <v>284.30816599146522</v>
      </c>
      <c r="Z31" s="66">
        <v>117.63602416102046</v>
      </c>
      <c r="AA31" s="67">
        <v>0</v>
      </c>
      <c r="AB31" s="68">
        <v>124.2121623357164</v>
      </c>
      <c r="AC31" s="69">
        <v>0</v>
      </c>
      <c r="AD31" s="409">
        <v>17.366764085251368</v>
      </c>
      <c r="AE31" s="409">
        <v>6.9488059855551949</v>
      </c>
      <c r="AF31" s="69">
        <v>23.868451545635871</v>
      </c>
      <c r="AG31" s="68">
        <v>16.716104591226305</v>
      </c>
      <c r="AH31" s="68">
        <v>6.9164952639125863</v>
      </c>
      <c r="AI31" s="68">
        <v>0.70733244305287046</v>
      </c>
      <c r="AJ31" s="69">
        <v>243.22174072265625</v>
      </c>
      <c r="AK31" s="69">
        <v>1043.1400365193686</v>
      </c>
      <c r="AL31" s="69">
        <v>2984.8936298370368</v>
      </c>
      <c r="AM31" s="69">
        <v>521.70158386230469</v>
      </c>
      <c r="AN31" s="69">
        <v>3806.1815185546875</v>
      </c>
      <c r="AO31" s="69">
        <v>2562.53597984314</v>
      </c>
      <c r="AP31" s="69">
        <v>610.86727684338894</v>
      </c>
      <c r="AQ31" s="69">
        <v>3087.2802406311034</v>
      </c>
      <c r="AR31" s="69">
        <v>434.13209867477417</v>
      </c>
      <c r="AS31" s="69">
        <v>881.18294089635208</v>
      </c>
    </row>
    <row r="32" spans="1:45" x14ac:dyDescent="0.25">
      <c r="A32" s="11">
        <v>43671</v>
      </c>
      <c r="B32" s="59"/>
      <c r="C32" s="60">
        <v>74.091969549655786</v>
      </c>
      <c r="D32" s="60">
        <v>859.54734713236633</v>
      </c>
      <c r="E32" s="60">
        <v>18.499891420205458</v>
      </c>
      <c r="F32" s="60">
        <v>0</v>
      </c>
      <c r="G32" s="60">
        <v>1732.9639302571602</v>
      </c>
      <c r="H32" s="61">
        <v>30.631790828704847</v>
      </c>
      <c r="I32" s="59">
        <v>185.41389922300993</v>
      </c>
      <c r="J32" s="60">
        <v>552.1669525782263</v>
      </c>
      <c r="K32" s="60">
        <v>30.269189902146639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413.50049810221424</v>
      </c>
      <c r="V32" s="62">
        <v>170.21062998429511</v>
      </c>
      <c r="W32" s="62">
        <v>67.013576949360598</v>
      </c>
      <c r="X32" s="62">
        <v>27.58502880263066</v>
      </c>
      <c r="Y32" s="66">
        <v>287.81729145561974</v>
      </c>
      <c r="Z32" s="66">
        <v>118.47522003933513</v>
      </c>
      <c r="AA32" s="67">
        <v>0</v>
      </c>
      <c r="AB32" s="68">
        <v>124.21003743807724</v>
      </c>
      <c r="AC32" s="69">
        <v>0</v>
      </c>
      <c r="AD32" s="409">
        <v>17.360177162482785</v>
      </c>
      <c r="AE32" s="409">
        <v>7.0798910046858339</v>
      </c>
      <c r="AF32" s="69">
        <v>24.119439397917827</v>
      </c>
      <c r="AG32" s="68">
        <v>16.916963916293838</v>
      </c>
      <c r="AH32" s="68">
        <v>6.9635879492996011</v>
      </c>
      <c r="AI32" s="68">
        <v>0.70839920331436801</v>
      </c>
      <c r="AJ32" s="69">
        <v>237.05031067530314</v>
      </c>
      <c r="AK32" s="69">
        <v>1046.2951658884683</v>
      </c>
      <c r="AL32" s="69">
        <v>3061.7179068247483</v>
      </c>
      <c r="AM32" s="69">
        <v>521.70158386230469</v>
      </c>
      <c r="AN32" s="69">
        <v>3806.1815185546875</v>
      </c>
      <c r="AO32" s="69">
        <v>2543.156754811605</v>
      </c>
      <c r="AP32" s="69">
        <v>630.42143592834464</v>
      </c>
      <c r="AQ32" s="69">
        <v>3248.1295472462971</v>
      </c>
      <c r="AR32" s="69">
        <v>427.05185721715293</v>
      </c>
      <c r="AS32" s="69">
        <v>896.26681108474713</v>
      </c>
    </row>
    <row r="33" spans="1:45" x14ac:dyDescent="0.25">
      <c r="A33" s="11">
        <v>43672</v>
      </c>
      <c r="B33" s="59"/>
      <c r="C33" s="60">
        <v>73.656425631046247</v>
      </c>
      <c r="D33" s="60">
        <v>859.49805520375571</v>
      </c>
      <c r="E33" s="60">
        <v>18.30742807288965</v>
      </c>
      <c r="F33" s="60">
        <v>0</v>
      </c>
      <c r="G33" s="60">
        <v>1745.7137040456125</v>
      </c>
      <c r="H33" s="61">
        <v>30.615293345848823</v>
      </c>
      <c r="I33" s="59">
        <v>185.44754457473749</v>
      </c>
      <c r="J33" s="60">
        <v>552.11785561243641</v>
      </c>
      <c r="K33" s="60">
        <v>30.194828131794921</v>
      </c>
      <c r="L33" s="60">
        <v>9.4413757324218753E-6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412.93227111843385</v>
      </c>
      <c r="V33" s="62">
        <v>170.03219438313363</v>
      </c>
      <c r="W33" s="62">
        <v>67.241367165962714</v>
      </c>
      <c r="X33" s="62">
        <v>27.687826823473085</v>
      </c>
      <c r="Y33" s="66">
        <v>282.78355162752297</v>
      </c>
      <c r="Z33" s="66">
        <v>116.44114829885338</v>
      </c>
      <c r="AA33" s="67">
        <v>0</v>
      </c>
      <c r="AB33" s="68">
        <v>124.2142357084506</v>
      </c>
      <c r="AC33" s="69">
        <v>0</v>
      </c>
      <c r="AD33" s="409">
        <v>17.358240541820184</v>
      </c>
      <c r="AE33" s="409">
        <v>6.9803496201689317</v>
      </c>
      <c r="AF33" s="69">
        <v>24.107644226815999</v>
      </c>
      <c r="AG33" s="68">
        <v>16.905634879477972</v>
      </c>
      <c r="AH33" s="68">
        <v>6.9611953268075784</v>
      </c>
      <c r="AI33" s="68">
        <v>0.70833180331696144</v>
      </c>
      <c r="AJ33" s="69">
        <v>237.05063575108846</v>
      </c>
      <c r="AK33" s="69">
        <v>1043.5407016118365</v>
      </c>
      <c r="AL33" s="69">
        <v>3073.7974594116208</v>
      </c>
      <c r="AM33" s="69">
        <v>521.70158386230469</v>
      </c>
      <c r="AN33" s="69">
        <v>3806.1815185546875</v>
      </c>
      <c r="AO33" s="69">
        <v>2551.061801528931</v>
      </c>
      <c r="AP33" s="69">
        <v>632.3095003922781</v>
      </c>
      <c r="AQ33" s="69">
        <v>3184.413977813721</v>
      </c>
      <c r="AR33" s="69">
        <v>433.23091014226276</v>
      </c>
      <c r="AS33" s="69">
        <v>891.0081560134887</v>
      </c>
    </row>
    <row r="34" spans="1:45" x14ac:dyDescent="0.25">
      <c r="A34" s="11">
        <v>43673</v>
      </c>
      <c r="B34" s="59"/>
      <c r="C34" s="60">
        <v>73.843412037690328</v>
      </c>
      <c r="D34" s="60">
        <v>859.8767997741694</v>
      </c>
      <c r="E34" s="60">
        <v>18.322928876678162</v>
      </c>
      <c r="F34" s="60">
        <v>0</v>
      </c>
      <c r="G34" s="60">
        <v>1768.3437782287567</v>
      </c>
      <c r="H34" s="61">
        <v>30.55450918277112</v>
      </c>
      <c r="I34" s="59">
        <v>185.3429703394572</v>
      </c>
      <c r="J34" s="60">
        <v>552.0646051724741</v>
      </c>
      <c r="K34" s="60">
        <v>30.26074832181137</v>
      </c>
      <c r="L34" s="60">
        <v>1.8882751464843751E-5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421.74433354986559</v>
      </c>
      <c r="V34" s="62">
        <v>174.44119259860793</v>
      </c>
      <c r="W34" s="62">
        <v>65.123485030937559</v>
      </c>
      <c r="X34" s="62">
        <v>26.93626799761412</v>
      </c>
      <c r="Y34" s="66">
        <v>283.52978022091844</v>
      </c>
      <c r="Z34" s="66">
        <v>117.27311801122354</v>
      </c>
      <c r="AA34" s="67">
        <v>0</v>
      </c>
      <c r="AB34" s="68">
        <v>124.21158308983108</v>
      </c>
      <c r="AC34" s="69">
        <v>0</v>
      </c>
      <c r="AD34" s="409">
        <v>17.357234024493842</v>
      </c>
      <c r="AE34" s="409">
        <v>6.9552832282009041</v>
      </c>
      <c r="AF34" s="69">
        <v>23.587846275832963</v>
      </c>
      <c r="AG34" s="68">
        <v>16.527583888057347</v>
      </c>
      <c r="AH34" s="68">
        <v>6.836111868863731</v>
      </c>
      <c r="AI34" s="68">
        <v>0.70740451596410403</v>
      </c>
      <c r="AJ34" s="69">
        <v>234.66593262354533</v>
      </c>
      <c r="AK34" s="69">
        <v>1047.5476278940837</v>
      </c>
      <c r="AL34" s="69">
        <v>3089.4418172200521</v>
      </c>
      <c r="AM34" s="69">
        <v>521.70158386230469</v>
      </c>
      <c r="AN34" s="69">
        <v>3806.1815185546875</v>
      </c>
      <c r="AO34" s="69">
        <v>2553.2629114786787</v>
      </c>
      <c r="AP34" s="69">
        <v>628.07897326151522</v>
      </c>
      <c r="AQ34" s="69">
        <v>3189.6475643157955</v>
      </c>
      <c r="AR34" s="69">
        <v>423.76894505818694</v>
      </c>
      <c r="AS34" s="69">
        <v>836.34179471333823</v>
      </c>
    </row>
    <row r="35" spans="1:45" x14ac:dyDescent="0.25">
      <c r="A35" s="11">
        <v>43674</v>
      </c>
      <c r="B35" s="59"/>
      <c r="C35" s="60">
        <v>74.088154006004359</v>
      </c>
      <c r="D35" s="60">
        <v>871.12468674977868</v>
      </c>
      <c r="E35" s="60">
        <v>18.490247669815993</v>
      </c>
      <c r="F35" s="60">
        <v>0</v>
      </c>
      <c r="G35" s="60">
        <v>1785.3441234588586</v>
      </c>
      <c r="H35" s="61">
        <v>30.630738641818439</v>
      </c>
      <c r="I35" s="59">
        <v>186.39448395570099</v>
      </c>
      <c r="J35" s="60">
        <v>554.91625219980801</v>
      </c>
      <c r="K35" s="60">
        <v>30.311117578546213</v>
      </c>
      <c r="L35" s="60">
        <v>4.7206878662109375E-5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474.55574373000542</v>
      </c>
      <c r="V35" s="62">
        <v>188.71119378016334</v>
      </c>
      <c r="W35" s="62">
        <v>65.490007072194786</v>
      </c>
      <c r="X35" s="62">
        <v>26.042667439078762</v>
      </c>
      <c r="Y35" s="66">
        <v>302.66597287820696</v>
      </c>
      <c r="Z35" s="66">
        <v>120.35774050387833</v>
      </c>
      <c r="AA35" s="67">
        <v>0</v>
      </c>
      <c r="AB35" s="68">
        <v>124.33864763577741</v>
      </c>
      <c r="AC35" s="69">
        <v>0</v>
      </c>
      <c r="AD35" s="409">
        <v>17.447874207503528</v>
      </c>
      <c r="AE35" s="409">
        <v>6.9482579177314019</v>
      </c>
      <c r="AF35" s="69">
        <v>23.345551282829692</v>
      </c>
      <c r="AG35" s="68">
        <v>16.517623923560983</v>
      </c>
      <c r="AH35" s="68">
        <v>6.5683759394141985</v>
      </c>
      <c r="AI35" s="68">
        <v>0.71548228457072738</v>
      </c>
      <c r="AJ35" s="69">
        <v>235.47037315368652</v>
      </c>
      <c r="AK35" s="69">
        <v>1043.330101776123</v>
      </c>
      <c r="AL35" s="69">
        <v>3064.6733784993494</v>
      </c>
      <c r="AM35" s="69">
        <v>521.70158386230469</v>
      </c>
      <c r="AN35" s="69">
        <v>3806.1815185546875</v>
      </c>
      <c r="AO35" s="69">
        <v>2423.469408798217</v>
      </c>
      <c r="AP35" s="69">
        <v>626.88719938596091</v>
      </c>
      <c r="AQ35" s="69">
        <v>3194.1103068033849</v>
      </c>
      <c r="AR35" s="69">
        <v>432.64909938176476</v>
      </c>
      <c r="AS35" s="69">
        <v>777.9991366704304</v>
      </c>
    </row>
    <row r="36" spans="1:45" x14ac:dyDescent="0.25">
      <c r="A36" s="11">
        <v>43675</v>
      </c>
      <c r="B36" s="59"/>
      <c r="C36" s="60">
        <v>73.997225173314163</v>
      </c>
      <c r="D36" s="60">
        <v>873.58230959574246</v>
      </c>
      <c r="E36" s="60">
        <v>18.603745939334228</v>
      </c>
      <c r="F36" s="60">
        <v>0</v>
      </c>
      <c r="G36" s="60">
        <v>1865.9783802032443</v>
      </c>
      <c r="H36" s="61">
        <v>30.483292671044733</v>
      </c>
      <c r="I36" s="59">
        <v>200.87893800735463</v>
      </c>
      <c r="J36" s="60">
        <v>598.28182144165078</v>
      </c>
      <c r="K36" s="60">
        <v>32.755485155681775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521.16936833485317</v>
      </c>
      <c r="V36" s="62">
        <v>197.74435597104207</v>
      </c>
      <c r="W36" s="62">
        <v>72.745271670306209</v>
      </c>
      <c r="X36" s="62">
        <v>27.601328417177427</v>
      </c>
      <c r="Y36" s="66">
        <v>336.3089274850924</v>
      </c>
      <c r="Z36" s="66">
        <v>127.60380082453914</v>
      </c>
      <c r="AA36" s="67">
        <v>0</v>
      </c>
      <c r="AB36" s="68">
        <v>130.67744808726982</v>
      </c>
      <c r="AC36" s="69">
        <v>0</v>
      </c>
      <c r="AD36" s="409">
        <v>18.813650845357088</v>
      </c>
      <c r="AE36" s="409">
        <v>6.9552590573475825</v>
      </c>
      <c r="AF36" s="69">
        <v>25.521633826361789</v>
      </c>
      <c r="AG36" s="68">
        <v>18.313674220834471</v>
      </c>
      <c r="AH36" s="68">
        <v>6.94865418862378</v>
      </c>
      <c r="AI36" s="68">
        <v>0.72494007377316039</v>
      </c>
      <c r="AJ36" s="69">
        <v>239.26830946604412</v>
      </c>
      <c r="AK36" s="69">
        <v>1046.06969165802</v>
      </c>
      <c r="AL36" s="69">
        <v>3034.2361686706549</v>
      </c>
      <c r="AM36" s="69">
        <v>521.70158386230469</v>
      </c>
      <c r="AN36" s="69">
        <v>3806.1815185546875</v>
      </c>
      <c r="AO36" s="69">
        <v>2371.4591710408531</v>
      </c>
      <c r="AP36" s="69">
        <v>630.47081098556521</v>
      </c>
      <c r="AQ36" s="69">
        <v>3365.8471539815273</v>
      </c>
      <c r="AR36" s="69">
        <v>456.11056952476497</v>
      </c>
      <c r="AS36" s="69">
        <v>872.06866820653306</v>
      </c>
    </row>
    <row r="37" spans="1:45" s="371" customFormat="1" ht="15" customHeight="1" x14ac:dyDescent="0.25">
      <c r="A37" s="11">
        <v>43676</v>
      </c>
      <c r="B37" s="365"/>
      <c r="C37" s="366">
        <v>77.31941764354724</v>
      </c>
      <c r="D37" s="366">
        <v>917.73758068084703</v>
      </c>
      <c r="E37" s="366">
        <v>19.555086300770405</v>
      </c>
      <c r="F37" s="366">
        <v>0</v>
      </c>
      <c r="G37" s="366">
        <v>2024.4884975433311</v>
      </c>
      <c r="H37" s="367">
        <v>32.112871700525325</v>
      </c>
      <c r="I37" s="365">
        <v>239.16946851412422</v>
      </c>
      <c r="J37" s="366">
        <v>712.18797432581505</v>
      </c>
      <c r="K37" s="366">
        <v>39.050173944234871</v>
      </c>
      <c r="L37" s="368">
        <v>0</v>
      </c>
      <c r="M37" s="366">
        <v>0</v>
      </c>
      <c r="N37" s="367">
        <v>0</v>
      </c>
      <c r="O37" s="365">
        <v>0</v>
      </c>
      <c r="P37" s="366">
        <v>0</v>
      </c>
      <c r="Q37" s="366">
        <v>0</v>
      </c>
      <c r="R37" s="366">
        <v>0</v>
      </c>
      <c r="S37" s="366">
        <v>0</v>
      </c>
      <c r="T37" s="367">
        <v>0</v>
      </c>
      <c r="U37" s="365">
        <v>625.21579528132497</v>
      </c>
      <c r="V37" s="366">
        <v>208.96898420373824</v>
      </c>
      <c r="W37" s="366">
        <v>85.928036865741333</v>
      </c>
      <c r="X37" s="366">
        <v>28.720155047227561</v>
      </c>
      <c r="Y37" s="366">
        <v>413.09392299610016</v>
      </c>
      <c r="Z37" s="366">
        <v>138.07043603303345</v>
      </c>
      <c r="AA37" s="367">
        <v>0</v>
      </c>
      <c r="AB37" s="369">
        <v>150.91029185189285</v>
      </c>
      <c r="AC37" s="370">
        <v>0</v>
      </c>
      <c r="AD37" s="409">
        <v>22.3926996494741</v>
      </c>
      <c r="AE37" s="409">
        <v>7.3071196204480406</v>
      </c>
      <c r="AF37" s="370">
        <v>29.508280340830499</v>
      </c>
      <c r="AG37" s="370">
        <v>21.907867371687491</v>
      </c>
      <c r="AH37" s="370">
        <v>7.3223754506582619</v>
      </c>
      <c r="AI37" s="370">
        <v>0.74949317064651622</v>
      </c>
      <c r="AJ37" s="370">
        <v>239.17733200391132</v>
      </c>
      <c r="AK37" s="370">
        <v>1044.1542434056601</v>
      </c>
      <c r="AL37" s="370">
        <v>3091.159825261434</v>
      </c>
      <c r="AM37" s="370">
        <v>521.70158386230469</v>
      </c>
      <c r="AN37" s="370">
        <v>3806.1815185546875</v>
      </c>
      <c r="AO37" s="370">
        <v>2411.000779724121</v>
      </c>
      <c r="AP37" s="370">
        <v>632.96488416989655</v>
      </c>
      <c r="AQ37" s="370">
        <v>3838.4741327921547</v>
      </c>
      <c r="AR37" s="370">
        <v>575.16296596527116</v>
      </c>
      <c r="AS37" s="370">
        <v>923.3711689631142</v>
      </c>
    </row>
    <row r="38" spans="1:45" s="371" customFormat="1" ht="15" customHeight="1" thickBot="1" x14ac:dyDescent="0.3">
      <c r="A38" s="11">
        <v>43677</v>
      </c>
      <c r="B38" s="365"/>
      <c r="C38" s="366">
        <v>88.464844648043439</v>
      </c>
      <c r="D38" s="366">
        <v>1054.1608209609992</v>
      </c>
      <c r="E38" s="366">
        <v>22.109306376179113</v>
      </c>
      <c r="F38" s="366">
        <v>0</v>
      </c>
      <c r="G38" s="366">
        <v>2042.500769805908</v>
      </c>
      <c r="H38" s="367">
        <v>36.695124632120141</v>
      </c>
      <c r="I38" s="365">
        <v>245.43363547325103</v>
      </c>
      <c r="J38" s="366">
        <v>730.62900870641045</v>
      </c>
      <c r="K38" s="366">
        <v>40.085168304046007</v>
      </c>
      <c r="L38" s="368">
        <v>0</v>
      </c>
      <c r="M38" s="366">
        <v>0</v>
      </c>
      <c r="N38" s="367">
        <v>0</v>
      </c>
      <c r="O38" s="365">
        <v>0</v>
      </c>
      <c r="P38" s="366">
        <v>0</v>
      </c>
      <c r="Q38" s="366">
        <v>0</v>
      </c>
      <c r="R38" s="366">
        <v>0</v>
      </c>
      <c r="S38" s="366">
        <v>0</v>
      </c>
      <c r="T38" s="372">
        <v>0</v>
      </c>
      <c r="U38" s="365">
        <v>636.39244215844406</v>
      </c>
      <c r="V38" s="366">
        <v>228.01898285986812</v>
      </c>
      <c r="W38" s="366">
        <v>89.294170122281244</v>
      </c>
      <c r="X38" s="366">
        <v>31.994040937289025</v>
      </c>
      <c r="Y38" s="366">
        <v>432.7513647734429</v>
      </c>
      <c r="Z38" s="366">
        <v>155.05452216274554</v>
      </c>
      <c r="AA38" s="367">
        <v>0</v>
      </c>
      <c r="AB38" s="369">
        <v>159.20076340569511</v>
      </c>
      <c r="AC38" s="370">
        <v>0</v>
      </c>
      <c r="AD38" s="409">
        <v>22.975361496951798</v>
      </c>
      <c r="AE38" s="409">
        <v>8.3561318891104843</v>
      </c>
      <c r="AF38" s="370">
        <v>30.741520874367815</v>
      </c>
      <c r="AG38" s="370">
        <v>22.444252989060502</v>
      </c>
      <c r="AH38" s="370">
        <v>8.0417607101954918</v>
      </c>
      <c r="AI38" s="370">
        <v>0.736214751146958</v>
      </c>
      <c r="AJ38" s="370">
        <v>239.74092864990234</v>
      </c>
      <c r="AK38" s="370">
        <v>1042.6975861867268</v>
      </c>
      <c r="AL38" s="370">
        <v>3054.8271171569827</v>
      </c>
      <c r="AM38" s="370">
        <v>521.70158386230469</v>
      </c>
      <c r="AN38" s="370">
        <v>3806.1815185546875</v>
      </c>
      <c r="AO38" s="370">
        <v>2438.8606325785317</v>
      </c>
      <c r="AP38" s="370">
        <v>640.79422817230216</v>
      </c>
      <c r="AQ38" s="370">
        <v>3965.1473837534586</v>
      </c>
      <c r="AR38" s="370">
        <v>546.81378401120503</v>
      </c>
      <c r="AS38" s="370">
        <v>922.95411176681534</v>
      </c>
    </row>
    <row r="39" spans="1:45" ht="15.75" thickTop="1" x14ac:dyDescent="0.25">
      <c r="A39" s="46" t="s">
        <v>171</v>
      </c>
      <c r="B39" s="29">
        <f t="shared" ref="B39:AC39" si="0">SUM(B8:B37)</f>
        <v>0</v>
      </c>
      <c r="C39" s="30">
        <f t="shared" si="0"/>
        <v>2058.2539510885895</v>
      </c>
      <c r="D39" s="30">
        <f t="shared" si="0"/>
        <v>21634.214530372636</v>
      </c>
      <c r="E39" s="30">
        <f t="shared" si="0"/>
        <v>518.02460848291696</v>
      </c>
      <c r="F39" s="30">
        <f t="shared" si="0"/>
        <v>0</v>
      </c>
      <c r="G39" s="30">
        <f t="shared" si="0"/>
        <v>47610.843306096438</v>
      </c>
      <c r="H39" s="31">
        <f t="shared" si="0"/>
        <v>853.50246847470748</v>
      </c>
      <c r="I39" s="29">
        <f t="shared" si="0"/>
        <v>5239.9612235148743</v>
      </c>
      <c r="J39" s="30">
        <f t="shared" si="0"/>
        <v>15220.38111089071</v>
      </c>
      <c r="K39" s="30">
        <f t="shared" si="0"/>
        <v>832.98859552840383</v>
      </c>
      <c r="L39" s="30">
        <f t="shared" si="0"/>
        <v>6.9866180419921877E-4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12184.291957861871</v>
      </c>
      <c r="V39" s="262">
        <f t="shared" si="0"/>
        <v>5115.2721286919077</v>
      </c>
      <c r="W39" s="262">
        <f t="shared" si="0"/>
        <v>1828.4025186683411</v>
      </c>
      <c r="X39" s="262">
        <f t="shared" si="0"/>
        <v>763.39914981666448</v>
      </c>
      <c r="Y39" s="262">
        <f t="shared" si="0"/>
        <v>7720.2098239925263</v>
      </c>
      <c r="Z39" s="262">
        <f t="shared" si="0"/>
        <v>3214.1742167605198</v>
      </c>
      <c r="AA39" s="270">
        <f t="shared" si="0"/>
        <v>0</v>
      </c>
      <c r="AB39" s="273">
        <f t="shared" si="0"/>
        <v>3425.0470445633396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SUM(AJ8:AJ37)</f>
        <v>7258.210231526692</v>
      </c>
      <c r="AK39" s="273">
        <f t="shared" si="1"/>
        <v>32035.422273127238</v>
      </c>
      <c r="AL39" s="273">
        <f t="shared" si="1"/>
        <v>91065.525332005825</v>
      </c>
      <c r="AM39" s="273">
        <f t="shared" si="1"/>
        <v>16030.250261433921</v>
      </c>
      <c r="AN39" s="273">
        <f t="shared" si="1"/>
        <v>134505.35760269166</v>
      </c>
      <c r="AO39" s="273">
        <f t="shared" si="1"/>
        <v>78239.696574656191</v>
      </c>
      <c r="AP39" s="273">
        <f t="shared" si="1"/>
        <v>18528.045811923348</v>
      </c>
      <c r="AQ39" s="273">
        <f t="shared" si="1"/>
        <v>89399.516667302436</v>
      </c>
      <c r="AR39" s="273">
        <f t="shared" si="1"/>
        <v>16023.26172086398</v>
      </c>
      <c r="AS39" s="273">
        <f t="shared" si="1"/>
        <v>25385.10959847768</v>
      </c>
    </row>
    <row r="40" spans="1:45" ht="15.75" thickBot="1" x14ac:dyDescent="0.3">
      <c r="A40" s="47" t="s">
        <v>172</v>
      </c>
      <c r="B40" s="32">
        <f>Projection!$AC$30</f>
        <v>0.82128400199999985</v>
      </c>
      <c r="C40" s="33">
        <f>Projection!$AC$28</f>
        <v>1.4863548</v>
      </c>
      <c r="D40" s="33">
        <f>Projection!$AC$31</f>
        <v>3.0824639999999999</v>
      </c>
      <c r="E40" s="33">
        <f>Projection!$AC$26</f>
        <v>4.3368000000000002</v>
      </c>
      <c r="F40" s="33">
        <f>Projection!$AC$23</f>
        <v>0</v>
      </c>
      <c r="G40" s="33">
        <f>Projection!$AC$24</f>
        <v>5.9975000000000001E-2</v>
      </c>
      <c r="H40" s="34">
        <f>Projection!$AC$29</f>
        <v>3.7390305000000001</v>
      </c>
      <c r="I40" s="32">
        <f>Projection!$AC$30</f>
        <v>0.82128400199999985</v>
      </c>
      <c r="J40" s="33">
        <f>Projection!$AC$28</f>
        <v>1.4863548</v>
      </c>
      <c r="K40" s="33">
        <f>Projection!$AC$26</f>
        <v>4.3368000000000002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Projection!$AC$28</f>
        <v>1.4863548</v>
      </c>
      <c r="T40" s="38">
        <f>Projection!$AC$28</f>
        <v>1.4863548</v>
      </c>
      <c r="U40" s="26">
        <f>Projection!$AC$27</f>
        <v>0.29960000000000003</v>
      </c>
      <c r="V40" s="27">
        <f>Projection!$AC$27</f>
        <v>0.29960000000000003</v>
      </c>
      <c r="W40" s="27">
        <f>Projection!$AC$22</f>
        <v>0.74349432000000004</v>
      </c>
      <c r="X40" s="27">
        <f>Projection!$AC$22</f>
        <v>0.74349432000000004</v>
      </c>
      <c r="Y40" s="27">
        <f>Projection!$AC$31</f>
        <v>3.0824639999999999</v>
      </c>
      <c r="Z40" s="27">
        <f>Projection!$AC$31</f>
        <v>3.0824639999999999</v>
      </c>
      <c r="AA40" s="28">
        <v>0</v>
      </c>
      <c r="AB40" s="41">
        <f>Projection!$AC$27</f>
        <v>0.29960000000000003</v>
      </c>
      <c r="AC40" s="41">
        <f>Projection!$AC$30</f>
        <v>0.82128400199999985</v>
      </c>
      <c r="AD40" s="400">
        <f>SUM(AD8:AD38)</f>
        <v>501.52205304579314</v>
      </c>
      <c r="AE40" s="400">
        <f>SUM(AE8:AE38)</f>
        <v>203.03528249258585</v>
      </c>
      <c r="AF40" s="277">
        <f>SUM(AF8:AF37)</f>
        <v>659.70323024921959</v>
      </c>
      <c r="AG40" s="277">
        <f>SUM(AG8:AG37)</f>
        <v>459.93812201487236</v>
      </c>
      <c r="AH40" s="277">
        <f>SUM(AH8:AH37)</f>
        <v>192.02753350940984</v>
      </c>
      <c r="AI40" s="277">
        <f>IF(SUM(AG40:AH40)&gt;0, AG40/(AG40+AH40), 0)</f>
        <v>0.70546372821588321</v>
      </c>
      <c r="AJ40" s="312">
        <v>6.5000000000000002E-2</v>
      </c>
      <c r="AK40" s="312">
        <f t="shared" ref="AK40:AS40" si="2">$AJ$40</f>
        <v>6.5000000000000002E-2</v>
      </c>
      <c r="AL40" s="312">
        <f t="shared" si="2"/>
        <v>6.5000000000000002E-2</v>
      </c>
      <c r="AM40" s="312">
        <f t="shared" si="2"/>
        <v>6.5000000000000002E-2</v>
      </c>
      <c r="AN40" s="312">
        <f t="shared" si="2"/>
        <v>6.5000000000000002E-2</v>
      </c>
      <c r="AO40" s="312">
        <f t="shared" si="2"/>
        <v>6.5000000000000002E-2</v>
      </c>
      <c r="AP40" s="312">
        <f t="shared" si="2"/>
        <v>6.5000000000000002E-2</v>
      </c>
      <c r="AQ40" s="312">
        <f t="shared" si="2"/>
        <v>6.5000000000000002E-2</v>
      </c>
      <c r="AR40" s="312">
        <f t="shared" si="2"/>
        <v>6.5000000000000002E-2</v>
      </c>
      <c r="AS40" s="312">
        <f t="shared" si="2"/>
        <v>6.5000000000000002E-2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3059.2956398194901</v>
      </c>
      <c r="D41" s="36">
        <f t="shared" si="3"/>
        <v>66686.687458150554</v>
      </c>
      <c r="E41" s="36">
        <f t="shared" si="3"/>
        <v>2246.5691220687145</v>
      </c>
      <c r="F41" s="36">
        <f t="shared" si="3"/>
        <v>0</v>
      </c>
      <c r="G41" s="36">
        <f t="shared" si="3"/>
        <v>2855.4603272831341</v>
      </c>
      <c r="H41" s="37">
        <f t="shared" si="3"/>
        <v>3191.2717614522198</v>
      </c>
      <c r="I41" s="35">
        <f t="shared" si="3"/>
        <v>4303.4963239731114</v>
      </c>
      <c r="J41" s="36">
        <f t="shared" si="3"/>
        <v>22622.88652200174</v>
      </c>
      <c r="K41" s="36">
        <f t="shared" si="3"/>
        <v>3612.5049410875818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3650.4138705754171</v>
      </c>
      <c r="V41" s="268">
        <f t="shared" si="3"/>
        <v>1532.5355297560957</v>
      </c>
      <c r="W41" s="268">
        <f t="shared" si="3"/>
        <v>1359.4068873036056</v>
      </c>
      <c r="X41" s="268">
        <f t="shared" si="3"/>
        <v>567.58293178151916</v>
      </c>
      <c r="Y41" s="268">
        <f t="shared" si="3"/>
        <v>23797.268854903297</v>
      </c>
      <c r="Z41" s="268">
        <f t="shared" si="3"/>
        <v>9907.5763128924991</v>
      </c>
      <c r="AA41" s="272">
        <f t="shared" si="3"/>
        <v>0</v>
      </c>
      <c r="AB41" s="275">
        <f t="shared" si="3"/>
        <v>1026.1440945511767</v>
      </c>
      <c r="AC41" s="275">
        <f t="shared" si="3"/>
        <v>0</v>
      </c>
      <c r="AJ41" s="278">
        <f t="shared" ref="AJ41:AS41" si="4">AJ40*AJ39</f>
        <v>471.78366504923503</v>
      </c>
      <c r="AK41" s="278">
        <f t="shared" si="4"/>
        <v>2082.3024477532704</v>
      </c>
      <c r="AL41" s="278">
        <f t="shared" si="4"/>
        <v>5919.2591465803789</v>
      </c>
      <c r="AM41" s="278">
        <f t="shared" si="4"/>
        <v>1041.966266993205</v>
      </c>
      <c r="AN41" s="278">
        <f t="shared" si="4"/>
        <v>8742.8482441749584</v>
      </c>
      <c r="AO41" s="278">
        <f t="shared" si="4"/>
        <v>5085.580277352653</v>
      </c>
      <c r="AP41" s="278">
        <f t="shared" si="4"/>
        <v>1204.3229777750178</v>
      </c>
      <c r="AQ41" s="278">
        <f t="shared" si="4"/>
        <v>5810.9685833746589</v>
      </c>
      <c r="AR41" s="278">
        <f t="shared" si="4"/>
        <v>1041.5120118561588</v>
      </c>
      <c r="AS41" s="278">
        <f t="shared" si="4"/>
        <v>1650.0321239010493</v>
      </c>
    </row>
    <row r="42" spans="1:45" ht="49.5" customHeight="1" thickTop="1" thickBot="1" x14ac:dyDescent="0.3">
      <c r="A42" s="633">
        <f>JUNE!$A$42+30</f>
        <v>43648</v>
      </c>
      <c r="B42" s="634"/>
      <c r="C42" s="634"/>
      <c r="D42" s="634"/>
      <c r="E42" s="634"/>
      <c r="F42" s="634"/>
      <c r="G42" s="634"/>
      <c r="H42" s="634"/>
      <c r="I42" s="634"/>
      <c r="J42" s="634"/>
      <c r="K42" s="63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414.74</v>
      </c>
      <c r="AK42" s="278" t="s">
        <v>197</v>
      </c>
      <c r="AL42" s="278">
        <v>535.49</v>
      </c>
      <c r="AM42" s="278">
        <v>324.64999999999998</v>
      </c>
      <c r="AN42" s="278">
        <v>486.19</v>
      </c>
      <c r="AO42" s="278">
        <v>2110.4899999999998</v>
      </c>
      <c r="AP42" s="278">
        <v>279.33</v>
      </c>
      <c r="AQ42" s="278" t="s">
        <v>197</v>
      </c>
      <c r="AR42" s="278">
        <v>38.340000000000003</v>
      </c>
      <c r="AS42" s="278">
        <v>117.08</v>
      </c>
    </row>
    <row r="43" spans="1:45" ht="38.25" customHeight="1" thickTop="1" thickBot="1" x14ac:dyDescent="0.3">
      <c r="A43" s="630" t="s">
        <v>49</v>
      </c>
      <c r="B43" s="626"/>
      <c r="C43" s="289"/>
      <c r="D43" s="626" t="s">
        <v>47</v>
      </c>
      <c r="E43" s="626"/>
      <c r="F43" s="289"/>
      <c r="G43" s="626" t="s">
        <v>48</v>
      </c>
      <c r="H43" s="626"/>
      <c r="I43" s="290"/>
      <c r="J43" s="626" t="s">
        <v>50</v>
      </c>
      <c r="K43" s="627"/>
      <c r="L43" s="44"/>
      <c r="M43" s="44"/>
      <c r="N43" s="44"/>
      <c r="O43" s="45"/>
      <c r="P43" s="45"/>
      <c r="Q43" s="45"/>
      <c r="R43" s="615" t="s">
        <v>166</v>
      </c>
      <c r="S43" s="616"/>
      <c r="T43" s="616"/>
      <c r="U43" s="617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150419.10057760015</v>
      </c>
      <c r="C44" s="12"/>
      <c r="D44" s="282" t="s">
        <v>135</v>
      </c>
      <c r="E44" s="283">
        <f>SUM(B41:H41)+P41+R41+T41+V41+X41+Z41</f>
        <v>90046.979083204234</v>
      </c>
      <c r="F44" s="12"/>
      <c r="G44" s="282" t="s">
        <v>135</v>
      </c>
      <c r="H44" s="283">
        <f>SUM(I41:N41)+O41+Q41+S41+U41+W41+Y41</f>
        <v>59345.977399844756</v>
      </c>
      <c r="I44" s="12"/>
      <c r="J44" s="282" t="s">
        <v>198</v>
      </c>
      <c r="K44" s="283">
        <v>147210.66</v>
      </c>
      <c r="L44" s="12"/>
      <c r="M44" s="12"/>
      <c r="N44" s="12"/>
      <c r="O44" s="12"/>
      <c r="P44" s="12"/>
      <c r="Q44" s="12"/>
      <c r="R44" s="319" t="s">
        <v>135</v>
      </c>
      <c r="S44" s="320"/>
      <c r="T44" s="313" t="s">
        <v>167</v>
      </c>
      <c r="U44" s="255" t="s">
        <v>168</v>
      </c>
    </row>
    <row r="45" spans="1:45" ht="24" thickBot="1" x14ac:dyDescent="0.4">
      <c r="A45" s="284" t="s">
        <v>183</v>
      </c>
      <c r="B45" s="285">
        <f>SUM(AJ41:AS41)</f>
        <v>33050.57574481058</v>
      </c>
      <c r="C45" s="12"/>
      <c r="D45" s="284" t="s">
        <v>183</v>
      </c>
      <c r="E45" s="285">
        <f>AJ41*(1-$AI$40)+AK41+AL41*0.5+AN41+AO41*(1-$AI$40)+AP41*(1-$AI$40)+AQ41*(1-$AI$40)+AR41*0.5+AS41*0.5</f>
        <v>18833.655411539159</v>
      </c>
      <c r="F45" s="24"/>
      <c r="G45" s="284" t="s">
        <v>183</v>
      </c>
      <c r="H45" s="285">
        <f>AJ41*AI40+AL41*0.5+AM41+AO41*AI40+AP41*AI40+AQ41*AI40+AR41*0.5+AS41*0.5</f>
        <v>14216.920333271424</v>
      </c>
      <c r="I45" s="12"/>
      <c r="J45" s="12"/>
      <c r="K45" s="288"/>
      <c r="L45" s="12"/>
      <c r="M45" s="12"/>
      <c r="N45" s="12"/>
      <c r="O45" s="12"/>
      <c r="P45" s="12"/>
      <c r="Q45" s="12"/>
      <c r="R45" s="317" t="s">
        <v>141</v>
      </c>
      <c r="S45" s="318"/>
      <c r="T45" s="254">
        <f>$W$39+$X$39</f>
        <v>2591.8016684850054</v>
      </c>
      <c r="U45" s="256">
        <f>(T45*8.34*0.895)/27000</f>
        <v>0.71651797015083796</v>
      </c>
    </row>
    <row r="46" spans="1:45" ht="32.25" thickBot="1" x14ac:dyDescent="0.3">
      <c r="A46" s="286" t="s">
        <v>184</v>
      </c>
      <c r="B46" s="287">
        <f>SUM(AJ42:AS42)</f>
        <v>4306.3100000000004</v>
      </c>
      <c r="C46" s="12"/>
      <c r="D46" s="286" t="s">
        <v>184</v>
      </c>
      <c r="E46" s="287">
        <f>AJ42*(1-$AI$40)+AL42*0.5+AN42+AO42*(1-$AI$40)+AP42*(1-$AI$40)+AR42*0.5+AS42*0.5</f>
        <v>1657.6896463948624</v>
      </c>
      <c r="F46" s="23"/>
      <c r="G46" s="286" t="s">
        <v>184</v>
      </c>
      <c r="H46" s="287">
        <f>AJ42*AI40+AL42*0.5+AM42+AO42*AI40+AP42*AI40+AR42*0.5+AS42*0.5</f>
        <v>2648.6203536051371</v>
      </c>
      <c r="I46" s="12"/>
      <c r="J46" s="628" t="s">
        <v>199</v>
      </c>
      <c r="K46" s="629"/>
      <c r="L46" s="12"/>
      <c r="M46" s="12"/>
      <c r="N46" s="12"/>
      <c r="O46" s="12"/>
      <c r="P46" s="12"/>
      <c r="Q46" s="12"/>
      <c r="R46" s="317" t="s">
        <v>145</v>
      </c>
      <c r="S46" s="318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147210.66</v>
      </c>
      <c r="C47" s="12"/>
      <c r="D47" s="286" t="s">
        <v>187</v>
      </c>
      <c r="E47" s="287">
        <f>K44*0.5</f>
        <v>73605.33</v>
      </c>
      <c r="F47" s="24"/>
      <c r="G47" s="286" t="s">
        <v>185</v>
      </c>
      <c r="H47" s="287">
        <f>K44*0.5</f>
        <v>73605.33</v>
      </c>
      <c r="I47" s="12"/>
      <c r="J47" s="282" t="s">
        <v>198</v>
      </c>
      <c r="K47" s="283">
        <v>64269.67</v>
      </c>
      <c r="L47" s="12"/>
      <c r="M47" s="12"/>
      <c r="N47" s="12"/>
      <c r="O47" s="12"/>
      <c r="P47" s="12"/>
      <c r="Q47" s="12"/>
      <c r="R47" s="317" t="s">
        <v>148</v>
      </c>
      <c r="S47" s="318"/>
      <c r="T47" s="254">
        <f>$G$39</f>
        <v>47610.843306096438</v>
      </c>
      <c r="U47" s="256">
        <f>T47/40000</f>
        <v>1.190271082652411</v>
      </c>
    </row>
    <row r="48" spans="1:45" ht="24" thickBot="1" x14ac:dyDescent="0.3">
      <c r="A48" s="286" t="s">
        <v>186</v>
      </c>
      <c r="B48" s="287">
        <f>K47</f>
        <v>64269.67</v>
      </c>
      <c r="C48" s="12"/>
      <c r="D48" s="286" t="s">
        <v>186</v>
      </c>
      <c r="E48" s="287">
        <f>K47*0.5</f>
        <v>32134.834999999999</v>
      </c>
      <c r="F48" s="23"/>
      <c r="G48" s="286" t="s">
        <v>186</v>
      </c>
      <c r="H48" s="287">
        <f>K47*0.5</f>
        <v>32134.834999999999</v>
      </c>
      <c r="I48" s="12"/>
      <c r="J48" s="12"/>
      <c r="K48" s="86"/>
      <c r="L48" s="12"/>
      <c r="M48" s="12"/>
      <c r="N48" s="12"/>
      <c r="O48" s="12"/>
      <c r="P48" s="12"/>
      <c r="Q48" s="12"/>
      <c r="R48" s="317" t="s">
        <v>150</v>
      </c>
      <c r="S48" s="318"/>
      <c r="T48" s="254">
        <f>$L$39</f>
        <v>6.9866180419921877E-4</v>
      </c>
      <c r="U48" s="256">
        <f>T48*9.34*0.107</f>
        <v>6.9822863388061527E-4</v>
      </c>
    </row>
    <row r="49" spans="1:25" ht="48" thickTop="1" thickBot="1" x14ac:dyDescent="0.3">
      <c r="A49" s="291" t="s">
        <v>194</v>
      </c>
      <c r="B49" s="292">
        <f>AF40</f>
        <v>659.70323024921959</v>
      </c>
      <c r="C49" s="12"/>
      <c r="D49" s="291" t="s">
        <v>195</v>
      </c>
      <c r="E49" s="292">
        <f>AH40</f>
        <v>192.02753350940984</v>
      </c>
      <c r="F49" s="374">
        <f>E44/E49</f>
        <v>468.92743679797201</v>
      </c>
      <c r="G49" s="291" t="s">
        <v>196</v>
      </c>
      <c r="H49" s="292">
        <f>AG40</f>
        <v>459.93812201487236</v>
      </c>
      <c r="I49" s="373">
        <f>H44/H49</f>
        <v>129.0303511695553</v>
      </c>
      <c r="J49" s="12"/>
      <c r="K49" s="86"/>
      <c r="L49" s="12"/>
      <c r="M49" s="12"/>
      <c r="N49" s="12"/>
      <c r="O49" s="12"/>
      <c r="P49" s="12"/>
      <c r="Q49" s="12"/>
      <c r="R49" s="317" t="s">
        <v>152</v>
      </c>
      <c r="S49" s="318"/>
      <c r="T49" s="254">
        <f>$E$39+$K$39</f>
        <v>1351.0132040113208</v>
      </c>
      <c r="U49" s="256">
        <f>(T49*8.34*1.04)/45000</f>
        <v>0.26040329169583537</v>
      </c>
    </row>
    <row r="50" spans="1:25" ht="48" customHeight="1" thickTop="1" thickBot="1" x14ac:dyDescent="0.3">
      <c r="A50" s="291" t="s">
        <v>223</v>
      </c>
      <c r="B50" s="292">
        <f>SUM(E50+H50)</f>
        <v>704.55733553837899</v>
      </c>
      <c r="C50" s="12"/>
      <c r="D50" s="291" t="s">
        <v>224</v>
      </c>
      <c r="E50" s="292">
        <f>AE40</f>
        <v>203.03528249258585</v>
      </c>
      <c r="F50" s="374"/>
      <c r="G50" s="291" t="s">
        <v>225</v>
      </c>
      <c r="H50" s="292">
        <f>AD40</f>
        <v>501.52205304579314</v>
      </c>
      <c r="I50" s="373"/>
      <c r="J50" s="12"/>
      <c r="K50" s="86"/>
      <c r="L50" s="12"/>
      <c r="M50" s="12"/>
      <c r="N50" s="12"/>
      <c r="O50" s="12"/>
      <c r="P50" s="12"/>
      <c r="Q50" s="12"/>
      <c r="R50" s="317"/>
      <c r="S50" s="318"/>
      <c r="T50" s="254"/>
      <c r="U50" s="256"/>
    </row>
    <row r="51" spans="1:25" ht="48" thickTop="1" thickBot="1" x14ac:dyDescent="0.3">
      <c r="A51" s="291" t="s">
        <v>190</v>
      </c>
      <c r="B51" s="293">
        <f>(SUM(B44:B48)/B50)</f>
        <v>566.67682839087013</v>
      </c>
      <c r="C51" s="12"/>
      <c r="D51" s="291" t="s">
        <v>188</v>
      </c>
      <c r="E51" s="294">
        <f>SUM(E44:E48)/E50</f>
        <v>1065.2261345218951</v>
      </c>
      <c r="F51" s="23"/>
      <c r="G51" s="291" t="s">
        <v>189</v>
      </c>
      <c r="H51" s="294">
        <f>SUM(H44:H48)/H50</f>
        <v>362.79896762607086</v>
      </c>
      <c r="I51" s="12"/>
      <c r="J51" s="12"/>
      <c r="K51" s="86"/>
      <c r="L51" s="12"/>
      <c r="M51" s="12"/>
      <c r="N51" s="12"/>
      <c r="O51" s="12"/>
      <c r="P51" s="12"/>
      <c r="Q51" s="12"/>
      <c r="R51" s="317" t="s">
        <v>153</v>
      </c>
      <c r="S51" s="318"/>
      <c r="T51" s="254">
        <f>$U$39+$V$39+$AB$39</f>
        <v>20724.611131117119</v>
      </c>
      <c r="U51" s="256">
        <f>T51/2000/8</f>
        <v>1.2952881956948199</v>
      </c>
    </row>
    <row r="52" spans="1:25" ht="47.25" customHeight="1" thickTop="1" thickBot="1" x14ac:dyDescent="0.3">
      <c r="A52" s="281" t="s">
        <v>191</v>
      </c>
      <c r="B52" s="294">
        <f>B51/1000</f>
        <v>0.56667682839087008</v>
      </c>
      <c r="C52" s="12"/>
      <c r="D52" s="281" t="s">
        <v>192</v>
      </c>
      <c r="E52" s="294">
        <f>E51/1000</f>
        <v>1.0652261345218952</v>
      </c>
      <c r="F52" s="12"/>
      <c r="G52" s="281" t="s">
        <v>193</v>
      </c>
      <c r="H52" s="294">
        <f>H51/1000</f>
        <v>0.36279896762607089</v>
      </c>
      <c r="I52" s="12"/>
      <c r="J52" s="12"/>
      <c r="K52" s="86"/>
      <c r="L52" s="12"/>
      <c r="M52" s="12"/>
      <c r="N52" s="12"/>
      <c r="O52" s="12"/>
      <c r="P52" s="12"/>
      <c r="Q52" s="12"/>
      <c r="R52" s="317" t="s">
        <v>154</v>
      </c>
      <c r="S52" s="318"/>
      <c r="T52" s="254">
        <f>$C$39+$J$39+$S$39+$T$39</f>
        <v>17278.635061979301</v>
      </c>
      <c r="U52" s="256">
        <f>(T52*8.34*1.4)/45000</f>
        <v>4.4832298440815626</v>
      </c>
    </row>
    <row r="53" spans="1:25" ht="16.5" thickTop="1" thickBot="1" x14ac:dyDescent="0.3">
      <c r="A53" s="302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7" t="s">
        <v>155</v>
      </c>
      <c r="S53" s="318"/>
      <c r="T53" s="254">
        <f>$H$39</f>
        <v>853.50246847470748</v>
      </c>
      <c r="U53" s="256">
        <f>(T53*8.34*1.135)/45000</f>
        <v>0.17953708925188294</v>
      </c>
    </row>
    <row r="54" spans="1:25" ht="48" customHeight="1" thickTop="1" thickBot="1" x14ac:dyDescent="0.3">
      <c r="A54" s="618" t="s">
        <v>51</v>
      </c>
      <c r="B54" s="619"/>
      <c r="C54" s="619"/>
      <c r="D54" s="619"/>
      <c r="E54" s="62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7" t="s">
        <v>156</v>
      </c>
      <c r="S54" s="318"/>
      <c r="T54" s="254">
        <f>$B$39+$I$39+$AC$39</f>
        <v>5239.9612235148743</v>
      </c>
      <c r="U54" s="256">
        <f>(T54*8.34*1.029*0.03)/3300</f>
        <v>0.40880557841484866</v>
      </c>
    </row>
    <row r="55" spans="1:25" ht="51.75" customHeight="1" thickBot="1" x14ac:dyDescent="0.3">
      <c r="A55" s="623" t="s">
        <v>200</v>
      </c>
      <c r="B55" s="624"/>
      <c r="C55" s="624"/>
      <c r="D55" s="624"/>
      <c r="E55" s="62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1" t="s">
        <v>158</v>
      </c>
      <c r="S55" s="632"/>
      <c r="T55" s="258">
        <f>$D$39+$Y$39+$Z$39</f>
        <v>32568.59857112568</v>
      </c>
      <c r="U55" s="259">
        <f>(T55*1.54*8.34)/45000</f>
        <v>9.2955122801802172</v>
      </c>
    </row>
    <row r="56" spans="1:25" ht="24" thickTop="1" x14ac:dyDescent="0.25">
      <c r="A56" s="661"/>
      <c r="B56" s="66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63"/>
      <c r="B57" s="66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59"/>
      <c r="B58" s="66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60"/>
      <c r="B59" s="66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59"/>
      <c r="B60" s="66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60"/>
      <c r="B61" s="660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</row>
    <row r="63" spans="1:25" x14ac:dyDescent="0.25">
      <c r="A63" s="12"/>
      <c r="B63" s="12"/>
    </row>
  </sheetData>
  <sheetProtection algorithmName="SHA-512" hashValue="6nJ9hkWWc/oDG3VOwFu/JaqDh2g4DJJ6TAJeZkbVnKvhDrELuLJT6wLIa+aWJY963eenYimuEmBPXv8m6PgtZQ==" saltValue="apUk9EGj++pKcsw2L2whlA==" spinCount="100000" sheet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6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W62"/>
  <sheetViews>
    <sheetView topLeftCell="A43" zoomScale="75" zoomScaleNormal="75" workbookViewId="0">
      <selection activeCell="K48" sqref="K48"/>
    </sheetView>
  </sheetViews>
  <sheetFormatPr defaultRowHeight="15" x14ac:dyDescent="0.25"/>
  <cols>
    <col min="1" max="1" width="35.140625" bestFit="1" customWidth="1"/>
    <col min="2" max="2" width="19.140625" customWidth="1"/>
    <col min="3" max="3" width="27.7109375" bestFit="1" customWidth="1"/>
    <col min="4" max="4" width="29.5703125" customWidth="1"/>
    <col min="5" max="5" width="24.140625" bestFit="1" customWidth="1"/>
    <col min="6" max="6" width="15" bestFit="1" customWidth="1"/>
    <col min="7" max="7" width="35.5703125" customWidth="1"/>
    <col min="8" max="8" width="23" bestFit="1" customWidth="1"/>
    <col min="9" max="10" width="25.28515625" bestFit="1" customWidth="1"/>
    <col min="11" max="11" width="23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37" t="s">
        <v>3</v>
      </c>
      <c r="C4" s="638"/>
      <c r="D4" s="638"/>
      <c r="E4" s="638"/>
      <c r="F4" s="638"/>
      <c r="G4" s="638"/>
      <c r="H4" s="639"/>
      <c r="I4" s="637" t="s">
        <v>4</v>
      </c>
      <c r="J4" s="638"/>
      <c r="K4" s="638"/>
      <c r="L4" s="638"/>
      <c r="M4" s="638"/>
      <c r="N4" s="639"/>
      <c r="O4" s="643" t="s">
        <v>5</v>
      </c>
      <c r="P4" s="644"/>
      <c r="Q4" s="645"/>
      <c r="R4" s="645"/>
      <c r="S4" s="645"/>
      <c r="T4" s="646"/>
      <c r="U4" s="637" t="s">
        <v>6</v>
      </c>
      <c r="V4" s="650"/>
      <c r="W4" s="650"/>
      <c r="X4" s="650"/>
      <c r="Y4" s="650"/>
      <c r="Z4" s="650"/>
      <c r="AA4" s="651"/>
      <c r="AB4" s="655" t="s">
        <v>7</v>
      </c>
      <c r="AC4" s="657" t="s">
        <v>8</v>
      </c>
      <c r="AD4" s="621" t="s">
        <v>222</v>
      </c>
      <c r="AE4" s="621" t="s">
        <v>221</v>
      </c>
      <c r="AF4" s="621" t="s">
        <v>27</v>
      </c>
      <c r="AG4" s="621" t="s">
        <v>31</v>
      </c>
      <c r="AH4" s="621" t="s">
        <v>32</v>
      </c>
      <c r="AI4" s="621" t="s">
        <v>33</v>
      </c>
      <c r="AJ4" s="655" t="s">
        <v>173</v>
      </c>
      <c r="AK4" s="655" t="s">
        <v>174</v>
      </c>
      <c r="AL4" s="655" t="s">
        <v>175</v>
      </c>
      <c r="AM4" s="655" t="s">
        <v>176</v>
      </c>
      <c r="AN4" s="655" t="s">
        <v>177</v>
      </c>
      <c r="AO4" s="655" t="s">
        <v>178</v>
      </c>
      <c r="AP4" s="655" t="s">
        <v>179</v>
      </c>
      <c r="AQ4" s="655" t="s">
        <v>182</v>
      </c>
      <c r="AR4" s="655" t="s">
        <v>180</v>
      </c>
      <c r="AS4" s="655" t="s">
        <v>181</v>
      </c>
      <c r="AV4" t="s">
        <v>169</v>
      </c>
      <c r="AW4" s="337" t="s">
        <v>207</v>
      </c>
    </row>
    <row r="5" spans="1:49" ht="30" customHeight="1" thickBot="1" x14ac:dyDescent="0.3">
      <c r="A5" s="13"/>
      <c r="B5" s="640"/>
      <c r="C5" s="641"/>
      <c r="D5" s="641"/>
      <c r="E5" s="641"/>
      <c r="F5" s="641"/>
      <c r="G5" s="641"/>
      <c r="H5" s="642"/>
      <c r="I5" s="640"/>
      <c r="J5" s="641"/>
      <c r="K5" s="641"/>
      <c r="L5" s="641"/>
      <c r="M5" s="641"/>
      <c r="N5" s="642"/>
      <c r="O5" s="647"/>
      <c r="P5" s="648"/>
      <c r="Q5" s="648"/>
      <c r="R5" s="648"/>
      <c r="S5" s="648"/>
      <c r="T5" s="649"/>
      <c r="U5" s="652"/>
      <c r="V5" s="653"/>
      <c r="W5" s="653"/>
      <c r="X5" s="653"/>
      <c r="Y5" s="653"/>
      <c r="Z5" s="653"/>
      <c r="AA5" s="654"/>
      <c r="AB5" s="656"/>
      <c r="AC5" s="658"/>
      <c r="AD5" s="622"/>
      <c r="AE5" s="622"/>
      <c r="AF5" s="636"/>
      <c r="AG5" s="636"/>
      <c r="AH5" s="636"/>
      <c r="AI5" s="636"/>
      <c r="AJ5" s="622"/>
      <c r="AK5" s="622"/>
      <c r="AL5" s="622"/>
      <c r="AM5" s="622"/>
      <c r="AN5" s="622"/>
      <c r="AO5" s="622"/>
      <c r="AP5" s="622"/>
      <c r="AQ5" s="622"/>
      <c r="AR5" s="622"/>
      <c r="AS5" s="622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6" t="s">
        <v>23</v>
      </c>
      <c r="AD7" s="398" t="s">
        <v>28</v>
      </c>
      <c r="AE7" s="398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43678</v>
      </c>
      <c r="B8" s="49"/>
      <c r="C8" s="50">
        <v>94.948096374670627</v>
      </c>
      <c r="D8" s="50">
        <v>1137.4041927973446</v>
      </c>
      <c r="E8" s="50">
        <v>23.753560914595901</v>
      </c>
      <c r="F8" s="50">
        <v>0</v>
      </c>
      <c r="G8" s="50">
        <v>1742.2875839869237</v>
      </c>
      <c r="H8" s="51">
        <v>37.67693563103677</v>
      </c>
      <c r="I8" s="49">
        <v>250.08357219696009</v>
      </c>
      <c r="J8" s="50">
        <v>744.66247129440251</v>
      </c>
      <c r="K8" s="50">
        <v>40.78671134610974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644.6623396685784</v>
      </c>
      <c r="V8" s="54">
        <v>252.23057847309894</v>
      </c>
      <c r="W8" s="54">
        <v>93.394757225286597</v>
      </c>
      <c r="X8" s="54">
        <v>36.541631473926898</v>
      </c>
      <c r="Y8" s="54">
        <v>442.44335200502388</v>
      </c>
      <c r="Z8" s="54">
        <v>173.11038004046682</v>
      </c>
      <c r="AA8" s="55">
        <v>0</v>
      </c>
      <c r="AB8" s="56">
        <v>164.7098722881766</v>
      </c>
      <c r="AC8" s="57">
        <v>0</v>
      </c>
      <c r="AD8" s="408">
        <v>23.413251113540166</v>
      </c>
      <c r="AE8" s="408">
        <v>8.9628235152161349</v>
      </c>
      <c r="AF8" s="57">
        <v>31.940230899386943</v>
      </c>
      <c r="AG8" s="58">
        <v>22.704339805614094</v>
      </c>
      <c r="AH8" s="58">
        <v>8.8832996913763669</v>
      </c>
      <c r="AI8" s="58">
        <v>0.71877291773502949</v>
      </c>
      <c r="AJ8" s="57">
        <v>240.89112750689188</v>
      </c>
      <c r="AK8" s="57">
        <v>1050.5760097503662</v>
      </c>
      <c r="AL8" s="57">
        <v>3064.3997229258221</v>
      </c>
      <c r="AM8" s="57">
        <v>521.70158386230469</v>
      </c>
      <c r="AN8" s="57">
        <v>3806.1815185546875</v>
      </c>
      <c r="AO8" s="57">
        <v>2632.76090405782</v>
      </c>
      <c r="AP8" s="57">
        <v>644.10364443461106</v>
      </c>
      <c r="AQ8" s="57">
        <v>4180.8396143595373</v>
      </c>
      <c r="AR8" s="57">
        <v>479.71819334030153</v>
      </c>
      <c r="AS8" s="57">
        <v>874.63139130274453</v>
      </c>
    </row>
    <row r="9" spans="1:49" x14ac:dyDescent="0.25">
      <c r="A9" s="11">
        <v>43679</v>
      </c>
      <c r="B9" s="59"/>
      <c r="C9" s="60">
        <v>94.811226467291661</v>
      </c>
      <c r="D9" s="60">
        <v>1136.354865837098</v>
      </c>
      <c r="E9" s="60">
        <v>23.609483736753425</v>
      </c>
      <c r="F9" s="60">
        <v>0</v>
      </c>
      <c r="G9" s="60">
        <v>1708.2914220174118</v>
      </c>
      <c r="H9" s="61">
        <v>36.045054054260227</v>
      </c>
      <c r="I9" s="59">
        <v>250.28719596862788</v>
      </c>
      <c r="J9" s="60">
        <v>745.11993233362875</v>
      </c>
      <c r="K9" s="60">
        <v>40.811809522906927</v>
      </c>
      <c r="L9" s="60">
        <v>5.6648254394531249E-5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627.37760647524669</v>
      </c>
      <c r="V9" s="62">
        <v>246.64039639510628</v>
      </c>
      <c r="W9" s="62">
        <v>90.544816151604238</v>
      </c>
      <c r="X9" s="62">
        <v>35.595802458777762</v>
      </c>
      <c r="Y9" s="66">
        <v>438.99431905527916</v>
      </c>
      <c r="Z9" s="66">
        <v>172.58144337554671</v>
      </c>
      <c r="AA9" s="67">
        <v>0</v>
      </c>
      <c r="AB9" s="68">
        <v>164.73909873962575</v>
      </c>
      <c r="AC9" s="69">
        <v>0</v>
      </c>
      <c r="AD9" s="409">
        <v>23.427609583876439</v>
      </c>
      <c r="AE9" s="409">
        <v>8.9551327433460646</v>
      </c>
      <c r="AF9" s="69">
        <v>31.715860493315613</v>
      </c>
      <c r="AG9" s="68">
        <v>22.537803706979133</v>
      </c>
      <c r="AH9" s="68">
        <v>8.8602665807513947</v>
      </c>
      <c r="AI9" s="68">
        <v>0.71780856276974014</v>
      </c>
      <c r="AJ9" s="69">
        <v>248.81066705385842</v>
      </c>
      <c r="AK9" s="69">
        <v>1045.975680478414</v>
      </c>
      <c r="AL9" s="69">
        <v>3034.1874972025557</v>
      </c>
      <c r="AM9" s="69">
        <v>521.70158386230469</v>
      </c>
      <c r="AN9" s="69">
        <v>3806.1815185546875</v>
      </c>
      <c r="AO9" s="69">
        <v>2660.8420042673743</v>
      </c>
      <c r="AP9" s="69">
        <v>640.47622179985035</v>
      </c>
      <c r="AQ9" s="69">
        <v>4128.8182252248125</v>
      </c>
      <c r="AR9" s="69">
        <v>435.14032696088151</v>
      </c>
      <c r="AS9" s="69">
        <v>814.03596474329629</v>
      </c>
    </row>
    <row r="10" spans="1:49" x14ac:dyDescent="0.25">
      <c r="A10" s="11">
        <v>43680</v>
      </c>
      <c r="B10" s="59"/>
      <c r="C10" s="60">
        <v>94.902152633667043</v>
      </c>
      <c r="D10" s="60">
        <v>1136.0865333557133</v>
      </c>
      <c r="E10" s="60">
        <v>23.860206850369753</v>
      </c>
      <c r="F10" s="60">
        <v>0</v>
      </c>
      <c r="G10" s="60">
        <v>1818.5710976918524</v>
      </c>
      <c r="H10" s="61">
        <v>35.993581698338204</v>
      </c>
      <c r="I10" s="59">
        <v>250.1715799967447</v>
      </c>
      <c r="J10" s="60">
        <v>744.75176388422574</v>
      </c>
      <c r="K10" s="60">
        <v>40.823356273770344</v>
      </c>
      <c r="L10" s="60">
        <v>2.8324127197265628E-5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640.06833193240823</v>
      </c>
      <c r="V10" s="62">
        <v>248.55540680152336</v>
      </c>
      <c r="W10" s="62">
        <v>92.364311253256204</v>
      </c>
      <c r="X10" s="62">
        <v>35.867496972057609</v>
      </c>
      <c r="Y10" s="66">
        <v>446.26253451669965</v>
      </c>
      <c r="Z10" s="66">
        <v>173.29550654724548</v>
      </c>
      <c r="AA10" s="67">
        <v>0</v>
      </c>
      <c r="AB10" s="68">
        <v>164.73222778108467</v>
      </c>
      <c r="AC10" s="69">
        <v>0</v>
      </c>
      <c r="AD10" s="409">
        <v>23.417543846359159</v>
      </c>
      <c r="AE10" s="409">
        <v>8.9535100636364415</v>
      </c>
      <c r="AF10" s="69">
        <v>32.238411753707503</v>
      </c>
      <c r="AG10" s="68">
        <v>22.99992419001298</v>
      </c>
      <c r="AH10" s="68">
        <v>8.9314768880903923</v>
      </c>
      <c r="AI10" s="68">
        <v>0.72029173207137909</v>
      </c>
      <c r="AJ10" s="69">
        <v>248.93492889404297</v>
      </c>
      <c r="AK10" s="69">
        <v>1050.4400712331137</v>
      </c>
      <c r="AL10" s="69">
        <v>3080.5975863138833</v>
      </c>
      <c r="AM10" s="69">
        <v>521.70158386230469</v>
      </c>
      <c r="AN10" s="69">
        <v>3806.1815185546875</v>
      </c>
      <c r="AO10" s="69">
        <v>2592.0778432210291</v>
      </c>
      <c r="AP10" s="69">
        <v>634.79214286804222</v>
      </c>
      <c r="AQ10" s="69">
        <v>4227.1233119964609</v>
      </c>
      <c r="AR10" s="69">
        <v>477.37428302764891</v>
      </c>
      <c r="AS10" s="69">
        <v>863.36280501683552</v>
      </c>
    </row>
    <row r="11" spans="1:49" x14ac:dyDescent="0.25">
      <c r="A11" s="11">
        <v>43681</v>
      </c>
      <c r="B11" s="59"/>
      <c r="C11" s="60">
        <v>94.909928822517315</v>
      </c>
      <c r="D11" s="60">
        <v>1137.7117703119925</v>
      </c>
      <c r="E11" s="60">
        <v>23.611672135194116</v>
      </c>
      <c r="F11" s="60">
        <v>0</v>
      </c>
      <c r="G11" s="60">
        <v>1923.8162415822319</v>
      </c>
      <c r="H11" s="61">
        <v>36.095529186725635</v>
      </c>
      <c r="I11" s="59">
        <v>249.92686227162656</v>
      </c>
      <c r="J11" s="60">
        <v>744.06859375635725</v>
      </c>
      <c r="K11" s="60">
        <v>40.749064031243336</v>
      </c>
      <c r="L11" s="6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636.2077355566704</v>
      </c>
      <c r="V11" s="62">
        <v>248.95369755727697</v>
      </c>
      <c r="W11" s="62">
        <v>91.404321150316335</v>
      </c>
      <c r="X11" s="62">
        <v>35.767316949036243</v>
      </c>
      <c r="Y11" s="66">
        <v>427.98794273118477</v>
      </c>
      <c r="Z11" s="66">
        <v>167.47545636117098</v>
      </c>
      <c r="AA11" s="67">
        <v>0</v>
      </c>
      <c r="AB11" s="68">
        <v>165.08955507278475</v>
      </c>
      <c r="AC11" s="69">
        <v>0</v>
      </c>
      <c r="AD11" s="409">
        <v>23.396022131685204</v>
      </c>
      <c r="AE11" s="409">
        <v>8.96653772441962</v>
      </c>
      <c r="AF11" s="69">
        <v>32.111863697899757</v>
      </c>
      <c r="AG11" s="68">
        <v>22.854261660166486</v>
      </c>
      <c r="AH11" s="68">
        <v>8.9430741364086295</v>
      </c>
      <c r="AI11" s="68">
        <v>0.71874769025863217</v>
      </c>
      <c r="AJ11" s="69">
        <v>248.93492889404297</v>
      </c>
      <c r="AK11" s="69">
        <v>1053.1910390218097</v>
      </c>
      <c r="AL11" s="69">
        <v>3009.1718073527018</v>
      </c>
      <c r="AM11" s="69">
        <v>521.70158386230469</v>
      </c>
      <c r="AN11" s="69">
        <v>3806.1815185546875</v>
      </c>
      <c r="AO11" s="69">
        <v>2589.8283855438235</v>
      </c>
      <c r="AP11" s="69">
        <v>640.54686004320763</v>
      </c>
      <c r="AQ11" s="69">
        <v>4271.5670501708983</v>
      </c>
      <c r="AR11" s="69">
        <v>509.91589660644541</v>
      </c>
      <c r="AS11" s="69">
        <v>821.44977340698233</v>
      </c>
    </row>
    <row r="12" spans="1:49" x14ac:dyDescent="0.25">
      <c r="A12" s="11">
        <v>43682</v>
      </c>
      <c r="B12" s="59"/>
      <c r="C12" s="60">
        <v>94.424660929043924</v>
      </c>
      <c r="D12" s="60">
        <v>1133.6907843271892</v>
      </c>
      <c r="E12" s="60">
        <v>23.593274788061727</v>
      </c>
      <c r="F12" s="60">
        <v>0</v>
      </c>
      <c r="G12" s="60">
        <v>1918.3270977020284</v>
      </c>
      <c r="H12" s="61">
        <v>36.04020266532897</v>
      </c>
      <c r="I12" s="59">
        <v>249.9571692148842</v>
      </c>
      <c r="J12" s="60">
        <v>744.36326268513903</v>
      </c>
      <c r="K12" s="60">
        <v>40.799820441007618</v>
      </c>
      <c r="L12" s="60">
        <v>3.7765502929687501E-5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622.00953416455661</v>
      </c>
      <c r="V12" s="62">
        <v>235.0938985543583</v>
      </c>
      <c r="W12" s="62">
        <v>91.325311814755224</v>
      </c>
      <c r="X12" s="62">
        <v>34.517193727681949</v>
      </c>
      <c r="Y12" s="66">
        <v>423.31223890557555</v>
      </c>
      <c r="Z12" s="66">
        <v>159.99453237280684</v>
      </c>
      <c r="AA12" s="67">
        <v>0</v>
      </c>
      <c r="AB12" s="68">
        <v>163.05674051708775</v>
      </c>
      <c r="AC12" s="69">
        <v>0</v>
      </c>
      <c r="AD12" s="409">
        <v>23.40141197898626</v>
      </c>
      <c r="AE12" s="409">
        <v>8.9334968567057498</v>
      </c>
      <c r="AF12" s="69">
        <v>31.257735051049075</v>
      </c>
      <c r="AG12" s="68">
        <v>22.459635497488296</v>
      </c>
      <c r="AH12" s="68">
        <v>8.4888140441549691</v>
      </c>
      <c r="AI12" s="68">
        <v>0.72571116906090283</v>
      </c>
      <c r="AJ12" s="69">
        <v>248.93492889404297</v>
      </c>
      <c r="AK12" s="69">
        <v>1039.7165563583374</v>
      </c>
      <c r="AL12" s="69">
        <v>3071.353838857015</v>
      </c>
      <c r="AM12" s="69">
        <v>521.70158386230469</v>
      </c>
      <c r="AN12" s="69">
        <v>3806.1815185546875</v>
      </c>
      <c r="AO12" s="69">
        <v>2625.5462314605716</v>
      </c>
      <c r="AP12" s="69">
        <v>635.70611518224086</v>
      </c>
      <c r="AQ12" s="69">
        <v>4148.8458791097009</v>
      </c>
      <c r="AR12" s="69">
        <v>494.35033979415891</v>
      </c>
      <c r="AS12" s="69">
        <v>869.08105112711598</v>
      </c>
    </row>
    <row r="13" spans="1:49" x14ac:dyDescent="0.25">
      <c r="A13" s="11">
        <v>43683</v>
      </c>
      <c r="B13" s="59"/>
      <c r="C13" s="60">
        <v>94.986335174242626</v>
      </c>
      <c r="D13" s="60">
        <v>1138.769187418618</v>
      </c>
      <c r="E13" s="60">
        <v>24.554576233029454</v>
      </c>
      <c r="F13" s="60">
        <v>0</v>
      </c>
      <c r="G13" s="60">
        <v>1863.3978636423728</v>
      </c>
      <c r="H13" s="61">
        <v>36.126259791850998</v>
      </c>
      <c r="I13" s="59">
        <v>251.14129055341084</v>
      </c>
      <c r="J13" s="60">
        <v>747.78554646174052</v>
      </c>
      <c r="K13" s="60">
        <v>41.010454575220713</v>
      </c>
      <c r="L13" s="60">
        <v>2.2659301757812508E-4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571.22093702560107</v>
      </c>
      <c r="V13" s="62">
        <v>204.09890043862427</v>
      </c>
      <c r="W13" s="62">
        <v>95.340335615968584</v>
      </c>
      <c r="X13" s="62">
        <v>34.065378919744475</v>
      </c>
      <c r="Y13" s="66">
        <v>435.58077279090043</v>
      </c>
      <c r="Z13" s="66">
        <v>155.63427566529236</v>
      </c>
      <c r="AA13" s="67">
        <v>0</v>
      </c>
      <c r="AB13" s="68">
        <v>160.67726578182851</v>
      </c>
      <c r="AC13" s="69">
        <v>0</v>
      </c>
      <c r="AD13" s="409">
        <v>23.509725040310336</v>
      </c>
      <c r="AE13" s="409">
        <v>8.9740081896607595</v>
      </c>
      <c r="AF13" s="69">
        <v>30.58336654371686</v>
      </c>
      <c r="AG13" s="68">
        <v>22.233005748793968</v>
      </c>
      <c r="AH13" s="68">
        <v>7.9439175503664856</v>
      </c>
      <c r="AI13" s="68">
        <v>0.73675521948960609</v>
      </c>
      <c r="AJ13" s="69">
        <v>248.93492889404297</v>
      </c>
      <c r="AK13" s="69">
        <v>1035.477711613973</v>
      </c>
      <c r="AL13" s="69">
        <v>3054.8076461791993</v>
      </c>
      <c r="AM13" s="69">
        <v>521.70158386230469</v>
      </c>
      <c r="AN13" s="69">
        <v>3806.1815185546875</v>
      </c>
      <c r="AO13" s="69">
        <v>2633.3657192230212</v>
      </c>
      <c r="AP13" s="69">
        <v>633.31780714988702</v>
      </c>
      <c r="AQ13" s="69">
        <v>4045.5764767964688</v>
      </c>
      <c r="AR13" s="69">
        <v>445.51479771931974</v>
      </c>
      <c r="AS13" s="69">
        <v>872.47741149266574</v>
      </c>
    </row>
    <row r="14" spans="1:49" x14ac:dyDescent="0.25">
      <c r="A14" s="11">
        <v>43684</v>
      </c>
      <c r="B14" s="59"/>
      <c r="C14" s="60">
        <v>98.467724804083829</v>
      </c>
      <c r="D14" s="60">
        <v>1187.4717416763287</v>
      </c>
      <c r="E14" s="60">
        <v>24.878813805182777</v>
      </c>
      <c r="F14" s="60">
        <v>0</v>
      </c>
      <c r="G14" s="60">
        <v>2102.6468844095834</v>
      </c>
      <c r="H14" s="61">
        <v>37.572864228487006</v>
      </c>
      <c r="I14" s="59">
        <v>248.4867675781245</v>
      </c>
      <c r="J14" s="60">
        <v>739.83608751296867</v>
      </c>
      <c r="K14" s="60">
        <v>40.518917805949862</v>
      </c>
      <c r="L14" s="6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520.43644276629641</v>
      </c>
      <c r="V14" s="62">
        <v>210.74751248984853</v>
      </c>
      <c r="W14" s="62">
        <v>91.740197767776394</v>
      </c>
      <c r="X14" s="62">
        <v>37.149624596077011</v>
      </c>
      <c r="Y14" s="66">
        <v>426.95760317783692</v>
      </c>
      <c r="Z14" s="66">
        <v>172.89383566239403</v>
      </c>
      <c r="AA14" s="67">
        <v>0</v>
      </c>
      <c r="AB14" s="68">
        <v>160.20915952258588</v>
      </c>
      <c r="AC14" s="69">
        <v>0</v>
      </c>
      <c r="AD14" s="409">
        <v>23.264791743716838</v>
      </c>
      <c r="AE14" s="409">
        <v>9.3575816404688617</v>
      </c>
      <c r="AF14" s="69">
        <v>32.09110335376527</v>
      </c>
      <c r="AG14" s="68">
        <v>22.521367237490985</v>
      </c>
      <c r="AH14" s="68">
        <v>9.1198881038062662</v>
      </c>
      <c r="AI14" s="68">
        <v>0.71177224147920415</v>
      </c>
      <c r="AJ14" s="69">
        <v>238.92106412251789</v>
      </c>
      <c r="AK14" s="69">
        <v>1033.4197105407716</v>
      </c>
      <c r="AL14" s="69">
        <v>3052.1757083892821</v>
      </c>
      <c r="AM14" s="69">
        <v>521.70158386230469</v>
      </c>
      <c r="AN14" s="69">
        <v>3806.1815185546875</v>
      </c>
      <c r="AO14" s="69">
        <v>2630.3385944366455</v>
      </c>
      <c r="AP14" s="69">
        <v>638.98969961802163</v>
      </c>
      <c r="AQ14" s="69">
        <v>4186.9186449686695</v>
      </c>
      <c r="AR14" s="69">
        <v>495.89054646492013</v>
      </c>
      <c r="AS14" s="69">
        <v>869.5459939002991</v>
      </c>
    </row>
    <row r="15" spans="1:49" x14ac:dyDescent="0.25">
      <c r="A15" s="11">
        <v>43685</v>
      </c>
      <c r="B15" s="59"/>
      <c r="C15" s="60">
        <v>100.24721362193436</v>
      </c>
      <c r="D15" s="60">
        <v>1201.8591054916349</v>
      </c>
      <c r="E15" s="60">
        <v>25.29957197904589</v>
      </c>
      <c r="F15" s="60">
        <v>0</v>
      </c>
      <c r="G15" s="60">
        <v>2161.4658627827962</v>
      </c>
      <c r="H15" s="61">
        <v>37.965264604488979</v>
      </c>
      <c r="I15" s="59">
        <v>267.22602435747768</v>
      </c>
      <c r="J15" s="60">
        <v>764.61867090861017</v>
      </c>
      <c r="K15" s="60">
        <v>41.849643460909448</v>
      </c>
      <c r="L15" s="6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527.09939347650959</v>
      </c>
      <c r="V15" s="62">
        <v>205.31537334377106</v>
      </c>
      <c r="W15" s="62">
        <v>93.032572646376437</v>
      </c>
      <c r="X15" s="62">
        <v>36.237980203393128</v>
      </c>
      <c r="Y15" s="66">
        <v>419.75546118319437</v>
      </c>
      <c r="Z15" s="66">
        <v>163.50284271339254</v>
      </c>
      <c r="AA15" s="67">
        <v>0</v>
      </c>
      <c r="AB15" s="68">
        <v>163.01059919993091</v>
      </c>
      <c r="AC15" s="69">
        <v>0</v>
      </c>
      <c r="AD15" s="409">
        <v>24.040321067723582</v>
      </c>
      <c r="AE15" s="409">
        <v>9.4711062604904299</v>
      </c>
      <c r="AF15" s="69">
        <v>32.485213248597205</v>
      </c>
      <c r="AG15" s="68">
        <v>23.038175982458572</v>
      </c>
      <c r="AH15" s="68">
        <v>8.9738135948145032</v>
      </c>
      <c r="AI15" s="68">
        <v>0.71967335634816443</v>
      </c>
      <c r="AJ15" s="69">
        <v>236.28000640869141</v>
      </c>
      <c r="AK15" s="69">
        <v>1012.9990423202515</v>
      </c>
      <c r="AL15" s="69">
        <v>2950.2068379720049</v>
      </c>
      <c r="AM15" s="69">
        <v>521.70158386230469</v>
      </c>
      <c r="AN15" s="69">
        <v>3806.1815185546875</v>
      </c>
      <c r="AO15" s="69">
        <v>2630.4702078501382</v>
      </c>
      <c r="AP15" s="69">
        <v>633.92452541987109</v>
      </c>
      <c r="AQ15" s="69">
        <v>4448.2046663920091</v>
      </c>
      <c r="AR15" s="69">
        <v>475.50108652114864</v>
      </c>
      <c r="AS15" s="69">
        <v>868.88694890340173</v>
      </c>
    </row>
    <row r="16" spans="1:49" x14ac:dyDescent="0.25">
      <c r="A16" s="11">
        <v>43686</v>
      </c>
      <c r="B16" s="59"/>
      <c r="C16" s="60">
        <v>99.826543259620649</v>
      </c>
      <c r="D16" s="60">
        <v>1197.9405974070226</v>
      </c>
      <c r="E16" s="60">
        <v>24.9766114423673</v>
      </c>
      <c r="F16" s="60">
        <v>0</v>
      </c>
      <c r="G16" s="60">
        <v>2266.0130360921189</v>
      </c>
      <c r="H16" s="61">
        <v>37.935068927208654</v>
      </c>
      <c r="I16" s="59">
        <v>280.35329349835695</v>
      </c>
      <c r="J16" s="60">
        <v>765.1857120513921</v>
      </c>
      <c r="K16" s="60">
        <v>41.944683620333677</v>
      </c>
      <c r="L16" s="60">
        <v>4.7206878662109375E-5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528.58781405481648</v>
      </c>
      <c r="V16" s="62">
        <v>206.01692214615616</v>
      </c>
      <c r="W16" s="62">
        <v>93.000909583368014</v>
      </c>
      <c r="X16" s="62">
        <v>36.24707312524518</v>
      </c>
      <c r="Y16" s="66">
        <v>421.38127435596141</v>
      </c>
      <c r="Z16" s="66">
        <v>164.23320947735181</v>
      </c>
      <c r="AA16" s="67">
        <v>0</v>
      </c>
      <c r="AB16" s="68">
        <v>162.5052199893527</v>
      </c>
      <c r="AC16" s="69">
        <v>0</v>
      </c>
      <c r="AD16" s="409">
        <v>24.059637158422852</v>
      </c>
      <c r="AE16" s="409">
        <v>9.4397158980742315</v>
      </c>
      <c r="AF16" s="69">
        <v>32.607088732719397</v>
      </c>
      <c r="AG16" s="68">
        <v>23.116353354003159</v>
      </c>
      <c r="AH16" s="68">
        <v>9.0095909186828731</v>
      </c>
      <c r="AI16" s="68">
        <v>0.71955405132346684</v>
      </c>
      <c r="AJ16" s="69">
        <v>240.0732561270396</v>
      </c>
      <c r="AK16" s="69">
        <v>1014.9759385426839</v>
      </c>
      <c r="AL16" s="69">
        <v>3036.2778816223149</v>
      </c>
      <c r="AM16" s="69">
        <v>521.70158386230469</v>
      </c>
      <c r="AN16" s="69">
        <v>3806.1815185546875</v>
      </c>
      <c r="AO16" s="69">
        <v>2623.7724074045818</v>
      </c>
      <c r="AP16" s="69">
        <v>617.69889311790462</v>
      </c>
      <c r="AQ16" s="69">
        <v>4377.7908342997243</v>
      </c>
      <c r="AR16" s="69">
        <v>482.25538851420089</v>
      </c>
      <c r="AS16" s="69">
        <v>853.78789974848439</v>
      </c>
    </row>
    <row r="17" spans="1:45" s="381" customFormat="1" ht="15" customHeight="1" x14ac:dyDescent="0.25">
      <c r="A17" s="11">
        <v>43687</v>
      </c>
      <c r="B17" s="375"/>
      <c r="C17" s="376">
        <v>99.995125162601653</v>
      </c>
      <c r="D17" s="376">
        <v>1197.1873109817514</v>
      </c>
      <c r="E17" s="376">
        <v>25.413437642653829</v>
      </c>
      <c r="F17" s="376">
        <v>0</v>
      </c>
      <c r="G17" s="376">
        <v>2150.2256332397455</v>
      </c>
      <c r="H17" s="377">
        <v>37.947482649485295</v>
      </c>
      <c r="I17" s="375">
        <v>280.5367992560067</v>
      </c>
      <c r="J17" s="376">
        <v>765.75741945902621</v>
      </c>
      <c r="K17" s="376">
        <v>41.936093940337422</v>
      </c>
      <c r="L17" s="378">
        <v>0</v>
      </c>
      <c r="M17" s="60">
        <v>0</v>
      </c>
      <c r="N17" s="377">
        <v>0</v>
      </c>
      <c r="O17" s="375">
        <v>0</v>
      </c>
      <c r="P17" s="376">
        <v>0</v>
      </c>
      <c r="Q17" s="376">
        <v>0</v>
      </c>
      <c r="R17" s="376">
        <v>0</v>
      </c>
      <c r="S17" s="376">
        <v>0</v>
      </c>
      <c r="T17" s="377">
        <v>0</v>
      </c>
      <c r="U17" s="375">
        <v>528.34434918691272</v>
      </c>
      <c r="V17" s="376">
        <v>214.52147184614873</v>
      </c>
      <c r="W17" s="376">
        <v>92.383005988316668</v>
      </c>
      <c r="X17" s="376">
        <v>37.50988999633303</v>
      </c>
      <c r="Y17" s="376">
        <v>420.99661316046166</v>
      </c>
      <c r="Z17" s="376">
        <v>170.93551437885432</v>
      </c>
      <c r="AA17" s="377">
        <v>0</v>
      </c>
      <c r="AB17" s="379">
        <v>162.77201240327651</v>
      </c>
      <c r="AC17" s="380">
        <v>0</v>
      </c>
      <c r="AD17" s="409">
        <v>24.076633100191369</v>
      </c>
      <c r="AE17" s="409">
        <v>9.4343946241535601</v>
      </c>
      <c r="AF17" s="380">
        <v>33.004168450832395</v>
      </c>
      <c r="AG17" s="380">
        <v>23.128305276194634</v>
      </c>
      <c r="AH17" s="380">
        <v>9.3906901754353438</v>
      </c>
      <c r="AI17" s="380">
        <v>0.71122446911364712</v>
      </c>
      <c r="AJ17" s="380">
        <v>245.91638518969219</v>
      </c>
      <c r="AK17" s="380">
        <v>1015.2673977533977</v>
      </c>
      <c r="AL17" s="380">
        <v>3018.1121128082277</v>
      </c>
      <c r="AM17" s="380">
        <v>521.70158386230469</v>
      </c>
      <c r="AN17" s="380">
        <v>3806.1815185546875</v>
      </c>
      <c r="AO17" s="380">
        <v>2606.6717178344729</v>
      </c>
      <c r="AP17" s="380">
        <v>614.49024383227027</v>
      </c>
      <c r="AQ17" s="380">
        <v>4367.3620207468666</v>
      </c>
      <c r="AR17" s="380">
        <v>474.7939519564311</v>
      </c>
      <c r="AS17" s="380">
        <v>798.0304352442422</v>
      </c>
    </row>
    <row r="18" spans="1:45" x14ac:dyDescent="0.25">
      <c r="A18" s="11">
        <v>43688</v>
      </c>
      <c r="B18" s="59"/>
      <c r="C18" s="60">
        <v>99.575311120351458</v>
      </c>
      <c r="D18" s="60">
        <v>1197.8438140233343</v>
      </c>
      <c r="E18" s="60">
        <v>25.418840020895018</v>
      </c>
      <c r="F18" s="60">
        <v>0</v>
      </c>
      <c r="G18" s="60">
        <v>1980.8104187011704</v>
      </c>
      <c r="H18" s="61">
        <v>37.991214913129795</v>
      </c>
      <c r="I18" s="59">
        <v>280.18202988306683</v>
      </c>
      <c r="J18" s="60">
        <v>764.68634535471665</v>
      </c>
      <c r="K18" s="60">
        <v>41.923229262232759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533.59839900474424</v>
      </c>
      <c r="V18" s="62">
        <v>215.72001199583076</v>
      </c>
      <c r="W18" s="62">
        <v>93.734270039449441</v>
      </c>
      <c r="X18" s="62">
        <v>37.89433756743842</v>
      </c>
      <c r="Y18" s="66">
        <v>429.03422881726971</v>
      </c>
      <c r="Z18" s="66">
        <v>173.44742630357956</v>
      </c>
      <c r="AA18" s="67">
        <v>0</v>
      </c>
      <c r="AB18" s="68">
        <v>162.76577501296924</v>
      </c>
      <c r="AC18" s="69">
        <v>0</v>
      </c>
      <c r="AD18" s="409">
        <v>24.046944270944962</v>
      </c>
      <c r="AE18" s="409">
        <v>9.438783256920896</v>
      </c>
      <c r="AF18" s="69">
        <v>33.286516647868666</v>
      </c>
      <c r="AG18" s="68">
        <v>23.366663591528766</v>
      </c>
      <c r="AH18" s="68">
        <v>9.4465368705544197</v>
      </c>
      <c r="AI18" s="68">
        <v>0.71211168866413288</v>
      </c>
      <c r="AJ18" s="69">
        <v>243.33453369140625</v>
      </c>
      <c r="AK18" s="69">
        <v>1012.4657817204796</v>
      </c>
      <c r="AL18" s="69">
        <v>2987.5059382120771</v>
      </c>
      <c r="AM18" s="69">
        <v>498.6270109176636</v>
      </c>
      <c r="AN18" s="69">
        <v>5144.001420847575</v>
      </c>
      <c r="AO18" s="69">
        <v>2594.1774194081622</v>
      </c>
      <c r="AP18" s="69">
        <v>605.58830593427024</v>
      </c>
      <c r="AQ18" s="69">
        <v>4353.0164705912266</v>
      </c>
      <c r="AR18" s="69">
        <v>432.38469196955367</v>
      </c>
      <c r="AS18" s="69">
        <v>770.02111864089977</v>
      </c>
    </row>
    <row r="19" spans="1:45" x14ac:dyDescent="0.25">
      <c r="A19" s="11">
        <v>43689</v>
      </c>
      <c r="B19" s="59"/>
      <c r="C19" s="60">
        <v>99.363353093464767</v>
      </c>
      <c r="D19" s="60">
        <v>1198.848798751829</v>
      </c>
      <c r="E19" s="60">
        <v>25.190430885553383</v>
      </c>
      <c r="F19" s="60">
        <v>0</v>
      </c>
      <c r="G19" s="60">
        <v>1836.8677561442032</v>
      </c>
      <c r="H19" s="61">
        <v>37.90726332664498</v>
      </c>
      <c r="I19" s="59">
        <v>279.98923390706386</v>
      </c>
      <c r="J19" s="60">
        <v>764.17648976643886</v>
      </c>
      <c r="K19" s="60">
        <v>41.846623833974142</v>
      </c>
      <c r="L19" s="60">
        <v>1.8882751464843751E-5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546.0707876921623</v>
      </c>
      <c r="V19" s="62">
        <v>215.77686423451635</v>
      </c>
      <c r="W19" s="62">
        <v>92.529834055630744</v>
      </c>
      <c r="X19" s="62">
        <v>36.562654312721683</v>
      </c>
      <c r="Y19" s="66">
        <v>417.342685760091</v>
      </c>
      <c r="Z19" s="66">
        <v>164.91066373484404</v>
      </c>
      <c r="AA19" s="67">
        <v>0</v>
      </c>
      <c r="AB19" s="68">
        <v>162.69729737175925</v>
      </c>
      <c r="AC19" s="69">
        <v>0</v>
      </c>
      <c r="AD19" s="409">
        <v>24.026798267040128</v>
      </c>
      <c r="AE19" s="409">
        <v>9.4467575709073941</v>
      </c>
      <c r="AF19" s="69">
        <v>32.402962696552329</v>
      </c>
      <c r="AG19" s="68">
        <v>22.914142661156085</v>
      </c>
      <c r="AH19" s="68">
        <v>9.054397271355052</v>
      </c>
      <c r="AI19" s="68">
        <v>0.71677163578725178</v>
      </c>
      <c r="AJ19" s="69">
        <v>244.03295809427897</v>
      </c>
      <c r="AK19" s="69">
        <v>1017.5774830500286</v>
      </c>
      <c r="AL19" s="69">
        <v>3039.2206456502277</v>
      </c>
      <c r="AM19" s="69">
        <v>465.32405090332031</v>
      </c>
      <c r="AN19" s="69">
        <v>7179.980712890625</v>
      </c>
      <c r="AO19" s="69">
        <v>2611.8762891133629</v>
      </c>
      <c r="AP19" s="69">
        <v>601.59705384572351</v>
      </c>
      <c r="AQ19" s="69">
        <v>4285.1704095204668</v>
      </c>
      <c r="AR19" s="69">
        <v>425.9991996129354</v>
      </c>
      <c r="AS19" s="69">
        <v>791.0967439651489</v>
      </c>
    </row>
    <row r="20" spans="1:45" x14ac:dyDescent="0.25">
      <c r="A20" s="11">
        <v>43690</v>
      </c>
      <c r="B20" s="59"/>
      <c r="C20" s="60">
        <v>98.932059073448769</v>
      </c>
      <c r="D20" s="60">
        <v>1196.0756568908698</v>
      </c>
      <c r="E20" s="60">
        <v>25.167087755600619</v>
      </c>
      <c r="F20" s="60">
        <v>0</v>
      </c>
      <c r="G20" s="60">
        <v>1881.8621540069537</v>
      </c>
      <c r="H20" s="61">
        <v>37.767557297150276</v>
      </c>
      <c r="I20" s="59">
        <v>279.41748332977312</v>
      </c>
      <c r="J20" s="60">
        <v>762.78134466807001</v>
      </c>
      <c r="K20" s="60">
        <v>41.768577339251834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576.87666636053143</v>
      </c>
      <c r="V20" s="62">
        <v>233.23547539700439</v>
      </c>
      <c r="W20" s="62">
        <v>95.275315035380643</v>
      </c>
      <c r="X20" s="62">
        <v>38.520510000986086</v>
      </c>
      <c r="Y20" s="66">
        <v>427.59894241250805</v>
      </c>
      <c r="Z20" s="66">
        <v>172.88139463506823</v>
      </c>
      <c r="AA20" s="67">
        <v>0</v>
      </c>
      <c r="AB20" s="68">
        <v>162.76918231116429</v>
      </c>
      <c r="AC20" s="69">
        <v>0</v>
      </c>
      <c r="AD20" s="409">
        <v>23.981053906263099</v>
      </c>
      <c r="AE20" s="409">
        <v>9.4250020167876638</v>
      </c>
      <c r="AF20" s="69">
        <v>33.403695763482069</v>
      </c>
      <c r="AG20" s="68">
        <v>23.498147107863865</v>
      </c>
      <c r="AH20" s="68">
        <v>9.5004735522205266</v>
      </c>
      <c r="AI20" s="68">
        <v>0.71209482814194003</v>
      </c>
      <c r="AJ20" s="69">
        <v>238.11816248893737</v>
      </c>
      <c r="AK20" s="69">
        <v>1020.2140900293987</v>
      </c>
      <c r="AL20" s="69">
        <v>3039.5935295104978</v>
      </c>
      <c r="AM20" s="69">
        <v>465.32405090332031</v>
      </c>
      <c r="AN20" s="69">
        <v>7179.980712890625</v>
      </c>
      <c r="AO20" s="69">
        <v>2602.763090133667</v>
      </c>
      <c r="AP20" s="69">
        <v>607.95030927658081</v>
      </c>
      <c r="AQ20" s="69">
        <v>4482.1602490743007</v>
      </c>
      <c r="AR20" s="69">
        <v>434.43454809188853</v>
      </c>
      <c r="AS20" s="69">
        <v>869.49851016998298</v>
      </c>
    </row>
    <row r="21" spans="1:45" x14ac:dyDescent="0.25">
      <c r="A21" s="11">
        <v>43691</v>
      </c>
      <c r="B21" s="59"/>
      <c r="C21" s="60">
        <v>99.635453474521398</v>
      </c>
      <c r="D21" s="60">
        <v>1196.398065821327</v>
      </c>
      <c r="E21" s="60">
        <v>25.606601901849157</v>
      </c>
      <c r="F21" s="60">
        <v>0</v>
      </c>
      <c r="G21" s="60">
        <v>1975.1684482574422</v>
      </c>
      <c r="H21" s="61">
        <v>37.855540084838943</v>
      </c>
      <c r="I21" s="59">
        <v>279.48550173441532</v>
      </c>
      <c r="J21" s="60">
        <v>762.75454597473106</v>
      </c>
      <c r="K21" s="60">
        <v>41.816611914833402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561.35854774033885</v>
      </c>
      <c r="V21" s="62">
        <v>218.89524118652398</v>
      </c>
      <c r="W21" s="62">
        <v>93.541109443480551</v>
      </c>
      <c r="X21" s="62">
        <v>36.475268426761218</v>
      </c>
      <c r="Y21" s="66">
        <v>416.94958722405198</v>
      </c>
      <c r="Z21" s="66">
        <v>162.58464545595089</v>
      </c>
      <c r="AA21" s="67">
        <v>0</v>
      </c>
      <c r="AB21" s="68">
        <v>162.81589518653064</v>
      </c>
      <c r="AC21" s="69">
        <v>0</v>
      </c>
      <c r="AD21" s="409">
        <v>23.984877270740792</v>
      </c>
      <c r="AE21" s="409">
        <v>9.4289358756486514</v>
      </c>
      <c r="AF21" s="69">
        <v>32.230778149101418</v>
      </c>
      <c r="AG21" s="68">
        <v>22.898566613601229</v>
      </c>
      <c r="AH21" s="68">
        <v>8.9290299076882498</v>
      </c>
      <c r="AI21" s="68">
        <v>0.71945635600490221</v>
      </c>
      <c r="AJ21" s="69">
        <v>239.91407111485799</v>
      </c>
      <c r="AK21" s="69">
        <v>1022.882387415568</v>
      </c>
      <c r="AL21" s="69">
        <v>3027.1897902170813</v>
      </c>
      <c r="AM21" s="69">
        <v>465.32405090332031</v>
      </c>
      <c r="AN21" s="69">
        <v>7179.980712890625</v>
      </c>
      <c r="AO21" s="69">
        <v>2627.305256017049</v>
      </c>
      <c r="AP21" s="69">
        <v>612.30402191480016</v>
      </c>
      <c r="AQ21" s="69">
        <v>4306.6917404174801</v>
      </c>
      <c r="AR21" s="69">
        <v>431.91774762471516</v>
      </c>
      <c r="AS21" s="69">
        <v>825.11714649200428</v>
      </c>
    </row>
    <row r="22" spans="1:45" x14ac:dyDescent="0.25">
      <c r="A22" s="11">
        <v>43692</v>
      </c>
      <c r="B22" s="59"/>
      <c r="C22" s="60">
        <v>102.65950483083739</v>
      </c>
      <c r="D22" s="60">
        <v>1195.3533785502129</v>
      </c>
      <c r="E22" s="60">
        <v>25.408536410331745</v>
      </c>
      <c r="F22" s="60">
        <v>0</v>
      </c>
      <c r="G22" s="60">
        <v>2035.4860240936289</v>
      </c>
      <c r="H22" s="61">
        <v>37.798252306381926</v>
      </c>
      <c r="I22" s="59">
        <v>286.60162218411773</v>
      </c>
      <c r="J22" s="60">
        <v>851.90302387873362</v>
      </c>
      <c r="K22" s="60">
        <v>46.796156496803036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618.18649609606689</v>
      </c>
      <c r="V22" s="62">
        <v>223.88214806727777</v>
      </c>
      <c r="W22" s="62">
        <v>104.99617291339462</v>
      </c>
      <c r="X22" s="62">
        <v>38.025367553549948</v>
      </c>
      <c r="Y22" s="66">
        <v>484.34294808109178</v>
      </c>
      <c r="Z22" s="66">
        <v>175.40942790309961</v>
      </c>
      <c r="AA22" s="67">
        <v>0</v>
      </c>
      <c r="AB22" s="68">
        <v>176.11682596206504</v>
      </c>
      <c r="AC22" s="69">
        <v>0</v>
      </c>
      <c r="AD22" s="409">
        <v>26.826269984873306</v>
      </c>
      <c r="AE22" s="409">
        <v>9.4199895240775735</v>
      </c>
      <c r="AF22" s="69">
        <v>35.863969647884403</v>
      </c>
      <c r="AG22" s="68">
        <v>26.002188356187649</v>
      </c>
      <c r="AH22" s="68">
        <v>9.4169410370436033</v>
      </c>
      <c r="AI22" s="68">
        <v>0.7341283877281517</v>
      </c>
      <c r="AJ22" s="69">
        <v>238.85776708920798</v>
      </c>
      <c r="AK22" s="69">
        <v>1025.0721330006916</v>
      </c>
      <c r="AL22" s="69">
        <v>3218.4916854858398</v>
      </c>
      <c r="AM22" s="69">
        <v>465.32405090332031</v>
      </c>
      <c r="AN22" s="69">
        <v>7179.980712890625</v>
      </c>
      <c r="AO22" s="69">
        <v>2649.479034678141</v>
      </c>
      <c r="AP22" s="69">
        <v>613.32531172434494</v>
      </c>
      <c r="AQ22" s="69">
        <v>4742.4054283142095</v>
      </c>
      <c r="AR22" s="69">
        <v>434.92128219604501</v>
      </c>
      <c r="AS22" s="69">
        <v>872.66681845982851</v>
      </c>
    </row>
    <row r="23" spans="1:45" x14ac:dyDescent="0.25">
      <c r="A23" s="11">
        <v>43693</v>
      </c>
      <c r="B23" s="59"/>
      <c r="C23" s="60">
        <v>99.94079860846189</v>
      </c>
      <c r="D23" s="60">
        <v>1195.342448361713</v>
      </c>
      <c r="E23" s="60">
        <v>24.569212204217919</v>
      </c>
      <c r="F23" s="60">
        <v>0</v>
      </c>
      <c r="G23" s="60">
        <v>1996.4026640574164</v>
      </c>
      <c r="H23" s="61">
        <v>37.838132685422863</v>
      </c>
      <c r="I23" s="59">
        <v>303.92046868006395</v>
      </c>
      <c r="J23" s="60">
        <v>988.88255736033091</v>
      </c>
      <c r="K23" s="60">
        <v>54.339662754535567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688.31015598341548</v>
      </c>
      <c r="V23" s="62">
        <v>215.82827484510042</v>
      </c>
      <c r="W23" s="62">
        <v>120.33693804975354</v>
      </c>
      <c r="X23" s="62">
        <v>37.733154906471867</v>
      </c>
      <c r="Y23" s="66">
        <v>606.12391538943598</v>
      </c>
      <c r="Z23" s="66">
        <v>190.05774920457748</v>
      </c>
      <c r="AA23" s="67">
        <v>0</v>
      </c>
      <c r="AB23" s="68">
        <v>197.61007031334805</v>
      </c>
      <c r="AC23" s="69">
        <v>0</v>
      </c>
      <c r="AD23" s="409">
        <v>31.093380345046924</v>
      </c>
      <c r="AE23" s="409">
        <v>9.4195837978572499</v>
      </c>
      <c r="AF23" s="69">
        <v>39.275264406204244</v>
      </c>
      <c r="AG23" s="68">
        <v>29.578073075963985</v>
      </c>
      <c r="AH23" s="68">
        <v>9.2745754653392538</v>
      </c>
      <c r="AI23" s="68">
        <v>0.76128846260044036</v>
      </c>
      <c r="AJ23" s="69">
        <v>234.78625311851502</v>
      </c>
      <c r="AK23" s="69">
        <v>1018.922783724467</v>
      </c>
      <c r="AL23" s="69">
        <v>3087.7665845235188</v>
      </c>
      <c r="AM23" s="69">
        <v>465.32405090332031</v>
      </c>
      <c r="AN23" s="69">
        <v>7179.980712890625</v>
      </c>
      <c r="AO23" s="69">
        <v>2613.6990784962973</v>
      </c>
      <c r="AP23" s="69">
        <v>620.54995083808899</v>
      </c>
      <c r="AQ23" s="69">
        <v>5414.4899824778249</v>
      </c>
      <c r="AR23" s="69">
        <v>430.17253484725956</v>
      </c>
      <c r="AS23" s="69">
        <v>833.95515871047974</v>
      </c>
    </row>
    <row r="24" spans="1:45" x14ac:dyDescent="0.25">
      <c r="A24" s="11">
        <v>43694</v>
      </c>
      <c r="B24" s="59"/>
      <c r="C24" s="60">
        <v>99.924924480915266</v>
      </c>
      <c r="D24" s="60">
        <v>1196.1258494059225</v>
      </c>
      <c r="E24" s="60">
        <v>25.194508111476939</v>
      </c>
      <c r="F24" s="60">
        <v>0</v>
      </c>
      <c r="G24" s="60">
        <v>2036.9672969818084</v>
      </c>
      <c r="H24" s="61">
        <v>37.873590014378252</v>
      </c>
      <c r="I24" s="59">
        <v>285.8363494873052</v>
      </c>
      <c r="J24" s="60">
        <v>1003.1391976674395</v>
      </c>
      <c r="K24" s="60">
        <v>55.112148346503403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696.62496305250932</v>
      </c>
      <c r="V24" s="62">
        <v>200.28287428541199</v>
      </c>
      <c r="W24" s="62">
        <v>124.19550697821923</v>
      </c>
      <c r="X24" s="62">
        <v>35.70677829565053</v>
      </c>
      <c r="Y24" s="66">
        <v>642.07864589462656</v>
      </c>
      <c r="Z24" s="66">
        <v>184.60055774281491</v>
      </c>
      <c r="AA24" s="67">
        <v>0</v>
      </c>
      <c r="AB24" s="68">
        <v>200.44930921130654</v>
      </c>
      <c r="AC24" s="69">
        <v>0</v>
      </c>
      <c r="AD24" s="409">
        <v>31.538780073645519</v>
      </c>
      <c r="AE24" s="409">
        <v>9.4256255475823973</v>
      </c>
      <c r="AF24" s="69">
        <v>39.291709929704673</v>
      </c>
      <c r="AG24" s="68">
        <v>30.219317620742192</v>
      </c>
      <c r="AH24" s="68">
        <v>8.6881925182601218</v>
      </c>
      <c r="AI24" s="68">
        <v>0.77669626025360183</v>
      </c>
      <c r="AJ24" s="69">
        <v>244.84910990397134</v>
      </c>
      <c r="AK24" s="69">
        <v>1024.0039004643759</v>
      </c>
      <c r="AL24" s="69">
        <v>3028.8168364206949</v>
      </c>
      <c r="AM24" s="69">
        <v>465.32405090332031</v>
      </c>
      <c r="AN24" s="69">
        <v>7179.980712890625</v>
      </c>
      <c r="AO24" s="69">
        <v>2583.7062956492109</v>
      </c>
      <c r="AP24" s="69">
        <v>609.63683134714756</v>
      </c>
      <c r="AQ24" s="69">
        <v>5567.8205130259203</v>
      </c>
      <c r="AR24" s="69">
        <v>445.31996609369912</v>
      </c>
      <c r="AS24" s="69">
        <v>826.07720572153698</v>
      </c>
    </row>
    <row r="25" spans="1:45" x14ac:dyDescent="0.25">
      <c r="A25" s="11">
        <v>43695</v>
      </c>
      <c r="B25" s="59"/>
      <c r="C25" s="60">
        <v>99.810883883635199</v>
      </c>
      <c r="D25" s="60">
        <v>1195.1794436136865</v>
      </c>
      <c r="E25" s="60">
        <v>25.340121074517644</v>
      </c>
      <c r="F25" s="60">
        <v>0</v>
      </c>
      <c r="G25" s="60">
        <v>2141.7880582173639</v>
      </c>
      <c r="H25" s="61">
        <v>37.914843342701595</v>
      </c>
      <c r="I25" s="59">
        <v>266.62268241246517</v>
      </c>
      <c r="J25" s="60">
        <v>935.52610747019446</v>
      </c>
      <c r="K25" s="60">
        <v>51.31800351540258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637.58157060800761</v>
      </c>
      <c r="V25" s="62">
        <v>209.01138864763374</v>
      </c>
      <c r="W25" s="62">
        <v>114.90761837183383</v>
      </c>
      <c r="X25" s="62">
        <v>37.668906990499046</v>
      </c>
      <c r="Y25" s="66">
        <v>609.96619177691434</v>
      </c>
      <c r="Z25" s="66">
        <v>199.95854122606681</v>
      </c>
      <c r="AA25" s="67">
        <v>0</v>
      </c>
      <c r="AB25" s="68">
        <v>189.20349821514293</v>
      </c>
      <c r="AC25" s="69">
        <v>0</v>
      </c>
      <c r="AD25" s="409">
        <v>29.413193132877439</v>
      </c>
      <c r="AE25" s="409">
        <v>9.4185014268208747</v>
      </c>
      <c r="AF25" s="69">
        <v>38.863002755906862</v>
      </c>
      <c r="AG25" s="68">
        <v>28.982027933178824</v>
      </c>
      <c r="AH25" s="68">
        <v>9.5008610401985383</v>
      </c>
      <c r="AI25" s="68">
        <v>0.75311466229130353</v>
      </c>
      <c r="AJ25" s="69">
        <v>247.80691081682841</v>
      </c>
      <c r="AK25" s="69">
        <v>1021.5816743214924</v>
      </c>
      <c r="AL25" s="69">
        <v>2939.5782501220701</v>
      </c>
      <c r="AM25" s="69">
        <v>465.32405090332031</v>
      </c>
      <c r="AN25" s="69">
        <v>7179.980712890625</v>
      </c>
      <c r="AO25" s="69">
        <v>2586.5652421315513</v>
      </c>
      <c r="AP25" s="69">
        <v>604.33902160326647</v>
      </c>
      <c r="AQ25" s="69">
        <v>5303.2781440734852</v>
      </c>
      <c r="AR25" s="69">
        <v>458.79880151748665</v>
      </c>
      <c r="AS25" s="69">
        <v>736.23515892028809</v>
      </c>
    </row>
    <row r="26" spans="1:45" x14ac:dyDescent="0.25">
      <c r="A26" s="11">
        <v>43696</v>
      </c>
      <c r="B26" s="59"/>
      <c r="C26" s="60">
        <v>99.397421022256566</v>
      </c>
      <c r="D26" s="60">
        <v>1196.0459920883156</v>
      </c>
      <c r="E26" s="60">
        <v>25.389256139596309</v>
      </c>
      <c r="F26" s="60">
        <v>0</v>
      </c>
      <c r="G26" s="60">
        <v>1976.017915598555</v>
      </c>
      <c r="H26" s="61">
        <v>37.905836017926489</v>
      </c>
      <c r="I26" s="59">
        <v>298.24457446734135</v>
      </c>
      <c r="J26" s="60">
        <v>1011.9085038503018</v>
      </c>
      <c r="K26" s="60">
        <v>55.618208370605942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683.48895197862203</v>
      </c>
      <c r="V26" s="62">
        <v>196.34844913595015</v>
      </c>
      <c r="W26" s="62">
        <v>126.45837415340745</v>
      </c>
      <c r="X26" s="62">
        <v>36.328174103466559</v>
      </c>
      <c r="Y26" s="66">
        <v>649.5284433979698</v>
      </c>
      <c r="Z26" s="66">
        <v>186.59248574784294</v>
      </c>
      <c r="AA26" s="67">
        <v>0</v>
      </c>
      <c r="AB26" s="68">
        <v>201.4125915103474</v>
      </c>
      <c r="AC26" s="69">
        <v>0</v>
      </c>
      <c r="AD26" s="409">
        <v>31.814791900037463</v>
      </c>
      <c r="AE26" s="409">
        <v>9.4249556108950507</v>
      </c>
      <c r="AF26" s="69">
        <v>40.254604355494216</v>
      </c>
      <c r="AG26" s="68">
        <v>30.987051532862004</v>
      </c>
      <c r="AH26" s="68">
        <v>8.9017671670624487</v>
      </c>
      <c r="AI26" s="68">
        <v>0.77683552792002564</v>
      </c>
      <c r="AJ26" s="69">
        <v>233.94505227406819</v>
      </c>
      <c r="AK26" s="69">
        <v>1030.3821622848509</v>
      </c>
      <c r="AL26" s="69">
        <v>2831.2959485371907</v>
      </c>
      <c r="AM26" s="69">
        <v>465.32405090332031</v>
      </c>
      <c r="AN26" s="69">
        <v>7179.980712890625</v>
      </c>
      <c r="AO26" s="69">
        <v>2586.3329030354816</v>
      </c>
      <c r="AP26" s="69">
        <v>622.92748131752012</v>
      </c>
      <c r="AQ26" s="69">
        <v>5603.6736392974863</v>
      </c>
      <c r="AR26" s="69">
        <v>473.70859902699789</v>
      </c>
      <c r="AS26" s="69">
        <v>914.45685917536434</v>
      </c>
    </row>
    <row r="27" spans="1:45" x14ac:dyDescent="0.25">
      <c r="A27" s="11">
        <v>43697</v>
      </c>
      <c r="B27" s="59"/>
      <c r="C27" s="60">
        <v>99.745711696148007</v>
      </c>
      <c r="D27" s="60">
        <v>1195.182895596821</v>
      </c>
      <c r="E27" s="60">
        <v>25.41130624810857</v>
      </c>
      <c r="F27" s="60">
        <v>0</v>
      </c>
      <c r="G27" s="60">
        <v>1948.5228092193593</v>
      </c>
      <c r="H27" s="61">
        <v>37.805779214700102</v>
      </c>
      <c r="I27" s="59">
        <v>289.1803388118737</v>
      </c>
      <c r="J27" s="60">
        <v>971.15033715565926</v>
      </c>
      <c r="K27" s="60">
        <v>53.343681825200761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660.62089178237022</v>
      </c>
      <c r="V27" s="62">
        <v>208.44316198621627</v>
      </c>
      <c r="W27" s="62">
        <v>123.68434310509922</v>
      </c>
      <c r="X27" s="62">
        <v>39.025643732605552</v>
      </c>
      <c r="Y27" s="62">
        <v>630.68073510082047</v>
      </c>
      <c r="Z27" s="62">
        <v>198.99625982690506</v>
      </c>
      <c r="AA27" s="72">
        <v>0</v>
      </c>
      <c r="AB27" s="69">
        <v>195.07575416565052</v>
      </c>
      <c r="AC27" s="69">
        <v>0</v>
      </c>
      <c r="AD27" s="409">
        <v>30.533143204911362</v>
      </c>
      <c r="AE27" s="409">
        <v>9.4188443864405773</v>
      </c>
      <c r="AF27" s="69">
        <v>39.777071579297321</v>
      </c>
      <c r="AG27" s="69">
        <v>29.928498841350017</v>
      </c>
      <c r="AH27" s="69">
        <v>9.4432238059569791</v>
      </c>
      <c r="AI27" s="69">
        <v>0.7601521302344415</v>
      </c>
      <c r="AJ27" s="69">
        <v>230.79295349121094</v>
      </c>
      <c r="AK27" s="69">
        <v>1032.4400475819905</v>
      </c>
      <c r="AL27" s="69">
        <v>3044.4202678680417</v>
      </c>
      <c r="AM27" s="69">
        <v>465.32405090332031</v>
      </c>
      <c r="AN27" s="69">
        <v>7179.980712890625</v>
      </c>
      <c r="AO27" s="69">
        <v>2611.199584070841</v>
      </c>
      <c r="AP27" s="69">
        <v>633.1556127707164</v>
      </c>
      <c r="AQ27" s="69">
        <v>5771.7374117533373</v>
      </c>
      <c r="AR27" s="69">
        <v>501.06900339126599</v>
      </c>
      <c r="AS27" s="69">
        <v>914.81179631551095</v>
      </c>
    </row>
    <row r="28" spans="1:45" x14ac:dyDescent="0.25">
      <c r="A28" s="11">
        <v>43698</v>
      </c>
      <c r="B28" s="59"/>
      <c r="C28" s="60">
        <v>99.28052585919751</v>
      </c>
      <c r="D28" s="60">
        <v>1195.1551764806104</v>
      </c>
      <c r="E28" s="60">
        <v>25.333384605248767</v>
      </c>
      <c r="F28" s="60">
        <v>0</v>
      </c>
      <c r="G28" s="60">
        <v>1906.6322835286419</v>
      </c>
      <c r="H28" s="61">
        <v>37.814803886413543</v>
      </c>
      <c r="I28" s="59">
        <v>291.34174984296175</v>
      </c>
      <c r="J28" s="60">
        <v>878.83127024968474</v>
      </c>
      <c r="K28" s="60">
        <v>48.297148676713313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619.13908454419379</v>
      </c>
      <c r="V28" s="62">
        <v>217.22426130134508</v>
      </c>
      <c r="W28" s="62">
        <v>112.73292934830488</v>
      </c>
      <c r="X28" s="62">
        <v>39.552223261838492</v>
      </c>
      <c r="Y28" s="66">
        <v>545.72345933077202</v>
      </c>
      <c r="Z28" s="66">
        <v>191.46647059959585</v>
      </c>
      <c r="AA28" s="67">
        <v>0</v>
      </c>
      <c r="AB28" s="68">
        <v>180.55505854288631</v>
      </c>
      <c r="AC28" s="69">
        <v>0</v>
      </c>
      <c r="AD28" s="409">
        <v>27.651988841704089</v>
      </c>
      <c r="AE28" s="409">
        <v>9.4189495257119606</v>
      </c>
      <c r="AF28" s="69">
        <v>36.792653975221768</v>
      </c>
      <c r="AG28" s="68">
        <v>26.983418130558817</v>
      </c>
      <c r="AH28" s="68">
        <v>9.467102331475532</v>
      </c>
      <c r="AI28" s="68">
        <v>0.7402752495307674</v>
      </c>
      <c r="AJ28" s="69">
        <v>234.67286839485169</v>
      </c>
      <c r="AK28" s="69">
        <v>1029.8574176788329</v>
      </c>
      <c r="AL28" s="69">
        <v>3055.4375437418621</v>
      </c>
      <c r="AM28" s="69">
        <v>465.32405090332031</v>
      </c>
      <c r="AN28" s="69">
        <v>7179.980712890625</v>
      </c>
      <c r="AO28" s="69">
        <v>2602.4815741221109</v>
      </c>
      <c r="AP28" s="69">
        <v>626.20210024515768</v>
      </c>
      <c r="AQ28" s="69">
        <v>4844.4999451955155</v>
      </c>
      <c r="AR28" s="69">
        <v>447.14238729476926</v>
      </c>
      <c r="AS28" s="69">
        <v>841.19644804000848</v>
      </c>
    </row>
    <row r="29" spans="1:45" x14ac:dyDescent="0.25">
      <c r="A29" s="11">
        <v>43699</v>
      </c>
      <c r="B29" s="59"/>
      <c r="C29" s="60">
        <v>100.38818504810327</v>
      </c>
      <c r="D29" s="60">
        <v>1200.0033015569047</v>
      </c>
      <c r="E29" s="60">
        <v>25.241795472304087</v>
      </c>
      <c r="F29" s="60">
        <v>0</v>
      </c>
      <c r="G29" s="60">
        <v>1917.0718547821023</v>
      </c>
      <c r="H29" s="61">
        <v>37.772747852404876</v>
      </c>
      <c r="I29" s="59">
        <v>296.9323785781861</v>
      </c>
      <c r="J29" s="60">
        <v>828.42894137700443</v>
      </c>
      <c r="K29" s="60">
        <v>45.462928704420762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567.79434869198508</v>
      </c>
      <c r="V29" s="62">
        <v>203.37252290868656</v>
      </c>
      <c r="W29" s="62">
        <v>103.35484876817166</v>
      </c>
      <c r="X29" s="62">
        <v>37.019629373295196</v>
      </c>
      <c r="Y29" s="66">
        <v>511.37365603954674</v>
      </c>
      <c r="Z29" s="66">
        <v>183.16376486906299</v>
      </c>
      <c r="AA29" s="67">
        <v>0</v>
      </c>
      <c r="AB29" s="68">
        <v>172.46122086842459</v>
      </c>
      <c r="AC29" s="69">
        <v>0</v>
      </c>
      <c r="AD29" s="409">
        <v>26.044534537153147</v>
      </c>
      <c r="AE29" s="409">
        <v>9.4180020119704064</v>
      </c>
      <c r="AF29" s="69">
        <v>34.658880986107725</v>
      </c>
      <c r="AG29" s="68">
        <v>25.274092722968337</v>
      </c>
      <c r="AH29" s="68">
        <v>9.0526719984782833</v>
      </c>
      <c r="AI29" s="68">
        <v>0.73627948710172597</v>
      </c>
      <c r="AJ29" s="69">
        <v>239.12476215362548</v>
      </c>
      <c r="AK29" s="69">
        <v>1031.3970884323123</v>
      </c>
      <c r="AL29" s="69">
        <v>3118.3482627868652</v>
      </c>
      <c r="AM29" s="69">
        <v>465.32405090332031</v>
      </c>
      <c r="AN29" s="69">
        <v>7179.980712890625</v>
      </c>
      <c r="AO29" s="69">
        <v>2600.7312648773186</v>
      </c>
      <c r="AP29" s="69">
        <v>578.93028074900303</v>
      </c>
      <c r="AQ29" s="69">
        <v>4605.0462631225582</v>
      </c>
      <c r="AR29" s="69">
        <v>435.9115571975708</v>
      </c>
      <c r="AS29" s="69">
        <v>880.05340077082315</v>
      </c>
    </row>
    <row r="30" spans="1:45" x14ac:dyDescent="0.25">
      <c r="A30" s="11">
        <v>43700</v>
      </c>
      <c r="B30" s="59"/>
      <c r="C30" s="60">
        <v>100.10453000068641</v>
      </c>
      <c r="D30" s="60">
        <v>1207.6047922134387</v>
      </c>
      <c r="E30" s="60">
        <v>25.209186774492284</v>
      </c>
      <c r="F30" s="60">
        <v>0</v>
      </c>
      <c r="G30" s="60">
        <v>2032.2486756642641</v>
      </c>
      <c r="H30" s="61">
        <v>37.862032214800557</v>
      </c>
      <c r="I30" s="59">
        <v>326.67220567067523</v>
      </c>
      <c r="J30" s="60">
        <v>891.75649935404385</v>
      </c>
      <c r="K30" s="60">
        <v>48.959478557109847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599.32820858325636</v>
      </c>
      <c r="V30" s="62">
        <v>206.68136651879797</v>
      </c>
      <c r="W30" s="62">
        <v>111.1930378986534</v>
      </c>
      <c r="X30" s="62">
        <v>38.345481976554872</v>
      </c>
      <c r="Y30" s="66">
        <v>537.37096506251203</v>
      </c>
      <c r="Z30" s="66">
        <v>185.31509746419113</v>
      </c>
      <c r="AA30" s="67">
        <v>0</v>
      </c>
      <c r="AB30" s="68">
        <v>182.33261486689014</v>
      </c>
      <c r="AC30" s="69">
        <v>0</v>
      </c>
      <c r="AD30" s="409">
        <v>28.042026662292727</v>
      </c>
      <c r="AE30" s="409">
        <v>9.4186738149334648</v>
      </c>
      <c r="AF30" s="69">
        <v>36.973239598009293</v>
      </c>
      <c r="AG30" s="68">
        <v>27.239185567638525</v>
      </c>
      <c r="AH30" s="68">
        <v>9.3935710272789166</v>
      </c>
      <c r="AI30" s="68">
        <v>0.74357455183751553</v>
      </c>
      <c r="AJ30" s="69">
        <v>238.09410753250123</v>
      </c>
      <c r="AK30" s="69">
        <v>1027.5123508453371</v>
      </c>
      <c r="AL30" s="69">
        <v>3013.8307296752932</v>
      </c>
      <c r="AM30" s="69">
        <v>465.32405090332031</v>
      </c>
      <c r="AN30" s="69">
        <v>7179.980712890625</v>
      </c>
      <c r="AO30" s="69">
        <v>2606.9996995290121</v>
      </c>
      <c r="AP30" s="69">
        <v>539.08541731834407</v>
      </c>
      <c r="AQ30" s="69">
        <v>4891.5295907338459</v>
      </c>
      <c r="AR30" s="69">
        <v>436.66660257975263</v>
      </c>
      <c r="AS30" s="69">
        <v>843.18505001068104</v>
      </c>
    </row>
    <row r="31" spans="1:45" x14ac:dyDescent="0.25">
      <c r="A31" s="11">
        <v>43701</v>
      </c>
      <c r="B31" s="59"/>
      <c r="C31" s="60">
        <v>99.980643085638775</v>
      </c>
      <c r="D31" s="60">
        <v>1207.5931044896454</v>
      </c>
      <c r="E31" s="60">
        <v>25.212031535307599</v>
      </c>
      <c r="F31" s="60">
        <v>0</v>
      </c>
      <c r="G31" s="60">
        <v>2045.191054153438</v>
      </c>
      <c r="H31" s="61">
        <v>37.782771313190487</v>
      </c>
      <c r="I31" s="59">
        <v>347.22092844645181</v>
      </c>
      <c r="J31" s="60">
        <v>980.28083216349296</v>
      </c>
      <c r="K31" s="60">
        <v>53.877301403879976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658.94055341239198</v>
      </c>
      <c r="V31" s="62">
        <v>203.80589667272326</v>
      </c>
      <c r="W31" s="62">
        <v>124.81332082950837</v>
      </c>
      <c r="X31" s="62">
        <v>38.60392358100669</v>
      </c>
      <c r="Y31" s="66">
        <v>618.03373915504153</v>
      </c>
      <c r="Z31" s="66">
        <v>191.15369319766077</v>
      </c>
      <c r="AA31" s="67">
        <v>0</v>
      </c>
      <c r="AB31" s="68">
        <v>196.36488096449054</v>
      </c>
      <c r="AC31" s="69">
        <v>0</v>
      </c>
      <c r="AD31" s="409">
        <v>30.821652602895355</v>
      </c>
      <c r="AE31" s="409">
        <v>9.4191539007836269</v>
      </c>
      <c r="AF31" s="69">
        <v>39.822752273082777</v>
      </c>
      <c r="AG31" s="68">
        <v>30.106864153211696</v>
      </c>
      <c r="AH31" s="68">
        <v>9.3118512936766358</v>
      </c>
      <c r="AI31" s="68">
        <v>0.76377080815271214</v>
      </c>
      <c r="AJ31" s="69">
        <v>241.04380809466048</v>
      </c>
      <c r="AK31" s="69">
        <v>1030.4416521072387</v>
      </c>
      <c r="AL31" s="69">
        <v>2965.8635831197098</v>
      </c>
      <c r="AM31" s="69">
        <v>465.32405090332031</v>
      </c>
      <c r="AN31" s="69">
        <v>7179.980712890625</v>
      </c>
      <c r="AO31" s="69">
        <v>2561.0175103505458</v>
      </c>
      <c r="AP31" s="69">
        <v>512.42640566825867</v>
      </c>
      <c r="AQ31" s="69">
        <v>5416.9453128814703</v>
      </c>
      <c r="AR31" s="69">
        <v>426.07955729166662</v>
      </c>
      <c r="AS31" s="69">
        <v>734.77201833724973</v>
      </c>
    </row>
    <row r="32" spans="1:45" x14ac:dyDescent="0.25">
      <c r="A32" s="11">
        <v>43702</v>
      </c>
      <c r="B32" s="59"/>
      <c r="C32" s="60">
        <v>99.858895492554097</v>
      </c>
      <c r="D32" s="60">
        <v>1209.3600681940686</v>
      </c>
      <c r="E32" s="60">
        <v>25.173879486322484</v>
      </c>
      <c r="F32" s="60">
        <v>0</v>
      </c>
      <c r="G32" s="60">
        <v>2065.7549308776829</v>
      </c>
      <c r="H32" s="61">
        <v>37.902465403080008</v>
      </c>
      <c r="I32" s="59">
        <v>332.26146704355904</v>
      </c>
      <c r="J32" s="60">
        <v>939.82872244516943</v>
      </c>
      <c r="K32" s="60">
        <v>51.633558732271268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624.77794082819753</v>
      </c>
      <c r="V32" s="62">
        <v>197.37889006542846</v>
      </c>
      <c r="W32" s="62">
        <v>116.77766535896994</v>
      </c>
      <c r="X32" s="62">
        <v>36.892221166501933</v>
      </c>
      <c r="Y32" s="66">
        <v>609.65796624774725</v>
      </c>
      <c r="Z32" s="66">
        <v>192.60221085593088</v>
      </c>
      <c r="AA32" s="67">
        <v>0</v>
      </c>
      <c r="AB32" s="68">
        <v>189.82801717122044</v>
      </c>
      <c r="AC32" s="69">
        <v>0</v>
      </c>
      <c r="AD32" s="409">
        <v>29.548419791993187</v>
      </c>
      <c r="AE32" s="409">
        <v>9.4322800119153314</v>
      </c>
      <c r="AF32" s="69">
        <v>38.026961339844554</v>
      </c>
      <c r="AG32" s="68">
        <v>28.531703871767476</v>
      </c>
      <c r="AH32" s="68">
        <v>9.0136921838498889</v>
      </c>
      <c r="AI32" s="68">
        <v>0.75992550004006942</v>
      </c>
      <c r="AJ32" s="69">
        <v>242.83834075927734</v>
      </c>
      <c r="AK32" s="69">
        <v>1031.7274066289265</v>
      </c>
      <c r="AL32" s="69">
        <v>2975.78865776062</v>
      </c>
      <c r="AM32" s="69">
        <v>465.32405090332031</v>
      </c>
      <c r="AN32" s="69">
        <v>7179.980712890625</v>
      </c>
      <c r="AO32" s="69">
        <v>2577.4662968953453</v>
      </c>
      <c r="AP32" s="69">
        <v>512.91336426734927</v>
      </c>
      <c r="AQ32" s="69">
        <v>5252.2976224263512</v>
      </c>
      <c r="AR32" s="69">
        <v>460.80026316642767</v>
      </c>
      <c r="AS32" s="69">
        <v>815.09930308659875</v>
      </c>
    </row>
    <row r="33" spans="1:45" x14ac:dyDescent="0.25">
      <c r="A33" s="11">
        <v>43703</v>
      </c>
      <c r="B33" s="59"/>
      <c r="C33" s="60">
        <v>99.876091289520375</v>
      </c>
      <c r="D33" s="60">
        <v>1205.5202167510977</v>
      </c>
      <c r="E33" s="60">
        <v>24.969628691673304</v>
      </c>
      <c r="F33" s="60">
        <v>0</v>
      </c>
      <c r="G33" s="60">
        <v>2058.4577079772889</v>
      </c>
      <c r="H33" s="61">
        <v>37.753288614749913</v>
      </c>
      <c r="I33" s="59">
        <v>329.8136043389643</v>
      </c>
      <c r="J33" s="60">
        <v>925.91054280598939</v>
      </c>
      <c r="K33" s="60">
        <v>50.818654861052927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622.36799987310337</v>
      </c>
      <c r="V33" s="62">
        <v>206.73086029535739</v>
      </c>
      <c r="W33" s="62">
        <v>116.61341548427431</v>
      </c>
      <c r="X33" s="62">
        <v>38.735268699482226</v>
      </c>
      <c r="Y33" s="66">
        <v>602.84558797893351</v>
      </c>
      <c r="Z33" s="66">
        <v>200.24613581282463</v>
      </c>
      <c r="AA33" s="67">
        <v>0</v>
      </c>
      <c r="AB33" s="68">
        <v>187.22449542151301</v>
      </c>
      <c r="AC33" s="69">
        <v>0</v>
      </c>
      <c r="AD33" s="409">
        <v>29.112639553726524</v>
      </c>
      <c r="AE33" s="409">
        <v>9.4030540654040813</v>
      </c>
      <c r="AF33" s="69">
        <v>38.566421718067609</v>
      </c>
      <c r="AG33" s="68">
        <v>28.599628463835273</v>
      </c>
      <c r="AH33" s="68">
        <v>9.4998872012406856</v>
      </c>
      <c r="AI33" s="68">
        <v>0.75065595886435943</v>
      </c>
      <c r="AJ33" s="69">
        <v>233.84507268269857</v>
      </c>
      <c r="AK33" s="69">
        <v>1027.0482981999714</v>
      </c>
      <c r="AL33" s="69">
        <v>2874.550296401977</v>
      </c>
      <c r="AM33" s="69">
        <v>465.32405090332031</v>
      </c>
      <c r="AN33" s="69">
        <v>7179.980712890625</v>
      </c>
      <c r="AO33" s="69">
        <v>2579.3354681650794</v>
      </c>
      <c r="AP33" s="69">
        <v>517.67056309382122</v>
      </c>
      <c r="AQ33" s="69">
        <v>5089.4819976806648</v>
      </c>
      <c r="AR33" s="69">
        <v>482.05182873407995</v>
      </c>
      <c r="AS33" s="69">
        <v>776.01213493347166</v>
      </c>
    </row>
    <row r="34" spans="1:45" x14ac:dyDescent="0.25">
      <c r="A34" s="11">
        <v>43704</v>
      </c>
      <c r="B34" s="59"/>
      <c r="C34" s="60">
        <v>99.997372666995162</v>
      </c>
      <c r="D34" s="60">
        <v>1207.2005797068277</v>
      </c>
      <c r="E34" s="60">
        <v>25.042474483450263</v>
      </c>
      <c r="F34" s="60">
        <v>0</v>
      </c>
      <c r="G34" s="60">
        <v>1967.2265767415322</v>
      </c>
      <c r="H34" s="61">
        <v>37.821135683854415</v>
      </c>
      <c r="I34" s="59">
        <v>290.48658699989301</v>
      </c>
      <c r="J34" s="60">
        <v>815.33694311777788</v>
      </c>
      <c r="K34" s="60">
        <v>44.705599745114576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535.16302246543057</v>
      </c>
      <c r="V34" s="62">
        <v>200.99931986042481</v>
      </c>
      <c r="W34" s="62">
        <v>99.137316762443987</v>
      </c>
      <c r="X34" s="62">
        <v>37.234510617418287</v>
      </c>
      <c r="Y34" s="66">
        <v>522.21430157487953</v>
      </c>
      <c r="Z34" s="66">
        <v>196.13597171639015</v>
      </c>
      <c r="AA34" s="67">
        <v>0</v>
      </c>
      <c r="AB34" s="68">
        <v>170.60430552164783</v>
      </c>
      <c r="AC34" s="69">
        <v>0</v>
      </c>
      <c r="AD34" s="409">
        <v>25.635128624456833</v>
      </c>
      <c r="AE34" s="409">
        <v>9.4146693766774714</v>
      </c>
      <c r="AF34" s="69">
        <v>34.548711726400619</v>
      </c>
      <c r="AG34" s="68">
        <v>24.789643629528047</v>
      </c>
      <c r="AH34" s="68">
        <v>9.3106236790478398</v>
      </c>
      <c r="AI34" s="68">
        <v>0.72696332275652542</v>
      </c>
      <c r="AJ34" s="69">
        <v>239.07285811106365</v>
      </c>
      <c r="AK34" s="69">
        <v>1030.6741820017496</v>
      </c>
      <c r="AL34" s="69">
        <v>2945.9399501800531</v>
      </c>
      <c r="AM34" s="69">
        <v>465.32405090332031</v>
      </c>
      <c r="AN34" s="69">
        <v>7179.980712890625</v>
      </c>
      <c r="AO34" s="69">
        <v>2590.0955385843922</v>
      </c>
      <c r="AP34" s="69">
        <v>501.94642041524247</v>
      </c>
      <c r="AQ34" s="69">
        <v>4517.8920661926259</v>
      </c>
      <c r="AR34" s="69">
        <v>438.13806742032369</v>
      </c>
      <c r="AS34" s="69">
        <v>775.41012684504187</v>
      </c>
    </row>
    <row r="35" spans="1:45" x14ac:dyDescent="0.25">
      <c r="A35" s="11">
        <v>43705</v>
      </c>
      <c r="B35" s="59"/>
      <c r="C35" s="60">
        <v>99.319299713769666</v>
      </c>
      <c r="D35" s="60">
        <v>1207.4079311370867</v>
      </c>
      <c r="E35" s="60">
        <v>25.66689131855961</v>
      </c>
      <c r="F35" s="60">
        <v>0</v>
      </c>
      <c r="G35" s="60">
        <v>1860.5932921091724</v>
      </c>
      <c r="H35" s="61">
        <v>37.796487158536856</v>
      </c>
      <c r="I35" s="59">
        <v>304.78804812431343</v>
      </c>
      <c r="J35" s="60">
        <v>844.24215685526531</v>
      </c>
      <c r="K35" s="60">
        <v>46.290533176064514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559.41161595432231</v>
      </c>
      <c r="V35" s="62">
        <v>198.30724034857892</v>
      </c>
      <c r="W35" s="62">
        <v>101.43716802983229</v>
      </c>
      <c r="X35" s="62">
        <v>35.958718566211623</v>
      </c>
      <c r="Y35" s="66">
        <v>517.71061632922488</v>
      </c>
      <c r="Z35" s="66">
        <v>183.5245473912245</v>
      </c>
      <c r="AA35" s="67">
        <v>0</v>
      </c>
      <c r="AB35" s="68">
        <v>174.89386963314391</v>
      </c>
      <c r="AC35" s="69">
        <v>0</v>
      </c>
      <c r="AD35" s="409">
        <v>26.544743471375305</v>
      </c>
      <c r="AE35" s="409">
        <v>9.417763476370931</v>
      </c>
      <c r="AF35" s="69">
        <v>34.601791058646306</v>
      </c>
      <c r="AG35" s="68">
        <v>25.229602263327138</v>
      </c>
      <c r="AH35" s="68">
        <v>8.9437055957400613</v>
      </c>
      <c r="AI35" s="68">
        <v>0.73828387838179288</v>
      </c>
      <c r="AJ35" s="69">
        <v>239.85457916259767</v>
      </c>
      <c r="AK35" s="69">
        <v>1027.422285334269</v>
      </c>
      <c r="AL35" s="69">
        <v>3013.0756102244059</v>
      </c>
      <c r="AM35" s="69">
        <v>465.32405090332031</v>
      </c>
      <c r="AN35" s="69">
        <v>7179.980712890625</v>
      </c>
      <c r="AO35" s="69">
        <v>2590.8271442413334</v>
      </c>
      <c r="AP35" s="69">
        <v>505.0013741016387</v>
      </c>
      <c r="AQ35" s="69">
        <v>4613.5469982147215</v>
      </c>
      <c r="AR35" s="69">
        <v>407.06871110598246</v>
      </c>
      <c r="AS35" s="69">
        <v>853.29018430709846</v>
      </c>
    </row>
    <row r="36" spans="1:45" x14ac:dyDescent="0.25">
      <c r="A36" s="11">
        <v>43706</v>
      </c>
      <c r="B36" s="59"/>
      <c r="C36" s="60">
        <v>99.908050624529125</v>
      </c>
      <c r="D36" s="60">
        <v>1206.9437920252467</v>
      </c>
      <c r="E36" s="60">
        <v>25.133565992116981</v>
      </c>
      <c r="F36" s="60">
        <v>0</v>
      </c>
      <c r="G36" s="60">
        <v>2010.9656786600733</v>
      </c>
      <c r="H36" s="61">
        <v>37.822526508569702</v>
      </c>
      <c r="I36" s="59">
        <v>281.14702990849798</v>
      </c>
      <c r="J36" s="60">
        <v>819.02072483698544</v>
      </c>
      <c r="K36" s="60">
        <v>44.920430561900076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550.11223555940717</v>
      </c>
      <c r="V36" s="62">
        <v>206.86054326953195</v>
      </c>
      <c r="W36" s="62">
        <v>99.143088350203755</v>
      </c>
      <c r="X36" s="62">
        <v>37.28110700298646</v>
      </c>
      <c r="Y36" s="66">
        <v>529.02715868411076</v>
      </c>
      <c r="Z36" s="66">
        <v>198.93185131293825</v>
      </c>
      <c r="AA36" s="67">
        <v>0</v>
      </c>
      <c r="AB36" s="68">
        <v>171.49682142469442</v>
      </c>
      <c r="AC36" s="69">
        <v>0</v>
      </c>
      <c r="AD36" s="409">
        <v>25.748317227761973</v>
      </c>
      <c r="AE36" s="409">
        <v>9.4131812774339725</v>
      </c>
      <c r="AF36" s="69">
        <v>34.854302573204023</v>
      </c>
      <c r="AG36" s="68">
        <v>25.012625817537515</v>
      </c>
      <c r="AH36" s="68">
        <v>9.4055813173320573</v>
      </c>
      <c r="AI36" s="68">
        <v>0.72672657583598743</v>
      </c>
      <c r="AJ36" s="69">
        <v>238.81018171310424</v>
      </c>
      <c r="AK36" s="69">
        <v>1032.8304819107057</v>
      </c>
      <c r="AL36" s="69">
        <v>3108.9768127441407</v>
      </c>
      <c r="AM36" s="69">
        <v>465.32405090332031</v>
      </c>
      <c r="AN36" s="69">
        <v>7179.980712890625</v>
      </c>
      <c r="AO36" s="69">
        <v>2647.2271724700931</v>
      </c>
      <c r="AP36" s="69">
        <v>522.53719464937853</v>
      </c>
      <c r="AQ36" s="69">
        <v>4772.1511589050288</v>
      </c>
      <c r="AR36" s="69">
        <v>431.93493695259093</v>
      </c>
      <c r="AS36" s="69">
        <v>920.77187725702925</v>
      </c>
    </row>
    <row r="37" spans="1:45" x14ac:dyDescent="0.25">
      <c r="A37" s="11">
        <v>43707</v>
      </c>
      <c r="B37" s="59"/>
      <c r="C37" s="60">
        <v>99.934269785881483</v>
      </c>
      <c r="D37" s="60">
        <v>1208.2726893107076</v>
      </c>
      <c r="E37" s="60">
        <v>25.216055317719768</v>
      </c>
      <c r="F37" s="60">
        <v>0</v>
      </c>
      <c r="G37" s="60">
        <v>2187.9721747080453</v>
      </c>
      <c r="H37" s="61">
        <v>37.856664154926833</v>
      </c>
      <c r="I37" s="59">
        <v>230.9081745068232</v>
      </c>
      <c r="J37" s="60">
        <v>661.6867250124601</v>
      </c>
      <c r="K37" s="60">
        <v>36.154906292756401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455.68106127616096</v>
      </c>
      <c r="V37" s="62">
        <v>204.84108355009033</v>
      </c>
      <c r="W37" s="62">
        <v>75.497382537796113</v>
      </c>
      <c r="X37" s="62">
        <v>33.938135591870555</v>
      </c>
      <c r="Y37" s="66">
        <v>412.40197593892407</v>
      </c>
      <c r="Z37" s="66">
        <v>185.38595256284117</v>
      </c>
      <c r="AA37" s="67">
        <v>0</v>
      </c>
      <c r="AB37" s="68">
        <v>146.74057033326895</v>
      </c>
      <c r="AC37" s="69">
        <v>0</v>
      </c>
      <c r="AD37" s="409">
        <v>20.80135454976169</v>
      </c>
      <c r="AE37" s="409">
        <v>9.4240868913404903</v>
      </c>
      <c r="AF37" s="69">
        <v>29.059991546471924</v>
      </c>
      <c r="AG37" s="68">
        <v>19.769301741233125</v>
      </c>
      <c r="AH37" s="68">
        <v>8.8868411128648646</v>
      </c>
      <c r="AI37" s="68">
        <v>0.68988006661915435</v>
      </c>
      <c r="AJ37" s="69">
        <v>237.0984920978546</v>
      </c>
      <c r="AK37" s="69">
        <v>1029.7174922943118</v>
      </c>
      <c r="AL37" s="69">
        <v>2984.5236105600993</v>
      </c>
      <c r="AM37" s="69">
        <v>465.32405090332031</v>
      </c>
      <c r="AN37" s="69">
        <v>7179.980712890625</v>
      </c>
      <c r="AO37" s="69">
        <v>2661.7085620880125</v>
      </c>
      <c r="AP37" s="69">
        <v>520.34604314168291</v>
      </c>
      <c r="AQ37" s="69">
        <v>3886.7225362141926</v>
      </c>
      <c r="AR37" s="69">
        <v>447.93244282404578</v>
      </c>
      <c r="AS37" s="69">
        <v>864.45507469177244</v>
      </c>
    </row>
    <row r="38" spans="1:45" ht="15.75" thickBot="1" x14ac:dyDescent="0.3">
      <c r="A38" s="11">
        <v>43708</v>
      </c>
      <c r="B38" s="73"/>
      <c r="C38" s="74">
        <v>99.699377449352696</v>
      </c>
      <c r="D38" s="74">
        <v>1207.0305442810065</v>
      </c>
      <c r="E38" s="74">
        <v>25.517078179121082</v>
      </c>
      <c r="F38" s="74">
        <v>0</v>
      </c>
      <c r="G38" s="74">
        <v>2211.6025910695412</v>
      </c>
      <c r="H38" s="75">
        <v>37.775904198487652</v>
      </c>
      <c r="I38" s="76">
        <v>179.99175882339478</v>
      </c>
      <c r="J38" s="74">
        <v>504.99569819768288</v>
      </c>
      <c r="K38" s="74">
        <v>27.541130195061363</v>
      </c>
      <c r="L38" s="74">
        <v>0</v>
      </c>
      <c r="M38" s="60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367.6961094774349</v>
      </c>
      <c r="V38" s="80">
        <v>225.41504626563156</v>
      </c>
      <c r="W38" s="81">
        <v>60.605790161807583</v>
      </c>
      <c r="X38" s="81">
        <v>37.154205990116417</v>
      </c>
      <c r="Y38" s="80">
        <v>284.27336912530114</v>
      </c>
      <c r="Z38" s="80">
        <v>174.27297434431844</v>
      </c>
      <c r="AA38" s="82">
        <v>0</v>
      </c>
      <c r="AB38" s="83">
        <v>122.25278078185437</v>
      </c>
      <c r="AC38" s="84">
        <v>0</v>
      </c>
      <c r="AD38" s="409">
        <v>15.881644538007821</v>
      </c>
      <c r="AE38" s="409">
        <v>9.4145322716396738</v>
      </c>
      <c r="AF38" s="85">
        <v>24.857725381188963</v>
      </c>
      <c r="AG38" s="83">
        <v>15.253415995231007</v>
      </c>
      <c r="AH38" s="83">
        <v>9.3510629665363112</v>
      </c>
      <c r="AI38" s="83">
        <v>0.61994468645050993</v>
      </c>
      <c r="AJ38" s="84">
        <v>242.24821228981017</v>
      </c>
      <c r="AK38" s="84">
        <v>1031.2303851445515</v>
      </c>
      <c r="AL38" s="84">
        <v>3057.2050389607748</v>
      </c>
      <c r="AM38" s="84">
        <v>465.32405090332031</v>
      </c>
      <c r="AN38" s="84">
        <v>7179.980712890625</v>
      </c>
      <c r="AO38" s="84">
        <v>2645.9289632161458</v>
      </c>
      <c r="AP38" s="84">
        <v>524.46748504638663</v>
      </c>
      <c r="AQ38" s="84">
        <v>3278.663551330566</v>
      </c>
      <c r="AR38" s="84">
        <v>458.49018160502112</v>
      </c>
      <c r="AS38" s="84">
        <v>801.5047792116801</v>
      </c>
    </row>
    <row r="39" spans="1:45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3064.8516695499429</v>
      </c>
      <c r="D39" s="30">
        <f t="shared" si="0"/>
        <v>36828.964628855363</v>
      </c>
      <c r="E39" s="30">
        <f t="shared" si="0"/>
        <v>773.96308213571751</v>
      </c>
      <c r="F39" s="30">
        <f t="shared" si="0"/>
        <v>0</v>
      </c>
      <c r="G39" s="30">
        <f t="shared" si="0"/>
        <v>61728.653088696738</v>
      </c>
      <c r="H39" s="31">
        <f t="shared" si="0"/>
        <v>1164.0170796295008</v>
      </c>
      <c r="I39" s="29">
        <f t="shared" si="0"/>
        <v>8639.2147720734265</v>
      </c>
      <c r="J39" s="30">
        <f t="shared" si="0"/>
        <v>25413.376969909667</v>
      </c>
      <c r="K39" s="30">
        <f t="shared" si="0"/>
        <v>1393.7751295834773</v>
      </c>
      <c r="L39" s="30">
        <f t="shared" si="0"/>
        <v>4.1542053222656258E-4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18209.144095272251</v>
      </c>
      <c r="V39" s="262">
        <f t="shared" si="0"/>
        <v>6681.2150788839745</v>
      </c>
      <c r="W39" s="262">
        <f t="shared" si="0"/>
        <v>3135.4959848726407</v>
      </c>
      <c r="X39" s="262">
        <f t="shared" si="0"/>
        <v>1144.1556101397073</v>
      </c>
      <c r="Y39" s="262">
        <f t="shared" si="0"/>
        <v>15307.95123120389</v>
      </c>
      <c r="Z39" s="262">
        <f t="shared" si="0"/>
        <v>5565.2948185022524</v>
      </c>
      <c r="AA39" s="270">
        <f t="shared" si="0"/>
        <v>0</v>
      </c>
      <c r="AB39" s="273">
        <f t="shared" si="0"/>
        <v>5337.1725860860524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7469.7732770601906</v>
      </c>
      <c r="AK39" s="273">
        <f t="shared" si="1"/>
        <v>31907.440641784662</v>
      </c>
      <c r="AL39" s="273">
        <f t="shared" si="1"/>
        <v>93728.710212326056</v>
      </c>
      <c r="AM39" s="273">
        <f t="shared" si="1"/>
        <v>15022.123867607117</v>
      </c>
      <c r="AN39" s="273">
        <f t="shared" si="1"/>
        <v>186805.43086420695</v>
      </c>
      <c r="AO39" s="273">
        <f t="shared" si="1"/>
        <v>80956.597402572661</v>
      </c>
      <c r="AP39" s="273">
        <f t="shared" si="1"/>
        <v>18326.946702734629</v>
      </c>
      <c r="AQ39" s="273">
        <f t="shared" si="1"/>
        <v>143382.26775550842</v>
      </c>
      <c r="AR39" s="273">
        <f t="shared" si="1"/>
        <v>14111.397721449532</v>
      </c>
      <c r="AS39" s="273">
        <f t="shared" si="1"/>
        <v>25964.976588948572</v>
      </c>
    </row>
    <row r="40" spans="1:45" ht="15.75" thickBot="1" x14ac:dyDescent="0.3">
      <c r="A40" s="47" t="s">
        <v>172</v>
      </c>
      <c r="B40" s="32">
        <f>Projection!$AC$30</f>
        <v>0.82128400199999985</v>
      </c>
      <c r="C40" s="33">
        <f>Projection!$AC$28</f>
        <v>1.4863548</v>
      </c>
      <c r="D40" s="33">
        <f>Projection!$AC$31</f>
        <v>3.0824639999999999</v>
      </c>
      <c r="E40" s="33">
        <f>Projection!$AC$26</f>
        <v>4.3368000000000002</v>
      </c>
      <c r="F40" s="33">
        <f>Projection!$AC$23</f>
        <v>0</v>
      </c>
      <c r="G40" s="33">
        <f>Projection!$AC$24</f>
        <v>5.9975000000000001E-2</v>
      </c>
      <c r="H40" s="34">
        <f>Projection!$AC$29</f>
        <v>3.7390305000000001</v>
      </c>
      <c r="I40" s="32">
        <f>Projection!$AC$30</f>
        <v>0.82128400199999985</v>
      </c>
      <c r="J40" s="33">
        <f>Projection!$AC$28</f>
        <v>1.4863548</v>
      </c>
      <c r="K40" s="33">
        <f>Projection!$AC$26</f>
        <v>4.3368000000000002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Projection!$AC$28</f>
        <v>1.4863548</v>
      </c>
      <c r="T40" s="38">
        <f>Projection!$AC$28</f>
        <v>1.4863548</v>
      </c>
      <c r="U40" s="26">
        <f>Projection!$AC$27</f>
        <v>0.29960000000000003</v>
      </c>
      <c r="V40" s="27">
        <f>Projection!$AC$27</f>
        <v>0.29960000000000003</v>
      </c>
      <c r="W40" s="27">
        <f>Projection!$AC$22</f>
        <v>0.74349432000000004</v>
      </c>
      <c r="X40" s="27">
        <f>Projection!$AC$22</f>
        <v>0.74349432000000004</v>
      </c>
      <c r="Y40" s="27">
        <f>Projection!$AC$31</f>
        <v>3.0824639999999999</v>
      </c>
      <c r="Z40" s="27">
        <f>Projection!$AC$31</f>
        <v>3.0824639999999999</v>
      </c>
      <c r="AA40" s="28">
        <v>0</v>
      </c>
      <c r="AB40" s="41">
        <f>Projection!$AC$27</f>
        <v>0.29960000000000003</v>
      </c>
      <c r="AC40" s="41">
        <f>Projection!$AC$30</f>
        <v>0.82128400199999985</v>
      </c>
      <c r="AD40" s="400">
        <f>SUM(AD8:AD38)</f>
        <v>799.09862952232186</v>
      </c>
      <c r="AE40" s="400">
        <f>SUM(AE8:AE38)</f>
        <v>289.30963315429165</v>
      </c>
      <c r="AF40" s="43">
        <f>SUM(AF8:AF38)</f>
        <v>1067.4480503327316</v>
      </c>
      <c r="AG40" s="43">
        <f>SUM(AG8:AG38)</f>
        <v>772.75733215047387</v>
      </c>
      <c r="AH40" s="43">
        <f>SUM(AH8:AH38)</f>
        <v>282.33742102708749</v>
      </c>
      <c r="AI40" s="43">
        <f>IF(SUM(AG40:AH40)&gt;0, AG40/(AG40+AH40), 0)</f>
        <v>0.73240562501444539</v>
      </c>
      <c r="AJ40" s="312">
        <v>6.5000000000000002E-2</v>
      </c>
      <c r="AK40" s="312">
        <f t="shared" ref="AK40:AS40" si="2">$AJ$40</f>
        <v>6.5000000000000002E-2</v>
      </c>
      <c r="AL40" s="312">
        <f t="shared" si="2"/>
        <v>6.5000000000000002E-2</v>
      </c>
      <c r="AM40" s="312">
        <f t="shared" si="2"/>
        <v>6.5000000000000002E-2</v>
      </c>
      <c r="AN40" s="312">
        <f t="shared" si="2"/>
        <v>6.5000000000000002E-2</v>
      </c>
      <c r="AO40" s="312">
        <f t="shared" si="2"/>
        <v>6.5000000000000002E-2</v>
      </c>
      <c r="AP40" s="312">
        <f t="shared" si="2"/>
        <v>6.5000000000000002E-2</v>
      </c>
      <c r="AQ40" s="312">
        <f t="shared" si="2"/>
        <v>6.5000000000000002E-2</v>
      </c>
      <c r="AR40" s="312">
        <f t="shared" si="2"/>
        <v>6.5000000000000002E-2</v>
      </c>
      <c r="AS40" s="312">
        <f t="shared" si="2"/>
        <v>6.5000000000000002E-2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4555.4569903235715</v>
      </c>
      <c r="D41" s="36">
        <f t="shared" si="3"/>
        <v>113523.95762572001</v>
      </c>
      <c r="E41" s="36">
        <f t="shared" si="3"/>
        <v>3356.5230946061797</v>
      </c>
      <c r="F41" s="36">
        <f t="shared" si="3"/>
        <v>0</v>
      </c>
      <c r="G41" s="36">
        <f t="shared" si="3"/>
        <v>3702.175968994587</v>
      </c>
      <c r="H41" s="37">
        <f t="shared" si="3"/>
        <v>4352.2953632556328</v>
      </c>
      <c r="I41" s="35">
        <f t="shared" si="3"/>
        <v>7095.2488821459801</v>
      </c>
      <c r="J41" s="36">
        <f t="shared" si="3"/>
        <v>37773.294843434691</v>
      </c>
      <c r="K41" s="36">
        <f t="shared" si="3"/>
        <v>6044.5239819776252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5455.4595709435671</v>
      </c>
      <c r="V41" s="268">
        <f t="shared" si="3"/>
        <v>2001.6920376336391</v>
      </c>
      <c r="W41" s="268">
        <f t="shared" si="3"/>
        <v>2331.2234551356146</v>
      </c>
      <c r="X41" s="268">
        <f t="shared" si="3"/>
        <v>850.67319733500676</v>
      </c>
      <c r="Y41" s="268">
        <f t="shared" si="3"/>
        <v>47186.208583941661</v>
      </c>
      <c r="Z41" s="268">
        <f t="shared" si="3"/>
        <v>17154.820927419725</v>
      </c>
      <c r="AA41" s="272">
        <f t="shared" si="3"/>
        <v>0</v>
      </c>
      <c r="AB41" s="275">
        <f t="shared" si="3"/>
        <v>1599.0169067913814</v>
      </c>
      <c r="AC41" s="275">
        <f t="shared" si="3"/>
        <v>0</v>
      </c>
      <c r="AJ41" s="278">
        <f t="shared" ref="AJ41:AS41" si="4">AJ40*AJ39</f>
        <v>485.53526300891241</v>
      </c>
      <c r="AK41" s="278">
        <f t="shared" si="4"/>
        <v>2073.9836417160031</v>
      </c>
      <c r="AL41" s="278">
        <f t="shared" si="4"/>
        <v>6092.3661638011936</v>
      </c>
      <c r="AM41" s="278">
        <f t="shared" si="4"/>
        <v>976.4380513944626</v>
      </c>
      <c r="AN41" s="278">
        <f t="shared" si="4"/>
        <v>12142.353006173453</v>
      </c>
      <c r="AO41" s="278">
        <f t="shared" si="4"/>
        <v>5262.1788311672235</v>
      </c>
      <c r="AP41" s="278">
        <f t="shared" si="4"/>
        <v>1191.251535677751</v>
      </c>
      <c r="AQ41" s="278">
        <f t="shared" si="4"/>
        <v>9319.8474041080481</v>
      </c>
      <c r="AR41" s="278">
        <f t="shared" si="4"/>
        <v>917.24085189421965</v>
      </c>
      <c r="AS41" s="278">
        <f t="shared" si="4"/>
        <v>1687.7234782816572</v>
      </c>
    </row>
    <row r="42" spans="1:45" ht="49.5" customHeight="1" thickTop="1" thickBot="1" x14ac:dyDescent="0.3">
      <c r="A42" s="633">
        <f>JULY!$A$42+31</f>
        <v>43679</v>
      </c>
      <c r="B42" s="634"/>
      <c r="C42" s="634"/>
      <c r="D42" s="634"/>
      <c r="E42" s="634"/>
      <c r="F42" s="634"/>
      <c r="G42" s="634"/>
      <c r="H42" s="634"/>
      <c r="I42" s="634"/>
      <c r="J42" s="634"/>
      <c r="K42" s="63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201.26</v>
      </c>
      <c r="AK42" s="278" t="s">
        <v>197</v>
      </c>
      <c r="AL42" s="278">
        <v>78.290000000000006</v>
      </c>
      <c r="AM42" s="278">
        <v>37.78</v>
      </c>
      <c r="AN42" s="278">
        <v>199.37</v>
      </c>
      <c r="AO42" s="278">
        <v>915.42</v>
      </c>
      <c r="AP42" s="278">
        <v>87.04</v>
      </c>
      <c r="AQ42" s="278" t="s">
        <v>197</v>
      </c>
      <c r="AR42" s="278">
        <v>37.78</v>
      </c>
      <c r="AS42" s="278">
        <v>59.43</v>
      </c>
    </row>
    <row r="43" spans="1:45" ht="38.25" customHeight="1" thickTop="1" thickBot="1" x14ac:dyDescent="0.3">
      <c r="A43" s="630" t="s">
        <v>49</v>
      </c>
      <c r="B43" s="626"/>
      <c r="C43" s="289"/>
      <c r="D43" s="626" t="s">
        <v>47</v>
      </c>
      <c r="E43" s="626"/>
      <c r="F43" s="289"/>
      <c r="G43" s="626" t="s">
        <v>48</v>
      </c>
      <c r="H43" s="626"/>
      <c r="I43" s="290"/>
      <c r="J43" s="626" t="s">
        <v>50</v>
      </c>
      <c r="K43" s="627"/>
      <c r="L43" s="44"/>
      <c r="M43" s="44"/>
      <c r="N43" s="44"/>
      <c r="O43" s="45"/>
      <c r="P43" s="45"/>
      <c r="Q43" s="45"/>
      <c r="R43" s="615" t="s">
        <v>166</v>
      </c>
      <c r="S43" s="616"/>
      <c r="T43" s="616"/>
      <c r="U43" s="617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256982.57142965891</v>
      </c>
      <c r="C44" s="12"/>
      <c r="D44" s="282" t="s">
        <v>135</v>
      </c>
      <c r="E44" s="283">
        <f>SUM(B41:H41)+P41+R41+T41+V41+X41+Z41</f>
        <v>149497.59520528835</v>
      </c>
      <c r="F44" s="12"/>
      <c r="G44" s="282" t="s">
        <v>135</v>
      </c>
      <c r="H44" s="283">
        <f>SUM(I41:N41)+O41+Q41+S41+U41+W41+Y41</f>
        <v>105885.95931757914</v>
      </c>
      <c r="I44" s="12"/>
      <c r="J44" s="282" t="s">
        <v>198</v>
      </c>
      <c r="K44" s="283">
        <v>224193.7</v>
      </c>
      <c r="L44" s="12"/>
      <c r="M44" s="12"/>
      <c r="N44" s="12"/>
      <c r="O44" s="12"/>
      <c r="P44" s="12"/>
      <c r="Q44" s="12"/>
      <c r="R44" s="319" t="s">
        <v>135</v>
      </c>
      <c r="S44" s="320"/>
      <c r="T44" s="313" t="s">
        <v>167</v>
      </c>
      <c r="U44" s="255" t="s">
        <v>168</v>
      </c>
    </row>
    <row r="45" spans="1:45" ht="24" thickBot="1" x14ac:dyDescent="0.4">
      <c r="A45" s="284" t="s">
        <v>183</v>
      </c>
      <c r="B45" s="285">
        <f>SUM(AJ41:AS41)</f>
        <v>40148.918227222923</v>
      </c>
      <c r="C45" s="12"/>
      <c r="D45" s="284" t="s">
        <v>183</v>
      </c>
      <c r="E45" s="285">
        <f>AJ41*(1-$AI$40)+AK41+AL41*0.5+AN41+AO41*(1-$AI$40)+AP41*(1-$AI$40)+AQ41*(1-$AI$40)+AR41*0.5+AS41*0.5</f>
        <v>22915.768806708023</v>
      </c>
      <c r="F45" s="24"/>
      <c r="G45" s="284" t="s">
        <v>183</v>
      </c>
      <c r="H45" s="285">
        <f>AJ41*AI40+AL41*0.5+AM41+AO41*AI40+AP41*AI40+AQ41*AI40+AR41*0.5+AS41*0.5</f>
        <v>17233.149420514899</v>
      </c>
      <c r="I45" s="12"/>
      <c r="J45" s="12"/>
      <c r="K45" s="288"/>
      <c r="L45" s="12"/>
      <c r="M45" s="12"/>
      <c r="N45" s="12"/>
      <c r="O45" s="12"/>
      <c r="P45" s="12"/>
      <c r="Q45" s="12"/>
      <c r="R45" s="317" t="s">
        <v>141</v>
      </c>
      <c r="S45" s="318"/>
      <c r="T45" s="254">
        <f>$W$39+$X$39</f>
        <v>4279.6515950123485</v>
      </c>
      <c r="U45" s="256">
        <f>(T45*8.34*0.895)/27000</f>
        <v>1.1831334592833582</v>
      </c>
    </row>
    <row r="46" spans="1:45" ht="32.25" thickBot="1" x14ac:dyDescent="0.3">
      <c r="A46" s="286" t="s">
        <v>184</v>
      </c>
      <c r="B46" s="287">
        <f>SUM(AJ42:AS42)</f>
        <v>1616.37</v>
      </c>
      <c r="C46" s="12"/>
      <c r="D46" s="286" t="s">
        <v>184</v>
      </c>
      <c r="E46" s="287">
        <f>AJ42*(1-$AI$40)+AL42*0.5+AN42+AO42*(1-$AI$40)+AP42*(1-$AI$40)+AR42*0.5+AS42*0.5</f>
        <v>609.22870105761183</v>
      </c>
      <c r="F46" s="23"/>
      <c r="G46" s="286" t="s">
        <v>184</v>
      </c>
      <c r="H46" s="287">
        <f>AJ42*AI40+AL42*0.5+AM42+AO42*AI40+AP42*AI40+AR42*0.5+AS42*0.5</f>
        <v>1007.1412989423882</v>
      </c>
      <c r="I46" s="12"/>
      <c r="J46" s="628" t="s">
        <v>199</v>
      </c>
      <c r="K46" s="629"/>
      <c r="L46" s="12"/>
      <c r="M46" s="12"/>
      <c r="N46" s="12"/>
      <c r="O46" s="12"/>
      <c r="P46" s="12"/>
      <c r="Q46" s="12"/>
      <c r="R46" s="317" t="s">
        <v>145</v>
      </c>
      <c r="S46" s="318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224193.7</v>
      </c>
      <c r="C47" s="12"/>
      <c r="D47" s="286" t="s">
        <v>187</v>
      </c>
      <c r="E47" s="287">
        <f>K44*0.5</f>
        <v>112096.85</v>
      </c>
      <c r="F47" s="24"/>
      <c r="G47" s="286" t="s">
        <v>185</v>
      </c>
      <c r="H47" s="287">
        <f>K44*0.5</f>
        <v>112096.85</v>
      </c>
      <c r="I47" s="12"/>
      <c r="J47" s="282" t="s">
        <v>198</v>
      </c>
      <c r="K47" s="283">
        <v>179847.95</v>
      </c>
      <c r="L47" s="12"/>
      <c r="M47" s="12"/>
      <c r="N47" s="12"/>
      <c r="O47" s="12"/>
      <c r="P47" s="12"/>
      <c r="Q47" s="12"/>
      <c r="R47" s="317" t="s">
        <v>148</v>
      </c>
      <c r="S47" s="318"/>
      <c r="T47" s="254">
        <f>$G$39</f>
        <v>61728.653088696738</v>
      </c>
      <c r="U47" s="256">
        <f>T47/40000</f>
        <v>1.5432163272174184</v>
      </c>
    </row>
    <row r="48" spans="1:45" ht="24" thickBot="1" x14ac:dyDescent="0.3">
      <c r="A48" s="286" t="s">
        <v>186</v>
      </c>
      <c r="B48" s="287">
        <f>K47</f>
        <v>179847.95</v>
      </c>
      <c r="C48" s="12"/>
      <c r="D48" s="286" t="s">
        <v>186</v>
      </c>
      <c r="E48" s="287">
        <f>K47*0.5</f>
        <v>89923.975000000006</v>
      </c>
      <c r="F48" s="23"/>
      <c r="G48" s="286" t="s">
        <v>186</v>
      </c>
      <c r="H48" s="287">
        <f>K47*0.5</f>
        <v>89923.975000000006</v>
      </c>
      <c r="I48" s="12"/>
      <c r="J48" s="12"/>
      <c r="K48" s="86"/>
      <c r="L48" s="12"/>
      <c r="M48" s="12"/>
      <c r="N48" s="12"/>
      <c r="O48" s="12"/>
      <c r="P48" s="12"/>
      <c r="Q48" s="12"/>
      <c r="R48" s="317" t="s">
        <v>150</v>
      </c>
      <c r="S48" s="318"/>
      <c r="T48" s="254">
        <f>$L$39</f>
        <v>4.1542053222656258E-4</v>
      </c>
      <c r="U48" s="256">
        <f>T48*9.34*0.107</f>
        <v>4.1516297149658208E-4</v>
      </c>
    </row>
    <row r="49" spans="1:25" ht="48" thickTop="1" thickBot="1" x14ac:dyDescent="0.3">
      <c r="A49" s="291" t="s">
        <v>194</v>
      </c>
      <c r="B49" s="292">
        <f>AF40</f>
        <v>1067.4480503327316</v>
      </c>
      <c r="C49" s="12"/>
      <c r="D49" s="291" t="s">
        <v>195</v>
      </c>
      <c r="E49" s="292">
        <f>AH40</f>
        <v>282.33742102708749</v>
      </c>
      <c r="F49" s="23"/>
      <c r="G49" s="291" t="s">
        <v>196</v>
      </c>
      <c r="H49" s="292">
        <f>AG40</f>
        <v>772.75733215047387</v>
      </c>
      <c r="I49" s="12"/>
      <c r="J49" s="12"/>
      <c r="K49" s="86"/>
      <c r="L49" s="12"/>
      <c r="M49" s="12"/>
      <c r="N49" s="12"/>
      <c r="O49" s="12"/>
      <c r="P49" s="12"/>
      <c r="Q49" s="12"/>
      <c r="R49" s="317" t="s">
        <v>152</v>
      </c>
      <c r="S49" s="318"/>
      <c r="T49" s="254">
        <f>$E$39+$K$39</f>
        <v>2167.7382117191946</v>
      </c>
      <c r="U49" s="256">
        <f>(T49*8.34*1.04)/45000</f>
        <v>0.4178243145148357</v>
      </c>
    </row>
    <row r="50" spans="1:25" ht="48" customHeight="1" thickTop="1" thickBot="1" x14ac:dyDescent="0.3">
      <c r="A50" s="291" t="s">
        <v>223</v>
      </c>
      <c r="B50" s="292">
        <f>SUM(E50+H50)</f>
        <v>1088.4082626766135</v>
      </c>
      <c r="C50" s="12"/>
      <c r="D50" s="291" t="s">
        <v>224</v>
      </c>
      <c r="E50" s="292">
        <f>AE40</f>
        <v>289.30963315429165</v>
      </c>
      <c r="F50" s="23"/>
      <c r="G50" s="291" t="s">
        <v>225</v>
      </c>
      <c r="H50" s="292">
        <f>AD40</f>
        <v>799.09862952232186</v>
      </c>
      <c r="I50" s="12"/>
      <c r="J50" s="12"/>
      <c r="K50" s="86"/>
      <c r="L50" s="12"/>
      <c r="M50" s="12"/>
      <c r="N50" s="12"/>
      <c r="O50" s="12"/>
      <c r="P50" s="12"/>
      <c r="Q50" s="12"/>
      <c r="R50" s="317"/>
      <c r="S50" s="318"/>
      <c r="T50" s="254"/>
      <c r="U50" s="256"/>
    </row>
    <row r="51" spans="1:25" ht="48" thickTop="1" thickBot="1" x14ac:dyDescent="0.3">
      <c r="A51" s="291" t="s">
        <v>190</v>
      </c>
      <c r="B51" s="293">
        <f>(SUM(B44:B48)/B50)</f>
        <v>645.70394562108709</v>
      </c>
      <c r="C51" s="12"/>
      <c r="D51" s="291" t="s">
        <v>188</v>
      </c>
      <c r="E51" s="294">
        <f>SUM(E44:E48)/E50</f>
        <v>1296.339197641026</v>
      </c>
      <c r="F51" s="23"/>
      <c r="G51" s="291" t="s">
        <v>189</v>
      </c>
      <c r="H51" s="294">
        <f>SUM(H44:H48)/H50</f>
        <v>408.143704653827</v>
      </c>
      <c r="I51" s="12"/>
      <c r="J51" s="12"/>
      <c r="K51" s="86"/>
      <c r="L51" s="12"/>
      <c r="M51" s="12"/>
      <c r="N51" s="12"/>
      <c r="O51" s="12"/>
      <c r="P51" s="12"/>
      <c r="Q51" s="12"/>
      <c r="R51" s="317" t="s">
        <v>153</v>
      </c>
      <c r="S51" s="318"/>
      <c r="T51" s="254">
        <f>$U$39+$V$39+$AB$39</f>
        <v>30227.53176024228</v>
      </c>
      <c r="U51" s="256">
        <f>T51/2000/8</f>
        <v>1.8892207350151424</v>
      </c>
    </row>
    <row r="52" spans="1:25" ht="47.25" customHeight="1" thickTop="1" thickBot="1" x14ac:dyDescent="0.3">
      <c r="A52" s="281" t="s">
        <v>191</v>
      </c>
      <c r="B52" s="294">
        <f>B51/1000</f>
        <v>0.64570394562108713</v>
      </c>
      <c r="C52" s="12"/>
      <c r="D52" s="281" t="s">
        <v>192</v>
      </c>
      <c r="E52" s="294">
        <f>E51/1000</f>
        <v>1.2963391976410259</v>
      </c>
      <c r="F52" s="373">
        <f>E44/E49</f>
        <v>529.49975480205842</v>
      </c>
      <c r="G52" s="281" t="s">
        <v>193</v>
      </c>
      <c r="H52" s="294">
        <f>H51/1000</f>
        <v>0.40814370465382699</v>
      </c>
      <c r="I52" s="373">
        <f>H44/H49</f>
        <v>137.02355825329221</v>
      </c>
      <c r="J52" s="12"/>
      <c r="K52" s="86"/>
      <c r="L52" s="12"/>
      <c r="M52" s="12"/>
      <c r="N52" s="12"/>
      <c r="O52" s="12"/>
      <c r="P52" s="12"/>
      <c r="Q52" s="12"/>
      <c r="R52" s="317" t="s">
        <v>154</v>
      </c>
      <c r="S52" s="318"/>
      <c r="T52" s="254">
        <f>$C$39+$J$39+$S$39+$T$39</f>
        <v>28478.228639459609</v>
      </c>
      <c r="U52" s="256">
        <f>(T52*8.34*1.4)/45000</f>
        <v>7.3891510576517865</v>
      </c>
    </row>
    <row r="53" spans="1:25" ht="16.5" thickTop="1" thickBot="1" x14ac:dyDescent="0.3">
      <c r="A53" s="302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7" t="s">
        <v>155</v>
      </c>
      <c r="S53" s="318"/>
      <c r="T53" s="254">
        <f>$H$39</f>
        <v>1164.0170796295008</v>
      </c>
      <c r="U53" s="256">
        <f>(T53*8.34*1.135)/45000</f>
        <v>0.24485487275699758</v>
      </c>
    </row>
    <row r="54" spans="1:25" ht="48" customHeight="1" thickTop="1" thickBot="1" x14ac:dyDescent="0.3">
      <c r="A54" s="618" t="s">
        <v>51</v>
      </c>
      <c r="B54" s="619"/>
      <c r="C54" s="619"/>
      <c r="D54" s="619"/>
      <c r="E54" s="62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7" t="s">
        <v>156</v>
      </c>
      <c r="S54" s="318"/>
      <c r="T54" s="254">
        <f>$B$39+$I$39+$AC$39</f>
        <v>8639.2147720734265</v>
      </c>
      <c r="U54" s="256">
        <f>(T54*8.34*1.029*0.03)/3300</f>
        <v>0.6740048334896912</v>
      </c>
    </row>
    <row r="55" spans="1:25" ht="42.75" customHeight="1" thickBot="1" x14ac:dyDescent="0.3">
      <c r="A55" s="623" t="s">
        <v>200</v>
      </c>
      <c r="B55" s="624"/>
      <c r="C55" s="624"/>
      <c r="D55" s="624"/>
      <c r="E55" s="62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1" t="s">
        <v>158</v>
      </c>
      <c r="S55" s="632"/>
      <c r="T55" s="258">
        <f>$D$39+$Y$39+$Z$39</f>
        <v>57702.210678561503</v>
      </c>
      <c r="U55" s="259">
        <f>(T55*1.54*8.34)/45000</f>
        <v>16.468980290470501</v>
      </c>
    </row>
    <row r="56" spans="1:25" ht="24" thickTop="1" x14ac:dyDescent="0.25">
      <c r="A56" s="661"/>
      <c r="B56" s="66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63"/>
      <c r="B57" s="66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59"/>
      <c r="B58" s="66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60"/>
      <c r="B59" s="66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59"/>
      <c r="B60" s="66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60"/>
      <c r="B61" s="660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</row>
  </sheetData>
  <sheetProtection algorithmName="SHA-512" hashValue="FvKnprBTWM0mMh7Xl84yMvFycdy7HHEy//fMOV6+jmxMxqXkX0o7Cq8uLDVTgCRSaJKfKrH6W86OpGMJ/5qTbg==" saltValue="5oRms2sfWtQ1bG81Hcxbfg==" spinCount="100000" sheet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7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H76"/>
  <sheetViews>
    <sheetView topLeftCell="C43" zoomScale="75" zoomScaleNormal="75" workbookViewId="0">
      <selection activeCell="E44" sqref="E44"/>
    </sheetView>
  </sheetViews>
  <sheetFormatPr defaultRowHeight="15" x14ac:dyDescent="0.25"/>
  <cols>
    <col min="1" max="1" width="38.7109375" customWidth="1"/>
    <col min="2" max="2" width="28.7109375" bestFit="1" customWidth="1"/>
    <col min="3" max="3" width="25.28515625" customWidth="1"/>
    <col min="4" max="4" width="29.5703125" customWidth="1"/>
    <col min="5" max="5" width="26.42578125" bestFit="1" customWidth="1"/>
    <col min="6" max="6" width="16.7109375" customWidth="1"/>
    <col min="7" max="7" width="35.5703125" customWidth="1"/>
    <col min="8" max="8" width="26.42578125" bestFit="1" customWidth="1"/>
    <col min="9" max="9" width="16.7109375" customWidth="1"/>
    <col min="10" max="10" width="25.28515625" bestFit="1" customWidth="1"/>
    <col min="11" max="11" width="28.7109375" bestFit="1" customWidth="1"/>
    <col min="12" max="12" width="17" bestFit="1" customWidth="1"/>
    <col min="13" max="13" width="16" bestFit="1" customWidth="1"/>
    <col min="14" max="14" width="20.7109375" bestFit="1" customWidth="1"/>
    <col min="15" max="16" width="16.140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23" bestFit="1" customWidth="1"/>
    <col min="22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3.42578125" bestFit="1" customWidth="1"/>
    <col min="37" max="40" width="18.85546875" bestFit="1" customWidth="1"/>
    <col min="41" max="41" width="23.42578125" bestFit="1" customWidth="1"/>
    <col min="42" max="45" width="18.85546875" bestFit="1" customWidth="1"/>
    <col min="46" max="47" width="20.42578125" customWidth="1"/>
  </cols>
  <sheetData>
    <row r="1" spans="1:60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60" ht="15" customHeight="1" x14ac:dyDescent="0.25">
      <c r="A2" s="1" t="s">
        <v>2</v>
      </c>
      <c r="B2" s="5"/>
      <c r="O2" s="4"/>
      <c r="P2" s="4"/>
      <c r="Q2" s="4"/>
      <c r="R2" s="4"/>
    </row>
    <row r="3" spans="1:60" ht="15.75" thickBot="1" x14ac:dyDescent="0.3">
      <c r="A3" s="6"/>
      <c r="BG3" t="s">
        <v>169</v>
      </c>
      <c r="BH3" s="260" t="s">
        <v>206</v>
      </c>
    </row>
    <row r="4" spans="1:60" ht="30" customHeight="1" thickTop="1" x14ac:dyDescent="0.25">
      <c r="A4" s="13"/>
      <c r="B4" s="637" t="s">
        <v>3</v>
      </c>
      <c r="C4" s="638"/>
      <c r="D4" s="638"/>
      <c r="E4" s="638"/>
      <c r="F4" s="638"/>
      <c r="G4" s="638"/>
      <c r="H4" s="639"/>
      <c r="I4" s="637" t="s">
        <v>4</v>
      </c>
      <c r="J4" s="638"/>
      <c r="K4" s="638"/>
      <c r="L4" s="638"/>
      <c r="M4" s="638"/>
      <c r="N4" s="639"/>
      <c r="O4" s="643" t="s">
        <v>5</v>
      </c>
      <c r="P4" s="644"/>
      <c r="Q4" s="645"/>
      <c r="R4" s="645"/>
      <c r="S4" s="645"/>
      <c r="T4" s="646"/>
      <c r="U4" s="637" t="s">
        <v>6</v>
      </c>
      <c r="V4" s="650"/>
      <c r="W4" s="650"/>
      <c r="X4" s="650"/>
      <c r="Y4" s="650"/>
      <c r="Z4" s="650"/>
      <c r="AA4" s="651"/>
      <c r="AB4" s="655" t="s">
        <v>7</v>
      </c>
      <c r="AC4" s="657" t="s">
        <v>8</v>
      </c>
      <c r="AD4" s="621" t="s">
        <v>222</v>
      </c>
      <c r="AE4" s="621" t="s">
        <v>221</v>
      </c>
      <c r="AF4" s="621" t="s">
        <v>27</v>
      </c>
      <c r="AG4" s="621" t="s">
        <v>31</v>
      </c>
      <c r="AH4" s="621" t="s">
        <v>32</v>
      </c>
      <c r="AI4" s="621" t="s">
        <v>33</v>
      </c>
      <c r="AJ4" s="655" t="s">
        <v>173</v>
      </c>
      <c r="AK4" s="655" t="s">
        <v>174</v>
      </c>
      <c r="AL4" s="655" t="s">
        <v>175</v>
      </c>
      <c r="AM4" s="655" t="s">
        <v>176</v>
      </c>
      <c r="AN4" s="655" t="s">
        <v>177</v>
      </c>
      <c r="AO4" s="655" t="s">
        <v>178</v>
      </c>
      <c r="AP4" s="655" t="s">
        <v>179</v>
      </c>
      <c r="AQ4" s="655" t="s">
        <v>182</v>
      </c>
      <c r="AR4" s="655" t="s">
        <v>180</v>
      </c>
      <c r="AS4" s="655" t="s">
        <v>181</v>
      </c>
    </row>
    <row r="5" spans="1:60" ht="30" customHeight="1" thickBot="1" x14ac:dyDescent="0.3">
      <c r="A5" s="13"/>
      <c r="B5" s="640"/>
      <c r="C5" s="641"/>
      <c r="D5" s="641"/>
      <c r="E5" s="641"/>
      <c r="F5" s="641"/>
      <c r="G5" s="641"/>
      <c r="H5" s="642"/>
      <c r="I5" s="640"/>
      <c r="J5" s="641"/>
      <c r="K5" s="641"/>
      <c r="L5" s="641"/>
      <c r="M5" s="641"/>
      <c r="N5" s="642"/>
      <c r="O5" s="647"/>
      <c r="P5" s="648"/>
      <c r="Q5" s="648"/>
      <c r="R5" s="648"/>
      <c r="S5" s="648"/>
      <c r="T5" s="649"/>
      <c r="U5" s="652"/>
      <c r="V5" s="653"/>
      <c r="W5" s="653"/>
      <c r="X5" s="653"/>
      <c r="Y5" s="653"/>
      <c r="Z5" s="653"/>
      <c r="AA5" s="654"/>
      <c r="AB5" s="656"/>
      <c r="AC5" s="658"/>
      <c r="AD5" s="622"/>
      <c r="AE5" s="622"/>
      <c r="AF5" s="636"/>
      <c r="AG5" s="636"/>
      <c r="AH5" s="636"/>
      <c r="AI5" s="636"/>
      <c r="AJ5" s="622"/>
      <c r="AK5" s="622"/>
      <c r="AL5" s="622"/>
      <c r="AM5" s="622"/>
      <c r="AN5" s="622"/>
      <c r="AO5" s="622"/>
      <c r="AP5" s="622"/>
      <c r="AQ5" s="622"/>
      <c r="AR5" s="622"/>
      <c r="AS5" s="622"/>
    </row>
    <row r="6" spans="1:60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60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5" t="s">
        <v>23</v>
      </c>
      <c r="AD7" s="398" t="s">
        <v>28</v>
      </c>
      <c r="AE7" s="398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60" x14ac:dyDescent="0.25">
      <c r="A8" s="11">
        <v>43709</v>
      </c>
      <c r="B8" s="49"/>
      <c r="C8" s="50">
        <v>99.98702698151321</v>
      </c>
      <c r="D8" s="50">
        <v>1205.7103420257558</v>
      </c>
      <c r="E8" s="50">
        <v>25.08464305400857</v>
      </c>
      <c r="F8" s="50">
        <v>0</v>
      </c>
      <c r="G8" s="50">
        <v>2073.6037057240787</v>
      </c>
      <c r="H8" s="51">
        <v>37.756874126195967</v>
      </c>
      <c r="I8" s="49">
        <v>179.98747874100977</v>
      </c>
      <c r="J8" s="50">
        <v>504.96813011169422</v>
      </c>
      <c r="K8" s="50">
        <v>27.571268822749467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373.86173992658308</v>
      </c>
      <c r="V8" s="54">
        <v>215.55693021908846</v>
      </c>
      <c r="W8" s="54">
        <v>62.145262976995596</v>
      </c>
      <c r="X8" s="54">
        <v>35.831005648263826</v>
      </c>
      <c r="Y8" s="54">
        <v>259.21003395576639</v>
      </c>
      <c r="Z8" s="54">
        <v>149.45235961417987</v>
      </c>
      <c r="AA8" s="55">
        <v>0</v>
      </c>
      <c r="AB8" s="56">
        <v>121.62364075448676</v>
      </c>
      <c r="AC8" s="57">
        <v>0</v>
      </c>
      <c r="AD8" s="408">
        <v>15.884656660646607</v>
      </c>
      <c r="AE8" s="408">
        <v>9.4044377955957597</v>
      </c>
      <c r="AF8" s="57">
        <v>24.336277752452425</v>
      </c>
      <c r="AG8" s="58">
        <v>15.262462696834675</v>
      </c>
      <c r="AH8" s="58">
        <v>8.7998563510646761</v>
      </c>
      <c r="AI8" s="58">
        <v>0.63428893393245456</v>
      </c>
      <c r="AJ8" s="57">
        <v>241.61714172363281</v>
      </c>
      <c r="AK8" s="57">
        <v>1039.0577444712319</v>
      </c>
      <c r="AL8" s="57">
        <v>3001.6674064636231</v>
      </c>
      <c r="AM8" s="57">
        <v>465.32405090332031</v>
      </c>
      <c r="AN8" s="57">
        <v>7179.980712890625</v>
      </c>
      <c r="AO8" s="57">
        <v>2644.4499894460041</v>
      </c>
      <c r="AP8" s="57">
        <v>547.92101483345039</v>
      </c>
      <c r="AQ8" s="57">
        <v>3290.2936995188402</v>
      </c>
      <c r="AR8" s="57">
        <v>478.44397900899264</v>
      </c>
      <c r="AS8" s="57">
        <v>861.55218992233279</v>
      </c>
    </row>
    <row r="9" spans="1:60" x14ac:dyDescent="0.25">
      <c r="A9" s="11">
        <v>43710</v>
      </c>
      <c r="B9" s="59"/>
      <c r="C9" s="60">
        <v>98.930095187823298</v>
      </c>
      <c r="D9" s="60">
        <v>1206.1574041366553</v>
      </c>
      <c r="E9" s="60">
        <v>24.829869480927794</v>
      </c>
      <c r="F9" s="60">
        <v>0</v>
      </c>
      <c r="G9" s="60">
        <v>2054.5474391937264</v>
      </c>
      <c r="H9" s="61">
        <v>37.810523446400985</v>
      </c>
      <c r="I9" s="59">
        <v>179.99573885599767</v>
      </c>
      <c r="J9" s="60">
        <v>505.07801332473724</v>
      </c>
      <c r="K9" s="60">
        <v>27.499190056820709</v>
      </c>
      <c r="L9" s="50">
        <v>0</v>
      </c>
      <c r="M9" s="5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376.62887444906784</v>
      </c>
      <c r="V9" s="62">
        <v>230.86800072047382</v>
      </c>
      <c r="W9" s="62">
        <v>62.802433839020075</v>
      </c>
      <c r="X9" s="62">
        <v>38.496974938534969</v>
      </c>
      <c r="Y9" s="66">
        <v>262.07395302642379</v>
      </c>
      <c r="Z9" s="66">
        <v>160.647506553043</v>
      </c>
      <c r="AA9" s="67">
        <v>0</v>
      </c>
      <c r="AB9" s="68">
        <v>120.28175741831166</v>
      </c>
      <c r="AC9" s="69">
        <v>0</v>
      </c>
      <c r="AD9" s="409">
        <v>15.883996447070288</v>
      </c>
      <c r="AE9" s="409">
        <v>9.406993864161068</v>
      </c>
      <c r="AF9" s="69">
        <v>25.128030637900064</v>
      </c>
      <c r="AG9" s="68">
        <v>15.412257939486054</v>
      </c>
      <c r="AH9" s="68">
        <v>9.4474890760362449</v>
      </c>
      <c r="AI9" s="68">
        <v>0.61996841439547712</v>
      </c>
      <c r="AJ9" s="69">
        <v>239.32789762814841</v>
      </c>
      <c r="AK9" s="69">
        <v>1043.0103881835937</v>
      </c>
      <c r="AL9" s="69">
        <v>3146.3161913553872</v>
      </c>
      <c r="AM9" s="69">
        <v>465.32405090332031</v>
      </c>
      <c r="AN9" s="69">
        <v>7179.980712890625</v>
      </c>
      <c r="AO9" s="69">
        <v>2665.409706497192</v>
      </c>
      <c r="AP9" s="69">
        <v>558.46439709663389</v>
      </c>
      <c r="AQ9" s="69">
        <v>3296.2292488098146</v>
      </c>
      <c r="AR9" s="69">
        <v>495.71294247309362</v>
      </c>
      <c r="AS9" s="69">
        <v>887.69111377398156</v>
      </c>
    </row>
    <row r="10" spans="1:60" x14ac:dyDescent="0.25">
      <c r="A10" s="11">
        <v>43711</v>
      </c>
      <c r="B10" s="59"/>
      <c r="C10" s="60">
        <v>99.583195126056381</v>
      </c>
      <c r="D10" s="60">
        <v>1206.8302342732752</v>
      </c>
      <c r="E10" s="60">
        <v>24.939775600036082</v>
      </c>
      <c r="F10" s="60">
        <v>0</v>
      </c>
      <c r="G10" s="60">
        <v>2016.5838317871103</v>
      </c>
      <c r="H10" s="61">
        <v>37.825576764345207</v>
      </c>
      <c r="I10" s="59">
        <v>175.95791534582762</v>
      </c>
      <c r="J10" s="60">
        <v>505.01350329716996</v>
      </c>
      <c r="K10" s="60">
        <v>27.614352343479815</v>
      </c>
      <c r="L10" s="50">
        <v>0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375.7308475209465</v>
      </c>
      <c r="V10" s="62">
        <v>230.29823134410802</v>
      </c>
      <c r="W10" s="62">
        <v>62.370882849477617</v>
      </c>
      <c r="X10" s="62">
        <v>38.229238036689246</v>
      </c>
      <c r="Y10" s="66">
        <v>261.85998606279264</v>
      </c>
      <c r="Z10" s="66">
        <v>160.50290267075277</v>
      </c>
      <c r="AA10" s="67">
        <v>0</v>
      </c>
      <c r="AB10" s="68">
        <v>120.44725004301918</v>
      </c>
      <c r="AC10" s="69">
        <v>0</v>
      </c>
      <c r="AD10" s="409">
        <v>15.884444702257007</v>
      </c>
      <c r="AE10" s="409">
        <v>9.4129378463376661</v>
      </c>
      <c r="AF10" s="69">
        <v>25.085938712623431</v>
      </c>
      <c r="AG10" s="68">
        <v>15.371474229755002</v>
      </c>
      <c r="AH10" s="68">
        <v>9.4217000057914042</v>
      </c>
      <c r="AI10" s="68">
        <v>0.6199881501141814</v>
      </c>
      <c r="AJ10" s="69">
        <v>232.56942262649537</v>
      </c>
      <c r="AK10" s="69">
        <v>1041.1604073206584</v>
      </c>
      <c r="AL10" s="69">
        <v>3030.2164666493732</v>
      </c>
      <c r="AM10" s="69">
        <v>465.32405090332031</v>
      </c>
      <c r="AN10" s="69">
        <v>7179.980712890625</v>
      </c>
      <c r="AO10" s="69">
        <v>2655.1156856536859</v>
      </c>
      <c r="AP10" s="69">
        <v>544.41366694768283</v>
      </c>
      <c r="AQ10" s="69">
        <v>3288.2977519989008</v>
      </c>
      <c r="AR10" s="69">
        <v>480.44430414835608</v>
      </c>
      <c r="AS10" s="69">
        <v>885.10230830510477</v>
      </c>
    </row>
    <row r="11" spans="1:60" x14ac:dyDescent="0.25">
      <c r="A11" s="11">
        <v>43712</v>
      </c>
      <c r="B11" s="59"/>
      <c r="C11" s="60">
        <v>99.808703390757302</v>
      </c>
      <c r="D11" s="60">
        <v>1207.8331186930336</v>
      </c>
      <c r="E11" s="60">
        <v>24.892800409595218</v>
      </c>
      <c r="F11" s="60">
        <v>0</v>
      </c>
      <c r="G11" s="60">
        <v>2027.0157110849973</v>
      </c>
      <c r="H11" s="61">
        <v>37.846711538235382</v>
      </c>
      <c r="I11" s="59">
        <v>169.68086010615022</v>
      </c>
      <c r="J11" s="60">
        <v>505.11469612121624</v>
      </c>
      <c r="K11" s="60">
        <v>27.565664932131753</v>
      </c>
      <c r="L11" s="50">
        <v>0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373.95556541678457</v>
      </c>
      <c r="V11" s="62">
        <v>221.52780479196122</v>
      </c>
      <c r="W11" s="62">
        <v>61.051516108358875</v>
      </c>
      <c r="X11" s="62">
        <v>36.16635128195572</v>
      </c>
      <c r="Y11" s="66">
        <v>262.67552072602376</v>
      </c>
      <c r="Z11" s="66">
        <v>155.60653954746456</v>
      </c>
      <c r="AA11" s="67">
        <v>0</v>
      </c>
      <c r="AB11" s="68">
        <v>121.81794454786368</v>
      </c>
      <c r="AC11" s="69">
        <v>0</v>
      </c>
      <c r="AD11" s="409">
        <v>15.885222012051095</v>
      </c>
      <c r="AE11" s="409">
        <v>9.4211685480627843</v>
      </c>
      <c r="AF11" s="69">
        <v>24.789934860997747</v>
      </c>
      <c r="AG11" s="68">
        <v>15.415471593974958</v>
      </c>
      <c r="AH11" s="68">
        <v>9.1319822402964874</v>
      </c>
      <c r="AI11" s="68">
        <v>0.62798658052481804</v>
      </c>
      <c r="AJ11" s="69">
        <v>237.74678476651511</v>
      </c>
      <c r="AK11" s="69">
        <v>1047.1960176467896</v>
      </c>
      <c r="AL11" s="69">
        <v>2989.7283774058023</v>
      </c>
      <c r="AM11" s="69">
        <v>465.32405090332031</v>
      </c>
      <c r="AN11" s="69">
        <v>7179.980712890625</v>
      </c>
      <c r="AO11" s="69">
        <v>2654.3271625518801</v>
      </c>
      <c r="AP11" s="69">
        <v>528.13962818781545</v>
      </c>
      <c r="AQ11" s="69">
        <v>3249.8277271270758</v>
      </c>
      <c r="AR11" s="69">
        <v>468.53420569101968</v>
      </c>
      <c r="AS11" s="69">
        <v>848.57786976496379</v>
      </c>
    </row>
    <row r="12" spans="1:60" x14ac:dyDescent="0.25">
      <c r="A12" s="11">
        <v>43713</v>
      </c>
      <c r="B12" s="59"/>
      <c r="C12" s="60">
        <v>100.42439052263846</v>
      </c>
      <c r="D12" s="60">
        <v>1205.7726648966484</v>
      </c>
      <c r="E12" s="60">
        <v>24.804543058077616</v>
      </c>
      <c r="F12" s="60">
        <v>0</v>
      </c>
      <c r="G12" s="60">
        <v>2007.3667879740387</v>
      </c>
      <c r="H12" s="61">
        <v>37.849797026316359</v>
      </c>
      <c r="I12" s="59">
        <v>178.20155002276101</v>
      </c>
      <c r="J12" s="60">
        <v>505.31742296218852</v>
      </c>
      <c r="K12" s="60">
        <v>27.578251377741534</v>
      </c>
      <c r="L12" s="50">
        <v>0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370.81147176123551</v>
      </c>
      <c r="V12" s="62">
        <v>227.33712807532581</v>
      </c>
      <c r="W12" s="62">
        <v>60.366685548056104</v>
      </c>
      <c r="X12" s="62">
        <v>37.00961261726534</v>
      </c>
      <c r="Y12" s="66">
        <v>257.98857049940688</v>
      </c>
      <c r="Z12" s="66">
        <v>158.16765434743266</v>
      </c>
      <c r="AA12" s="67">
        <v>0</v>
      </c>
      <c r="AB12" s="68">
        <v>121.58702540927311</v>
      </c>
      <c r="AC12" s="69">
        <v>0</v>
      </c>
      <c r="AD12" s="409">
        <v>15.888039123779111</v>
      </c>
      <c r="AE12" s="409">
        <v>9.4050835885828317</v>
      </c>
      <c r="AF12" s="69">
        <v>24.625107583072431</v>
      </c>
      <c r="AG12" s="68">
        <v>15.093479048711696</v>
      </c>
      <c r="AH12" s="68">
        <v>9.2535113957009063</v>
      </c>
      <c r="AI12" s="68">
        <v>0.61993202335098063</v>
      </c>
      <c r="AJ12" s="69">
        <v>234.71843719482422</v>
      </c>
      <c r="AK12" s="69">
        <v>1044.3448202768961</v>
      </c>
      <c r="AL12" s="69">
        <v>3027.5779735565179</v>
      </c>
      <c r="AM12" s="69">
        <v>465.32405090332031</v>
      </c>
      <c r="AN12" s="69">
        <v>7179.980712890625</v>
      </c>
      <c r="AO12" s="69">
        <v>2811.3513497670479</v>
      </c>
      <c r="AP12" s="69">
        <v>541.78297028541556</v>
      </c>
      <c r="AQ12" s="69">
        <v>3277.5545075734449</v>
      </c>
      <c r="AR12" s="69">
        <v>483.94202988942459</v>
      </c>
      <c r="AS12" s="69">
        <v>914.53336760203047</v>
      </c>
    </row>
    <row r="13" spans="1:60" x14ac:dyDescent="0.25">
      <c r="A13" s="11">
        <v>43714</v>
      </c>
      <c r="B13" s="59"/>
      <c r="C13" s="60">
        <v>100.09382511377382</v>
      </c>
      <c r="D13" s="60">
        <v>1208.5982433319086</v>
      </c>
      <c r="E13" s="60">
        <v>25.020438708861711</v>
      </c>
      <c r="F13" s="60">
        <v>0</v>
      </c>
      <c r="G13" s="60">
        <v>1923.9228271484358</v>
      </c>
      <c r="H13" s="61">
        <v>37.816105802853954</v>
      </c>
      <c r="I13" s="59">
        <v>192.46487538019818</v>
      </c>
      <c r="J13" s="60">
        <v>504.84806286493966</v>
      </c>
      <c r="K13" s="60">
        <v>27.530166820188391</v>
      </c>
      <c r="L13" s="50">
        <v>0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371.01252052220252</v>
      </c>
      <c r="V13" s="62">
        <v>219.18428596159666</v>
      </c>
      <c r="W13" s="62">
        <v>61.238397419363842</v>
      </c>
      <c r="X13" s="62">
        <v>36.178009283631447</v>
      </c>
      <c r="Y13" s="66">
        <v>260.59955976150968</v>
      </c>
      <c r="Z13" s="66">
        <v>153.9552582965047</v>
      </c>
      <c r="AA13" s="67">
        <v>0</v>
      </c>
      <c r="AB13" s="68">
        <v>121.59412958886665</v>
      </c>
      <c r="AC13" s="69">
        <v>0</v>
      </c>
      <c r="AD13" s="409">
        <v>15.873156402158124</v>
      </c>
      <c r="AE13" s="409">
        <v>9.426288434409944</v>
      </c>
      <c r="AF13" s="69">
        <v>24.383472284343508</v>
      </c>
      <c r="AG13" s="68">
        <v>15.150453316660363</v>
      </c>
      <c r="AH13" s="68">
        <v>8.9504830929499111</v>
      </c>
      <c r="AI13" s="68">
        <v>0.6286250898790432</v>
      </c>
      <c r="AJ13" s="69">
        <v>234.71843719482422</v>
      </c>
      <c r="AK13" s="69">
        <v>1046.9116292953493</v>
      </c>
      <c r="AL13" s="69">
        <v>2980.674660746256</v>
      </c>
      <c r="AM13" s="69">
        <v>465.32405090332031</v>
      </c>
      <c r="AN13" s="69">
        <v>7179.980712890625</v>
      </c>
      <c r="AO13" s="69">
        <v>2661.311373774211</v>
      </c>
      <c r="AP13" s="69">
        <v>528.51192150115969</v>
      </c>
      <c r="AQ13" s="69">
        <v>3165.6994433085124</v>
      </c>
      <c r="AR13" s="69">
        <v>467.81689669291171</v>
      </c>
      <c r="AS13" s="69">
        <v>860.02811915079758</v>
      </c>
    </row>
    <row r="14" spans="1:60" x14ac:dyDescent="0.25">
      <c r="A14" s="11">
        <v>43715</v>
      </c>
      <c r="B14" s="59"/>
      <c r="C14" s="60">
        <v>99.625748880703924</v>
      </c>
      <c r="D14" s="60">
        <v>1206.3663956960049</v>
      </c>
      <c r="E14" s="60">
        <v>25.278786329428414</v>
      </c>
      <c r="F14" s="60">
        <v>0</v>
      </c>
      <c r="G14" s="60">
        <v>1913.1083007812501</v>
      </c>
      <c r="H14" s="61">
        <v>37.936281923453002</v>
      </c>
      <c r="I14" s="59">
        <v>198.7405584812166</v>
      </c>
      <c r="J14" s="60">
        <v>507.47729272842417</v>
      </c>
      <c r="K14" s="60">
        <v>27.678474724292762</v>
      </c>
      <c r="L14" s="50">
        <v>0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376.40106701892171</v>
      </c>
      <c r="V14" s="62">
        <v>230.68890509564338</v>
      </c>
      <c r="W14" s="62">
        <v>60.187235677905164</v>
      </c>
      <c r="X14" s="62">
        <v>36.887588043344763</v>
      </c>
      <c r="Y14" s="66">
        <v>265.96554876803685</v>
      </c>
      <c r="Z14" s="66">
        <v>163.00512037436926</v>
      </c>
      <c r="AA14" s="67">
        <v>0</v>
      </c>
      <c r="AB14" s="68">
        <v>121.83689399295304</v>
      </c>
      <c r="AC14" s="69">
        <v>0</v>
      </c>
      <c r="AD14" s="409">
        <v>15.950107305141124</v>
      </c>
      <c r="AE14" s="409">
        <v>9.4100355286595772</v>
      </c>
      <c r="AF14" s="69">
        <v>25.085796455542226</v>
      </c>
      <c r="AG14" s="68">
        <v>15.381521286353177</v>
      </c>
      <c r="AH14" s="68">
        <v>9.4270357211175781</v>
      </c>
      <c r="AI14" s="68">
        <v>0.62000870432412669</v>
      </c>
      <c r="AJ14" s="69">
        <v>243.47784142494203</v>
      </c>
      <c r="AK14" s="69">
        <v>1040.3245674769084</v>
      </c>
      <c r="AL14" s="69">
        <v>2965.1719650268551</v>
      </c>
      <c r="AM14" s="69">
        <v>465.32405090332031</v>
      </c>
      <c r="AN14" s="69">
        <v>7179.980712890625</v>
      </c>
      <c r="AO14" s="69">
        <v>2635.7811391194659</v>
      </c>
      <c r="AP14" s="69">
        <v>504.82703723907474</v>
      </c>
      <c r="AQ14" s="69">
        <v>3296.7702874501547</v>
      </c>
      <c r="AR14" s="69">
        <v>448.78299055099495</v>
      </c>
      <c r="AS14" s="69">
        <v>781.77258656819674</v>
      </c>
    </row>
    <row r="15" spans="1:60" x14ac:dyDescent="0.25">
      <c r="A15" s="11">
        <v>43716</v>
      </c>
      <c r="B15" s="59"/>
      <c r="C15" s="60">
        <v>99.537961649894811</v>
      </c>
      <c r="D15" s="60">
        <v>1206.3984574000033</v>
      </c>
      <c r="E15" s="60">
        <v>25.196125803391144</v>
      </c>
      <c r="F15" s="60">
        <v>0</v>
      </c>
      <c r="G15" s="60">
        <v>1880.960023625692</v>
      </c>
      <c r="H15" s="61">
        <v>37.890711539983734</v>
      </c>
      <c r="I15" s="59">
        <v>195.19846270879123</v>
      </c>
      <c r="J15" s="60">
        <v>504.71147206624357</v>
      </c>
      <c r="K15" s="60">
        <v>27.53078922182322</v>
      </c>
      <c r="L15" s="50">
        <v>0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370.94091935079763</v>
      </c>
      <c r="V15" s="62">
        <v>219.44568663251434</v>
      </c>
      <c r="W15" s="62">
        <v>58.69776977323793</v>
      </c>
      <c r="X15" s="62">
        <v>34.725132008162056</v>
      </c>
      <c r="Y15" s="66">
        <v>261.48073416201919</v>
      </c>
      <c r="Z15" s="66">
        <v>154.6899149055416</v>
      </c>
      <c r="AA15" s="67">
        <v>0</v>
      </c>
      <c r="AB15" s="68">
        <v>121.47843751377779</v>
      </c>
      <c r="AC15" s="69">
        <v>0</v>
      </c>
      <c r="AD15" s="409">
        <v>15.867669998930733</v>
      </c>
      <c r="AE15" s="409">
        <v>9.4098861299113299</v>
      </c>
      <c r="AF15" s="69">
        <v>24.377341357204656</v>
      </c>
      <c r="AG15" s="68">
        <v>15.139440106344813</v>
      </c>
      <c r="AH15" s="68">
        <v>8.9563719073731765</v>
      </c>
      <c r="AI15" s="68">
        <v>0.6283017188931328</v>
      </c>
      <c r="AJ15" s="69">
        <v>244.45810635884604</v>
      </c>
      <c r="AK15" s="69">
        <v>1043.9558563232422</v>
      </c>
      <c r="AL15" s="69">
        <v>2938.2433780670167</v>
      </c>
      <c r="AM15" s="69">
        <v>465.32405090332031</v>
      </c>
      <c r="AN15" s="69">
        <v>7179.980712890625</v>
      </c>
      <c r="AO15" s="69">
        <v>2572.308778508504</v>
      </c>
      <c r="AP15" s="69">
        <v>502.53925937016805</v>
      </c>
      <c r="AQ15" s="69">
        <v>3188.8802410125736</v>
      </c>
      <c r="AR15" s="69">
        <v>447.24145593643192</v>
      </c>
      <c r="AS15" s="69">
        <v>689.06480897267659</v>
      </c>
    </row>
    <row r="16" spans="1:60" x14ac:dyDescent="0.25">
      <c r="A16" s="11">
        <v>43717</v>
      </c>
      <c r="B16" s="49"/>
      <c r="C16" s="50">
        <v>99.853049341837036</v>
      </c>
      <c r="D16" s="50">
        <v>1206.3404795328779</v>
      </c>
      <c r="E16" s="60">
        <v>25.321311815579804</v>
      </c>
      <c r="F16" s="50">
        <v>0</v>
      </c>
      <c r="G16" s="50">
        <v>1825.7110265096073</v>
      </c>
      <c r="H16" s="51">
        <v>37.802194344997396</v>
      </c>
      <c r="I16" s="49">
        <v>196.14274788697568</v>
      </c>
      <c r="J16" s="50">
        <v>505.22021160125735</v>
      </c>
      <c r="K16" s="50">
        <v>27.572975666324314</v>
      </c>
      <c r="L16" s="50">
        <v>0</v>
      </c>
      <c r="M16" s="50">
        <v>0</v>
      </c>
      <c r="N16" s="51">
        <v>0</v>
      </c>
      <c r="O16" s="49">
        <v>0</v>
      </c>
      <c r="P16" s="50">
        <v>0</v>
      </c>
      <c r="Q16" s="50">
        <v>0</v>
      </c>
      <c r="R16" s="70">
        <v>0</v>
      </c>
      <c r="S16" s="50">
        <v>0</v>
      </c>
      <c r="T16" s="52">
        <v>0</v>
      </c>
      <c r="U16" s="71">
        <v>376.98492176692321</v>
      </c>
      <c r="V16" s="66">
        <v>231.03948485691421</v>
      </c>
      <c r="W16" s="62">
        <v>59.644293006380892</v>
      </c>
      <c r="X16" s="62">
        <v>36.55368142116015</v>
      </c>
      <c r="Y16" s="66">
        <v>266.42427479994933</v>
      </c>
      <c r="Z16" s="66">
        <v>163.28113844620631</v>
      </c>
      <c r="AA16" s="67">
        <v>0</v>
      </c>
      <c r="AB16" s="68">
        <v>121.24047090742307</v>
      </c>
      <c r="AC16" s="69">
        <v>0</v>
      </c>
      <c r="AD16" s="409">
        <v>15.883956014849396</v>
      </c>
      <c r="AE16" s="409">
        <v>9.4095558196408096</v>
      </c>
      <c r="AF16" s="69">
        <v>25.134079963631113</v>
      </c>
      <c r="AG16" s="68">
        <v>15.414201015486359</v>
      </c>
      <c r="AH16" s="68">
        <v>9.4467679115843133</v>
      </c>
      <c r="AI16" s="68">
        <v>0.62001610076838587</v>
      </c>
      <c r="AJ16" s="69">
        <v>232.14587931632994</v>
      </c>
      <c r="AK16" s="69">
        <v>1029.9199129740398</v>
      </c>
      <c r="AL16" s="69">
        <v>2992.665843073527</v>
      </c>
      <c r="AM16" s="69">
        <v>465.32405090332031</v>
      </c>
      <c r="AN16" s="69">
        <v>7179.980712890625</v>
      </c>
      <c r="AO16" s="69">
        <v>2603.4503046671557</v>
      </c>
      <c r="AP16" s="69">
        <v>480.6018778324127</v>
      </c>
      <c r="AQ16" s="69">
        <v>3253.3581101735435</v>
      </c>
      <c r="AR16" s="69">
        <v>442.64412037531531</v>
      </c>
      <c r="AS16" s="69">
        <v>748.39445492426535</v>
      </c>
    </row>
    <row r="17" spans="1:45" x14ac:dyDescent="0.25">
      <c r="A17" s="11">
        <v>43718</v>
      </c>
      <c r="B17" s="59"/>
      <c r="C17" s="60">
        <v>95.735781892140722</v>
      </c>
      <c r="D17" s="60">
        <v>1159.9637037277207</v>
      </c>
      <c r="E17" s="60">
        <v>24.401336902380017</v>
      </c>
      <c r="F17" s="60">
        <v>0</v>
      </c>
      <c r="G17" s="60">
        <v>1769.1855510711716</v>
      </c>
      <c r="H17" s="61">
        <v>36.415873120228518</v>
      </c>
      <c r="I17" s="59">
        <v>187.93162436485289</v>
      </c>
      <c r="J17" s="60">
        <v>436.13277672131937</v>
      </c>
      <c r="K17" s="60">
        <v>23.856485001742826</v>
      </c>
      <c r="L17" s="50">
        <v>0</v>
      </c>
      <c r="M17" s="50">
        <v>0</v>
      </c>
      <c r="N17" s="61">
        <v>0</v>
      </c>
      <c r="O17" s="59">
        <v>0</v>
      </c>
      <c r="P17" s="60">
        <v>0</v>
      </c>
      <c r="Q17" s="60">
        <v>0</v>
      </c>
      <c r="R17" s="63">
        <v>0</v>
      </c>
      <c r="S17" s="60">
        <v>0</v>
      </c>
      <c r="T17" s="64">
        <v>0</v>
      </c>
      <c r="U17" s="65">
        <v>330.68751166723086</v>
      </c>
      <c r="V17" s="62">
        <v>226.19429229038917</v>
      </c>
      <c r="W17" s="62">
        <v>49.979118292656018</v>
      </c>
      <c r="X17" s="62">
        <v>34.186326645685746</v>
      </c>
      <c r="Y17" s="66">
        <v>227.72847141843499</v>
      </c>
      <c r="Z17" s="66">
        <v>155.76905268409456</v>
      </c>
      <c r="AA17" s="67">
        <v>0</v>
      </c>
      <c r="AB17" s="68">
        <v>109.87333663834325</v>
      </c>
      <c r="AC17" s="69">
        <v>0</v>
      </c>
      <c r="AD17" s="409">
        <v>13.707410828384731</v>
      </c>
      <c r="AE17" s="409">
        <v>9.0469587667507572</v>
      </c>
      <c r="AF17" s="69">
        <v>22.327757871813244</v>
      </c>
      <c r="AG17" s="68">
        <v>13.096227170187172</v>
      </c>
      <c r="AH17" s="68">
        <v>8.9579791553047592</v>
      </c>
      <c r="AI17" s="68">
        <v>0.59381992609045087</v>
      </c>
      <c r="AJ17" s="69">
        <v>234.3275702317556</v>
      </c>
      <c r="AK17" s="69">
        <v>1029.4613330205282</v>
      </c>
      <c r="AL17" s="69">
        <v>2907.9310915629067</v>
      </c>
      <c r="AM17" s="69">
        <v>465.32405090332031</v>
      </c>
      <c r="AN17" s="69">
        <v>7179.980712890625</v>
      </c>
      <c r="AO17" s="69">
        <v>2610.8627646128334</v>
      </c>
      <c r="AP17" s="69">
        <v>493.77240103085836</v>
      </c>
      <c r="AQ17" s="69">
        <v>3039.986275355021</v>
      </c>
      <c r="AR17" s="69">
        <v>452.31297826766968</v>
      </c>
      <c r="AS17" s="69">
        <v>799.89570509592693</v>
      </c>
    </row>
    <row r="18" spans="1:45" x14ac:dyDescent="0.25">
      <c r="A18" s="11">
        <v>43719</v>
      </c>
      <c r="B18" s="59"/>
      <c r="C18" s="60">
        <v>80.667719944318051</v>
      </c>
      <c r="D18" s="60">
        <v>975.75405597686574</v>
      </c>
      <c r="E18" s="60">
        <v>20.226815462112427</v>
      </c>
      <c r="F18" s="60">
        <v>0</v>
      </c>
      <c r="G18" s="60">
        <v>1483.0711431503346</v>
      </c>
      <c r="H18" s="61">
        <v>30.609942301114497</v>
      </c>
      <c r="I18" s="59">
        <v>151.40086284478514</v>
      </c>
      <c r="J18" s="60">
        <v>323.98223783175217</v>
      </c>
      <c r="K18" s="60">
        <v>17.754660785198187</v>
      </c>
      <c r="L18" s="50">
        <v>0</v>
      </c>
      <c r="M18" s="5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254.65039303930735</v>
      </c>
      <c r="V18" s="62">
        <v>200.58491988878899</v>
      </c>
      <c r="W18" s="62">
        <v>37.803984514819021</v>
      </c>
      <c r="X18" s="62">
        <v>29.77772433365736</v>
      </c>
      <c r="Y18" s="66">
        <v>157.09703322170884</v>
      </c>
      <c r="Z18" s="66">
        <v>123.74336221298847</v>
      </c>
      <c r="AA18" s="67">
        <v>0</v>
      </c>
      <c r="AB18" s="68">
        <v>85.639642985662348</v>
      </c>
      <c r="AC18" s="69">
        <v>0</v>
      </c>
      <c r="AD18" s="409">
        <v>10.186702394402218</v>
      </c>
      <c r="AE18" s="409">
        <v>7.6091171665213331</v>
      </c>
      <c r="AF18" s="69">
        <v>17.099731324778642</v>
      </c>
      <c r="AG18" s="68">
        <v>9.446388738882403</v>
      </c>
      <c r="AH18" s="68">
        <v>7.4408019002531312</v>
      </c>
      <c r="AI18" s="68">
        <v>0.55938189724646636</v>
      </c>
      <c r="AJ18" s="69">
        <v>241.8522875467936</v>
      </c>
      <c r="AK18" s="69">
        <v>1042.7152348836264</v>
      </c>
      <c r="AL18" s="69">
        <v>2900.5241996765135</v>
      </c>
      <c r="AM18" s="69">
        <v>465.32405090332031</v>
      </c>
      <c r="AN18" s="69">
        <v>7179.980712890625</v>
      </c>
      <c r="AO18" s="69">
        <v>2551.3056514739992</v>
      </c>
      <c r="AP18" s="69">
        <v>492.03122064272554</v>
      </c>
      <c r="AQ18" s="69">
        <v>2607.2121737162279</v>
      </c>
      <c r="AR18" s="69">
        <v>454.08830874760946</v>
      </c>
      <c r="AS18" s="69">
        <v>696.91840909322116</v>
      </c>
    </row>
    <row r="19" spans="1:45" x14ac:dyDescent="0.25">
      <c r="A19" s="11">
        <v>43720</v>
      </c>
      <c r="B19" s="59"/>
      <c r="C19" s="60">
        <v>73.230977865060083</v>
      </c>
      <c r="D19" s="60">
        <v>890.67811864217026</v>
      </c>
      <c r="E19" s="60">
        <v>18.901815100510927</v>
      </c>
      <c r="F19" s="60">
        <v>0</v>
      </c>
      <c r="G19" s="60">
        <v>1357.0078856150312</v>
      </c>
      <c r="H19" s="61">
        <v>27.932435564200134</v>
      </c>
      <c r="I19" s="59">
        <v>141.45214289029443</v>
      </c>
      <c r="J19" s="60">
        <v>286.6093256155645</v>
      </c>
      <c r="K19" s="60">
        <v>15.449444755911827</v>
      </c>
      <c r="L19" s="50">
        <v>0</v>
      </c>
      <c r="M19" s="5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224.38265811739967</v>
      </c>
      <c r="V19" s="62">
        <v>182.88317315175783</v>
      </c>
      <c r="W19" s="62">
        <v>34.179544988886043</v>
      </c>
      <c r="X19" s="62">
        <v>27.85805149513924</v>
      </c>
      <c r="Y19" s="66">
        <v>129.4865548325908</v>
      </c>
      <c r="Z19" s="66">
        <v>105.53806709912114</v>
      </c>
      <c r="AA19" s="67">
        <v>0</v>
      </c>
      <c r="AB19" s="68">
        <v>76.875417211320382</v>
      </c>
      <c r="AC19" s="69">
        <v>0</v>
      </c>
      <c r="AD19" s="409">
        <v>9.0135706068494805</v>
      </c>
      <c r="AE19" s="409">
        <v>6.9471513645831378</v>
      </c>
      <c r="AF19" s="69">
        <v>15.451879757642738</v>
      </c>
      <c r="AG19" s="68">
        <v>8.4047737556787361</v>
      </c>
      <c r="AH19" s="68">
        <v>6.8503141328191202</v>
      </c>
      <c r="AI19" s="68">
        <v>0.55094889109198963</v>
      </c>
      <c r="AJ19" s="69">
        <v>237.99724790255226</v>
      </c>
      <c r="AK19" s="69">
        <v>1041.5157391866046</v>
      </c>
      <c r="AL19" s="69">
        <v>3038.774514134725</v>
      </c>
      <c r="AM19" s="69">
        <v>465.32405090332031</v>
      </c>
      <c r="AN19" s="69">
        <v>7179.980712890625</v>
      </c>
      <c r="AO19" s="69">
        <v>2543.8801355997721</v>
      </c>
      <c r="AP19" s="69">
        <v>470.11252926190696</v>
      </c>
      <c r="AQ19" s="69">
        <v>2516.4737616221109</v>
      </c>
      <c r="AR19" s="69">
        <v>448.28161996205642</v>
      </c>
      <c r="AS19" s="69">
        <v>668.7625447909038</v>
      </c>
    </row>
    <row r="20" spans="1:45" x14ac:dyDescent="0.25">
      <c r="A20" s="11">
        <v>43721</v>
      </c>
      <c r="B20" s="59"/>
      <c r="C20" s="60">
        <v>72.720276260376522</v>
      </c>
      <c r="D20" s="60">
        <v>889.13634192148743</v>
      </c>
      <c r="E20" s="60">
        <v>18.890008013447119</v>
      </c>
      <c r="F20" s="60">
        <v>0</v>
      </c>
      <c r="G20" s="60">
        <v>1346.2299520492563</v>
      </c>
      <c r="H20" s="61">
        <v>27.640038927396159</v>
      </c>
      <c r="I20" s="59">
        <v>149.25396257241562</v>
      </c>
      <c r="J20" s="60">
        <v>265.57318027814239</v>
      </c>
      <c r="K20" s="60">
        <v>14.258109102646493</v>
      </c>
      <c r="L20" s="50">
        <v>0</v>
      </c>
      <c r="M20" s="5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207.35895918100013</v>
      </c>
      <c r="V20" s="62">
        <v>181.44613276167965</v>
      </c>
      <c r="W20" s="62">
        <v>31.80866475133951</v>
      </c>
      <c r="X20" s="62">
        <v>27.833662120214502</v>
      </c>
      <c r="Y20" s="66">
        <v>117.11205546644307</v>
      </c>
      <c r="Z20" s="66">
        <v>102.47702654414398</v>
      </c>
      <c r="AA20" s="67">
        <v>0</v>
      </c>
      <c r="AB20" s="68">
        <v>73.728005456924265</v>
      </c>
      <c r="AC20" s="69">
        <v>0</v>
      </c>
      <c r="AD20" s="409">
        <v>8.351841015944478</v>
      </c>
      <c r="AE20" s="409">
        <v>6.9351143226824608</v>
      </c>
      <c r="AF20" s="69">
        <v>15.047295736604241</v>
      </c>
      <c r="AG20" s="68">
        <v>7.9286251696879155</v>
      </c>
      <c r="AH20" s="68">
        <v>6.9378163395440389</v>
      </c>
      <c r="AI20" s="68">
        <v>0.5333236716240598</v>
      </c>
      <c r="AJ20" s="69">
        <v>230.86808056831359</v>
      </c>
      <c r="AK20" s="69">
        <v>1037.7402716954548</v>
      </c>
      <c r="AL20" s="69">
        <v>2904.270824432373</v>
      </c>
      <c r="AM20" s="69">
        <v>465.32405090332031</v>
      </c>
      <c r="AN20" s="69">
        <v>7179.980712890625</v>
      </c>
      <c r="AO20" s="69">
        <v>2544.773384602865</v>
      </c>
      <c r="AP20" s="69">
        <v>459.19773704210917</v>
      </c>
      <c r="AQ20" s="69">
        <v>2457.5794442494707</v>
      </c>
      <c r="AR20" s="69">
        <v>396.17000819842025</v>
      </c>
      <c r="AS20" s="69">
        <v>729.41270662943521</v>
      </c>
    </row>
    <row r="21" spans="1:45" x14ac:dyDescent="0.25">
      <c r="A21" s="11">
        <v>43722</v>
      </c>
      <c r="B21" s="59"/>
      <c r="C21" s="60">
        <v>73.095999606449809</v>
      </c>
      <c r="D21" s="60">
        <v>890.62269223531234</v>
      </c>
      <c r="E21" s="60">
        <v>18.893855156501136</v>
      </c>
      <c r="F21" s="60">
        <v>0</v>
      </c>
      <c r="G21" s="60">
        <v>1363.3972215652489</v>
      </c>
      <c r="H21" s="61">
        <v>27.839690220356108</v>
      </c>
      <c r="I21" s="59">
        <v>159.61793809731796</v>
      </c>
      <c r="J21" s="60">
        <v>265.83591747283924</v>
      </c>
      <c r="K21" s="60">
        <v>14.576701723039161</v>
      </c>
      <c r="L21" s="50">
        <v>0</v>
      </c>
      <c r="M21" s="5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202.54046981999693</v>
      </c>
      <c r="V21" s="62">
        <v>171.04854127695285</v>
      </c>
      <c r="W21" s="62">
        <v>30.630072148445819</v>
      </c>
      <c r="X21" s="62">
        <v>25.867566935416512</v>
      </c>
      <c r="Y21" s="66">
        <v>114.42214064555071</v>
      </c>
      <c r="Z21" s="66">
        <v>96.631257272197047</v>
      </c>
      <c r="AA21" s="67">
        <v>0</v>
      </c>
      <c r="AB21" s="68">
        <v>73.722729984919354</v>
      </c>
      <c r="AC21" s="69">
        <v>0</v>
      </c>
      <c r="AD21" s="409">
        <v>8.3612765373865638</v>
      </c>
      <c r="AE21" s="409">
        <v>6.9470815209696761</v>
      </c>
      <c r="AF21" s="69">
        <v>14.523150457276216</v>
      </c>
      <c r="AG21" s="68">
        <v>7.7735213106086904</v>
      </c>
      <c r="AH21" s="68">
        <v>6.5648582821330361</v>
      </c>
      <c r="AI21" s="68">
        <v>0.54214782502645886</v>
      </c>
      <c r="AJ21" s="69">
        <v>242.73933981259665</v>
      </c>
      <c r="AK21" s="69">
        <v>1052.8249769846598</v>
      </c>
      <c r="AL21" s="69">
        <v>3077.9626032511392</v>
      </c>
      <c r="AM21" s="69">
        <v>465.32405090332031</v>
      </c>
      <c r="AN21" s="69">
        <v>7179.980712890625</v>
      </c>
      <c r="AO21" s="69">
        <v>2599.1004257202148</v>
      </c>
      <c r="AP21" s="69">
        <v>456.51916483243309</v>
      </c>
      <c r="AQ21" s="69">
        <v>2432.9927256266278</v>
      </c>
      <c r="AR21" s="69">
        <v>401.40560003916426</v>
      </c>
      <c r="AS21" s="69">
        <v>784.01399408976226</v>
      </c>
    </row>
    <row r="22" spans="1:45" x14ac:dyDescent="0.25">
      <c r="A22" s="11">
        <v>43723</v>
      </c>
      <c r="B22" s="59"/>
      <c r="C22" s="60">
        <v>72.976286149025</v>
      </c>
      <c r="D22" s="60">
        <v>890.63512649536062</v>
      </c>
      <c r="E22" s="60">
        <v>18.923066224654519</v>
      </c>
      <c r="F22" s="60">
        <v>0</v>
      </c>
      <c r="G22" s="60">
        <v>1386.3258887608886</v>
      </c>
      <c r="H22" s="61">
        <v>27.722814593712545</v>
      </c>
      <c r="I22" s="59">
        <v>159.87078882853194</v>
      </c>
      <c r="J22" s="60">
        <v>265.99566758473719</v>
      </c>
      <c r="K22" s="60">
        <v>14.526938820878687</v>
      </c>
      <c r="L22" s="50">
        <v>0</v>
      </c>
      <c r="M22" s="5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204.45147760746408</v>
      </c>
      <c r="V22" s="62">
        <v>178.27995849677654</v>
      </c>
      <c r="W22" s="62">
        <v>31.202580564088084</v>
      </c>
      <c r="X22" s="62">
        <v>27.208386229608077</v>
      </c>
      <c r="Y22" s="66">
        <v>115.32685903838691</v>
      </c>
      <c r="Z22" s="66">
        <v>100.56404523718933</v>
      </c>
      <c r="AA22" s="67">
        <v>0</v>
      </c>
      <c r="AB22" s="68">
        <v>73.730471918318258</v>
      </c>
      <c r="AC22" s="69">
        <v>0</v>
      </c>
      <c r="AD22" s="409">
        <v>8.362251252195982</v>
      </c>
      <c r="AE22" s="409">
        <v>6.9468337036618504</v>
      </c>
      <c r="AF22" s="69">
        <v>14.914196546872496</v>
      </c>
      <c r="AG22" s="68">
        <v>7.8652887851036004</v>
      </c>
      <c r="AH22" s="68">
        <v>6.8584652680555633</v>
      </c>
      <c r="AI22" s="68">
        <v>0.5341904487609942</v>
      </c>
      <c r="AJ22" s="69">
        <v>240.90040025711059</v>
      </c>
      <c r="AK22" s="69">
        <v>1045.3222688674925</v>
      </c>
      <c r="AL22" s="69">
        <v>3045.887566757202</v>
      </c>
      <c r="AM22" s="69">
        <v>465.32405090332031</v>
      </c>
      <c r="AN22" s="69">
        <v>7179.980712890625</v>
      </c>
      <c r="AO22" s="69">
        <v>2601.8233047485355</v>
      </c>
      <c r="AP22" s="69">
        <v>501.34788365364079</v>
      </c>
      <c r="AQ22" s="69">
        <v>2428.2026138305664</v>
      </c>
      <c r="AR22" s="69">
        <v>403.68268785476681</v>
      </c>
      <c r="AS22" s="69">
        <v>775.97001247406024</v>
      </c>
    </row>
    <row r="23" spans="1:45" x14ac:dyDescent="0.25">
      <c r="A23" s="11">
        <v>43724</v>
      </c>
      <c r="B23" s="59"/>
      <c r="C23" s="60">
        <v>73.09478274981133</v>
      </c>
      <c r="D23" s="60">
        <v>890.92667573293022</v>
      </c>
      <c r="E23" s="60">
        <v>18.95144430398944</v>
      </c>
      <c r="F23" s="60">
        <v>0</v>
      </c>
      <c r="G23" s="60">
        <v>1454.997528584802</v>
      </c>
      <c r="H23" s="61">
        <v>27.751314779122726</v>
      </c>
      <c r="I23" s="59">
        <v>157.73296267191574</v>
      </c>
      <c r="J23" s="60">
        <v>265.97473478317232</v>
      </c>
      <c r="K23" s="60">
        <v>14.575583294033994</v>
      </c>
      <c r="L23" s="50">
        <v>0</v>
      </c>
      <c r="M23" s="5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209.36042639534114</v>
      </c>
      <c r="V23" s="62">
        <v>183.20707420653113</v>
      </c>
      <c r="W23" s="62">
        <v>32.161816266556713</v>
      </c>
      <c r="X23" s="62">
        <v>28.144154847283954</v>
      </c>
      <c r="Y23" s="66">
        <v>116.20141700404726</v>
      </c>
      <c r="Z23" s="66">
        <v>101.68550950390257</v>
      </c>
      <c r="AA23" s="67">
        <v>0</v>
      </c>
      <c r="AB23" s="68">
        <v>73.730107884936302</v>
      </c>
      <c r="AC23" s="69">
        <v>0</v>
      </c>
      <c r="AD23" s="409">
        <v>8.3644140892502357</v>
      </c>
      <c r="AE23" s="409">
        <v>6.9494499241874435</v>
      </c>
      <c r="AF23" s="69">
        <v>15.049928736024425</v>
      </c>
      <c r="AG23" s="68">
        <v>7.9206079446216071</v>
      </c>
      <c r="AH23" s="68">
        <v>6.9311637946846574</v>
      </c>
      <c r="AI23" s="68">
        <v>0.53331064358194769</v>
      </c>
      <c r="AJ23" s="69">
        <v>236.20908130009968</v>
      </c>
      <c r="AK23" s="69">
        <v>1047.7821980794272</v>
      </c>
      <c r="AL23" s="69">
        <v>3019.8445762634278</v>
      </c>
      <c r="AM23" s="69">
        <v>465.32405090332031</v>
      </c>
      <c r="AN23" s="69">
        <v>7179.980712890625</v>
      </c>
      <c r="AO23" s="69">
        <v>2599.7879610697423</v>
      </c>
      <c r="AP23" s="69">
        <v>506.56196330388389</v>
      </c>
      <c r="AQ23" s="69">
        <v>2403.8834023793534</v>
      </c>
      <c r="AR23" s="69">
        <v>430.57087203661598</v>
      </c>
      <c r="AS23" s="69">
        <v>844.29850594202685</v>
      </c>
    </row>
    <row r="24" spans="1:45" x14ac:dyDescent="0.25">
      <c r="A24" s="11">
        <v>43725</v>
      </c>
      <c r="B24" s="59"/>
      <c r="C24" s="60">
        <v>73.692418428262215</v>
      </c>
      <c r="D24" s="60">
        <v>891.51636015574263</v>
      </c>
      <c r="E24" s="60">
        <v>18.938092579444234</v>
      </c>
      <c r="F24" s="60">
        <v>0</v>
      </c>
      <c r="G24" s="60">
        <v>1502.1563198089657</v>
      </c>
      <c r="H24" s="61">
        <v>27.951109578212197</v>
      </c>
      <c r="I24" s="59">
        <v>189.77627398172987</v>
      </c>
      <c r="J24" s="60">
        <v>360.06653833389305</v>
      </c>
      <c r="K24" s="60">
        <v>19.660457411905135</v>
      </c>
      <c r="L24" s="50">
        <v>0</v>
      </c>
      <c r="M24" s="5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275.50059821292075</v>
      </c>
      <c r="V24" s="62">
        <v>180.93507884921877</v>
      </c>
      <c r="W24" s="62">
        <v>44.73653762909619</v>
      </c>
      <c r="X24" s="62">
        <v>29.38073098885177</v>
      </c>
      <c r="Y24" s="66">
        <v>172.84389604753147</v>
      </c>
      <c r="Z24" s="66">
        <v>113.51526698245686</v>
      </c>
      <c r="AA24" s="67">
        <v>0</v>
      </c>
      <c r="AB24" s="68">
        <v>88.046788713666317</v>
      </c>
      <c r="AC24" s="69">
        <v>0</v>
      </c>
      <c r="AD24" s="409">
        <v>11.324711405868712</v>
      </c>
      <c r="AE24" s="409">
        <v>6.9534888948356581</v>
      </c>
      <c r="AF24" s="69">
        <v>17.866999542050905</v>
      </c>
      <c r="AG24" s="68">
        <v>10.657591949284663</v>
      </c>
      <c r="AH24" s="68">
        <v>6.9993758713957757</v>
      </c>
      <c r="AI24" s="68">
        <v>0.60359128801277706</v>
      </c>
      <c r="AJ24" s="69">
        <v>241.9088892777761</v>
      </c>
      <c r="AK24" s="69">
        <v>1044.6533699035647</v>
      </c>
      <c r="AL24" s="69">
        <v>2993.5832724253337</v>
      </c>
      <c r="AM24" s="69">
        <v>465.32405090332031</v>
      </c>
      <c r="AN24" s="69">
        <v>7179.980712890625</v>
      </c>
      <c r="AO24" s="69">
        <v>2584.4740540822345</v>
      </c>
      <c r="AP24" s="69">
        <v>492.06229392687482</v>
      </c>
      <c r="AQ24" s="69">
        <v>2605.5261323293053</v>
      </c>
      <c r="AR24" s="69">
        <v>440.80807984670002</v>
      </c>
      <c r="AS24" s="69">
        <v>823.69712921778364</v>
      </c>
    </row>
    <row r="25" spans="1:45" s="381" customFormat="1" ht="15" customHeight="1" x14ac:dyDescent="0.25">
      <c r="A25" s="11">
        <v>43726</v>
      </c>
      <c r="B25" s="375"/>
      <c r="C25" s="376">
        <v>74.080270119507247</v>
      </c>
      <c r="D25" s="376">
        <v>892.00656585693253</v>
      </c>
      <c r="E25" s="60">
        <v>18.824908388654407</v>
      </c>
      <c r="F25" s="376">
        <v>0</v>
      </c>
      <c r="G25" s="376">
        <v>1472.4344558080052</v>
      </c>
      <c r="H25" s="377">
        <v>27.90969498356187</v>
      </c>
      <c r="I25" s="375">
        <v>180.53692327340465</v>
      </c>
      <c r="J25" s="376">
        <v>373.10738469759605</v>
      </c>
      <c r="K25" s="376">
        <v>20.429939174652088</v>
      </c>
      <c r="L25" s="378">
        <v>0</v>
      </c>
      <c r="M25" s="50">
        <v>0</v>
      </c>
      <c r="N25" s="377">
        <v>0</v>
      </c>
      <c r="O25" s="375">
        <v>0</v>
      </c>
      <c r="P25" s="376">
        <v>0</v>
      </c>
      <c r="Q25" s="376">
        <v>0</v>
      </c>
      <c r="R25" s="376">
        <v>0</v>
      </c>
      <c r="S25" s="376">
        <v>0</v>
      </c>
      <c r="T25" s="377">
        <v>0</v>
      </c>
      <c r="U25" s="375">
        <v>278.01501003116817</v>
      </c>
      <c r="V25" s="376">
        <v>169.4426226376458</v>
      </c>
      <c r="W25" s="376">
        <v>43.788281681869861</v>
      </c>
      <c r="X25" s="376">
        <v>26.687772318984514</v>
      </c>
      <c r="Y25" s="376">
        <v>204.67075957198571</v>
      </c>
      <c r="Z25" s="376">
        <v>124.74128744066137</v>
      </c>
      <c r="AA25" s="377">
        <v>0</v>
      </c>
      <c r="AB25" s="379">
        <v>90.100246752633609</v>
      </c>
      <c r="AC25" s="380">
        <v>0</v>
      </c>
      <c r="AD25" s="409">
        <v>11.721594725103206</v>
      </c>
      <c r="AE25" s="409">
        <v>6.9573064432617953</v>
      </c>
      <c r="AF25" s="380">
        <v>18.110647418101603</v>
      </c>
      <c r="AG25" s="380">
        <v>11.092860418726785</v>
      </c>
      <c r="AH25" s="380">
        <v>6.7607981370922339</v>
      </c>
      <c r="AI25" s="380">
        <v>0.6213214162265529</v>
      </c>
      <c r="AJ25" s="380">
        <v>247.29672574996948</v>
      </c>
      <c r="AK25" s="380">
        <v>1047.9699082692464</v>
      </c>
      <c r="AL25" s="380">
        <v>2861.0217282613121</v>
      </c>
      <c r="AM25" s="380">
        <v>465.32405090332031</v>
      </c>
      <c r="AN25" s="380">
        <v>7179.980712890625</v>
      </c>
      <c r="AO25" s="380">
        <v>2531.458749135335</v>
      </c>
      <c r="AP25" s="380">
        <v>491.1238443056742</v>
      </c>
      <c r="AQ25" s="380">
        <v>2696.0102851867673</v>
      </c>
      <c r="AR25" s="380">
        <v>438.22601261138925</v>
      </c>
      <c r="AS25" s="380">
        <v>741.160903294881</v>
      </c>
    </row>
    <row r="26" spans="1:45" x14ac:dyDescent="0.25">
      <c r="A26" s="11">
        <v>43727</v>
      </c>
      <c r="B26" s="59"/>
      <c r="C26" s="60">
        <v>73.473397568860889</v>
      </c>
      <c r="D26" s="60">
        <v>889.88197937011591</v>
      </c>
      <c r="E26" s="60">
        <v>17.970659353335712</v>
      </c>
      <c r="F26" s="60">
        <v>0</v>
      </c>
      <c r="G26" s="60">
        <v>1456.1494176228859</v>
      </c>
      <c r="H26" s="61">
        <v>27.895391134421089</v>
      </c>
      <c r="I26" s="59">
        <v>122.03622114658339</v>
      </c>
      <c r="J26" s="60">
        <v>266.80927046140027</v>
      </c>
      <c r="K26" s="60">
        <v>16.079048564036686</v>
      </c>
      <c r="L26" s="50">
        <v>0</v>
      </c>
      <c r="M26" s="5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202.61252095816516</v>
      </c>
      <c r="V26" s="62">
        <v>177.26878967432864</v>
      </c>
      <c r="W26" s="62">
        <v>30.114477389420625</v>
      </c>
      <c r="X26" s="62">
        <v>26.347616293663211</v>
      </c>
      <c r="Y26" s="62">
        <v>115.20979916440544</v>
      </c>
      <c r="Z26" s="62">
        <v>100.79881322198017</v>
      </c>
      <c r="AA26" s="72">
        <v>0</v>
      </c>
      <c r="AB26" s="69">
        <v>73.150263203514783</v>
      </c>
      <c r="AC26" s="69">
        <v>0</v>
      </c>
      <c r="AD26" s="409">
        <v>8.3882713797628305</v>
      </c>
      <c r="AE26" s="409">
        <v>7.0472305159825961</v>
      </c>
      <c r="AF26" s="69">
        <v>14.587903254561978</v>
      </c>
      <c r="AG26" s="69">
        <v>7.6727090525969581</v>
      </c>
      <c r="AH26" s="69">
        <v>6.7129703576313737</v>
      </c>
      <c r="AI26" s="69">
        <v>0.53335743372270639</v>
      </c>
      <c r="AJ26" s="69">
        <v>246.29986139933268</v>
      </c>
      <c r="AK26" s="69">
        <v>1053.471772066752</v>
      </c>
      <c r="AL26" s="69">
        <v>2958.7458777109782</v>
      </c>
      <c r="AM26" s="69">
        <v>465.32405090332031</v>
      </c>
      <c r="AN26" s="69">
        <v>7179.980712890625</v>
      </c>
      <c r="AO26" s="69">
        <v>2535.9837295532229</v>
      </c>
      <c r="AP26" s="69">
        <v>492.04712878863018</v>
      </c>
      <c r="AQ26" s="69">
        <v>2410.3984813690186</v>
      </c>
      <c r="AR26" s="69">
        <v>454.90155407587679</v>
      </c>
      <c r="AS26" s="69">
        <v>793.05077479680369</v>
      </c>
    </row>
    <row r="27" spans="1:45" x14ac:dyDescent="0.25">
      <c r="A27" s="11">
        <v>43728</v>
      </c>
      <c r="B27" s="59"/>
      <c r="C27" s="60">
        <v>73.026619986693348</v>
      </c>
      <c r="D27" s="60">
        <v>884.33449808756563</v>
      </c>
      <c r="E27" s="60">
        <v>19.023166466752677</v>
      </c>
      <c r="F27" s="60">
        <v>0</v>
      </c>
      <c r="G27" s="60">
        <v>1495.1518981933618</v>
      </c>
      <c r="H27" s="61">
        <v>28.074602750937231</v>
      </c>
      <c r="I27" s="59">
        <v>124.59362412293765</v>
      </c>
      <c r="J27" s="60">
        <v>265.91861980756153</v>
      </c>
      <c r="K27" s="60">
        <v>15.027307140827176</v>
      </c>
      <c r="L27" s="50">
        <v>0</v>
      </c>
      <c r="M27" s="5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205.9840472007962</v>
      </c>
      <c r="V27" s="62">
        <v>168.48024702086937</v>
      </c>
      <c r="W27" s="62">
        <v>30.6379495443609</v>
      </c>
      <c r="X27" s="62">
        <v>25.059655723799686</v>
      </c>
      <c r="Y27" s="66">
        <v>116.072140772951</v>
      </c>
      <c r="Z27" s="66">
        <v>94.938725670365017</v>
      </c>
      <c r="AA27" s="67">
        <v>0</v>
      </c>
      <c r="AB27" s="68">
        <v>73.067680682076315</v>
      </c>
      <c r="AC27" s="69">
        <v>0</v>
      </c>
      <c r="AD27" s="409">
        <v>8.3573753688149015</v>
      </c>
      <c r="AE27" s="409">
        <v>6.9690321045437065</v>
      </c>
      <c r="AF27" s="69">
        <v>14.144081025984557</v>
      </c>
      <c r="AG27" s="68">
        <v>7.6671606674334249</v>
      </c>
      <c r="AH27" s="68">
        <v>6.2711901273531447</v>
      </c>
      <c r="AI27" s="68">
        <v>0.55007660377590806</v>
      </c>
      <c r="AJ27" s="69">
        <v>240.29761311213176</v>
      </c>
      <c r="AK27" s="69">
        <v>1048.7475208282469</v>
      </c>
      <c r="AL27" s="69">
        <v>2900.9548062642411</v>
      </c>
      <c r="AM27" s="69">
        <v>465.32405090332031</v>
      </c>
      <c r="AN27" s="69">
        <v>7179.980712890625</v>
      </c>
      <c r="AO27" s="69">
        <v>2543.8675795237223</v>
      </c>
      <c r="AP27" s="69">
        <v>498.00592974026995</v>
      </c>
      <c r="AQ27" s="69">
        <v>2272.2271280924479</v>
      </c>
      <c r="AR27" s="69">
        <v>458.71287549336762</v>
      </c>
      <c r="AS27" s="69">
        <v>890.88659642537436</v>
      </c>
    </row>
    <row r="28" spans="1:45" x14ac:dyDescent="0.25">
      <c r="A28" s="11">
        <v>43729</v>
      </c>
      <c r="B28" s="59"/>
      <c r="C28" s="60">
        <v>73.567748657862509</v>
      </c>
      <c r="D28" s="60">
        <v>867.24470920563022</v>
      </c>
      <c r="E28" s="60">
        <v>19.191872811317438</v>
      </c>
      <c r="F28" s="60">
        <v>0</v>
      </c>
      <c r="G28" s="60">
        <v>1507.1979073842372</v>
      </c>
      <c r="H28" s="61">
        <v>27.827080919345242</v>
      </c>
      <c r="I28" s="59">
        <v>127.04871963659923</v>
      </c>
      <c r="J28" s="60">
        <v>266.70448115666716</v>
      </c>
      <c r="K28" s="60">
        <v>15.05999959210552</v>
      </c>
      <c r="L28" s="50">
        <v>0</v>
      </c>
      <c r="M28" s="5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211.28644395116297</v>
      </c>
      <c r="V28" s="62">
        <v>184.88374870376035</v>
      </c>
      <c r="W28" s="62">
        <v>32.240972906215532</v>
      </c>
      <c r="X28" s="62">
        <v>28.212088865177236</v>
      </c>
      <c r="Y28" s="66">
        <v>120.08749951731508</v>
      </c>
      <c r="Z28" s="66">
        <v>105.0811716456077</v>
      </c>
      <c r="AA28" s="67">
        <v>0</v>
      </c>
      <c r="AB28" s="68">
        <v>73.060452487734011</v>
      </c>
      <c r="AC28" s="69">
        <v>0</v>
      </c>
      <c r="AD28" s="409">
        <v>8.379531690411401</v>
      </c>
      <c r="AE28" s="409">
        <v>6.9599657447554826</v>
      </c>
      <c r="AF28" s="69">
        <v>15.194312180413139</v>
      </c>
      <c r="AG28" s="68">
        <v>8.0007021945768422</v>
      </c>
      <c r="AH28" s="68">
        <v>7.0009215278272814</v>
      </c>
      <c r="AI28" s="68">
        <v>0.53332241513485112</v>
      </c>
      <c r="AJ28" s="69">
        <v>256.7868291219076</v>
      </c>
      <c r="AK28" s="69">
        <v>1059.8927726745603</v>
      </c>
      <c r="AL28" s="69">
        <v>2875.5203327178956</v>
      </c>
      <c r="AM28" s="69">
        <v>465.32405090332031</v>
      </c>
      <c r="AN28" s="69">
        <v>7179.980712890625</v>
      </c>
      <c r="AO28" s="69">
        <v>2569.7979621887212</v>
      </c>
      <c r="AP28" s="69">
        <v>485.40607091585775</v>
      </c>
      <c r="AQ28" s="69">
        <v>1901.4803633371989</v>
      </c>
      <c r="AR28" s="69">
        <v>459.82723258336387</v>
      </c>
      <c r="AS28" s="69">
        <v>657.47439419428497</v>
      </c>
    </row>
    <row r="29" spans="1:45" x14ac:dyDescent="0.25">
      <c r="A29" s="11">
        <v>43730</v>
      </c>
      <c r="B29" s="59"/>
      <c r="C29" s="60">
        <v>74.213573340575508</v>
      </c>
      <c r="D29" s="60">
        <v>864.82813866933327</v>
      </c>
      <c r="E29" s="60">
        <v>19.200990337133419</v>
      </c>
      <c r="F29" s="60">
        <v>0</v>
      </c>
      <c r="G29" s="60">
        <v>1397.5763739268</v>
      </c>
      <c r="H29" s="61">
        <v>27.916276007890733</v>
      </c>
      <c r="I29" s="59">
        <v>130.08498380184193</v>
      </c>
      <c r="J29" s="60">
        <v>266.43052752812679</v>
      </c>
      <c r="K29" s="60">
        <v>15.072448806961388</v>
      </c>
      <c r="L29" s="50">
        <v>0</v>
      </c>
      <c r="M29" s="5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207.83464239617712</v>
      </c>
      <c r="V29" s="62">
        <v>181.8924630835956</v>
      </c>
      <c r="W29" s="62">
        <v>31.490989306538804</v>
      </c>
      <c r="X29" s="62">
        <v>27.560244740079352</v>
      </c>
      <c r="Y29" s="66">
        <v>117.86398086446181</v>
      </c>
      <c r="Z29" s="66">
        <v>103.15205175183576</v>
      </c>
      <c r="AA29" s="67">
        <v>0</v>
      </c>
      <c r="AB29" s="68">
        <v>73.062012423409797</v>
      </c>
      <c r="AC29" s="69">
        <v>0</v>
      </c>
      <c r="AD29" s="409">
        <v>8.368489504262989</v>
      </c>
      <c r="AE29" s="409">
        <v>6.9587614806827158</v>
      </c>
      <c r="AF29" s="69">
        <v>14.937857913970937</v>
      </c>
      <c r="AG29" s="68">
        <v>7.8584071044464112</v>
      </c>
      <c r="AH29" s="68">
        <v>6.8775109272527901</v>
      </c>
      <c r="AI29" s="68">
        <v>0.53328249299037778</v>
      </c>
      <c r="AJ29" s="69">
        <v>248.67238705952965</v>
      </c>
      <c r="AK29" s="69">
        <v>1052.2485348383589</v>
      </c>
      <c r="AL29" s="69">
        <v>2751.7516888936361</v>
      </c>
      <c r="AM29" s="69">
        <v>465.32405090332031</v>
      </c>
      <c r="AN29" s="69">
        <v>7179.980712890625</v>
      </c>
      <c r="AO29" s="69">
        <v>2485.4933305104569</v>
      </c>
      <c r="AP29" s="69">
        <v>443.09232079188018</v>
      </c>
      <c r="AQ29" s="69">
        <v>1883.6970326105761</v>
      </c>
      <c r="AR29" s="69">
        <v>455.22874272664387</v>
      </c>
      <c r="AS29" s="69">
        <v>670.25992336273214</v>
      </c>
    </row>
    <row r="30" spans="1:45" x14ac:dyDescent="0.25">
      <c r="A30" s="11">
        <v>43731</v>
      </c>
      <c r="B30" s="59"/>
      <c r="C30" s="60">
        <v>136.13742822011349</v>
      </c>
      <c r="D30" s="60">
        <v>863.9203893025707</v>
      </c>
      <c r="E30" s="60">
        <v>19.172738878925639</v>
      </c>
      <c r="F30" s="60">
        <v>0</v>
      </c>
      <c r="G30" s="60">
        <v>1242.5328438440961</v>
      </c>
      <c r="H30" s="61">
        <v>27.741880395015116</v>
      </c>
      <c r="I30" s="59">
        <v>135.27157273292548</v>
      </c>
      <c r="J30" s="60">
        <v>266.95510492324871</v>
      </c>
      <c r="K30" s="60">
        <v>15.055547841389956</v>
      </c>
      <c r="L30" s="50">
        <v>0</v>
      </c>
      <c r="M30" s="5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205.23573261502997</v>
      </c>
      <c r="V30" s="62">
        <v>180.88437535361669</v>
      </c>
      <c r="W30" s="62">
        <v>30.764345433252686</v>
      </c>
      <c r="X30" s="62">
        <v>27.114135223689004</v>
      </c>
      <c r="Y30" s="66">
        <v>116.63782232284463</v>
      </c>
      <c r="Z30" s="66">
        <v>102.79866651217255</v>
      </c>
      <c r="AA30" s="67">
        <v>0</v>
      </c>
      <c r="AB30" s="68">
        <v>73.063379377789275</v>
      </c>
      <c r="AC30" s="69">
        <v>0</v>
      </c>
      <c r="AD30" s="409">
        <v>8.3891854257105489</v>
      </c>
      <c r="AE30" s="409">
        <v>6.9650699677645065</v>
      </c>
      <c r="AF30" s="69">
        <v>14.833477848105959</v>
      </c>
      <c r="AG30" s="68">
        <v>7.7735376058637282</v>
      </c>
      <c r="AH30" s="68">
        <v>6.8512021576769824</v>
      </c>
      <c r="AI30" s="68">
        <v>0.53153339693900459</v>
      </c>
      <c r="AJ30" s="69">
        <v>239.29271992047629</v>
      </c>
      <c r="AK30" s="69">
        <v>1049.6489882151286</v>
      </c>
      <c r="AL30" s="69">
        <v>2813.2170977274577</v>
      </c>
      <c r="AM30" s="69">
        <v>465.32405090332031</v>
      </c>
      <c r="AN30" s="69">
        <v>7179.980712890625</v>
      </c>
      <c r="AO30" s="69">
        <v>2510.659077453613</v>
      </c>
      <c r="AP30" s="69">
        <v>427.93637421925865</v>
      </c>
      <c r="AQ30" s="69">
        <v>1922.9712179819742</v>
      </c>
      <c r="AR30" s="69">
        <v>440.83226366043095</v>
      </c>
      <c r="AS30" s="69">
        <v>709.50810575485218</v>
      </c>
    </row>
    <row r="31" spans="1:45" x14ac:dyDescent="0.25">
      <c r="A31" s="11">
        <v>43732</v>
      </c>
      <c r="B31" s="59"/>
      <c r="C31" s="60">
        <v>158.04389063914667</v>
      </c>
      <c r="D31" s="60">
        <v>863.17084363301808</v>
      </c>
      <c r="E31" s="60">
        <v>18.692649016777708</v>
      </c>
      <c r="F31" s="60">
        <v>0</v>
      </c>
      <c r="G31" s="60">
        <v>1154.1390875498464</v>
      </c>
      <c r="H31" s="61">
        <v>27.858881356318872</v>
      </c>
      <c r="I31" s="59">
        <v>136.85142814318354</v>
      </c>
      <c r="J31" s="60">
        <v>268.74779240290337</v>
      </c>
      <c r="K31" s="60">
        <v>14.731975443661195</v>
      </c>
      <c r="L31" s="50">
        <v>0</v>
      </c>
      <c r="M31" s="5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206.71217696698162</v>
      </c>
      <c r="V31" s="62">
        <v>180.88504781956735</v>
      </c>
      <c r="W31" s="62">
        <v>30.693001086196571</v>
      </c>
      <c r="X31" s="62">
        <v>26.858141840814302</v>
      </c>
      <c r="Y31" s="66">
        <v>118.17930213461878</v>
      </c>
      <c r="Z31" s="66">
        <v>103.41368869294124</v>
      </c>
      <c r="AA31" s="67">
        <v>0</v>
      </c>
      <c r="AB31" s="68">
        <v>73.059174850252049</v>
      </c>
      <c r="AC31" s="69">
        <v>0</v>
      </c>
      <c r="AD31" s="409">
        <v>8.4488975581628623</v>
      </c>
      <c r="AE31" s="409">
        <v>6.9751280700584237</v>
      </c>
      <c r="AF31" s="69">
        <v>14.95522334376969</v>
      </c>
      <c r="AG31" s="68">
        <v>7.8310558528110166</v>
      </c>
      <c r="AH31" s="68">
        <v>6.8526244229902629</v>
      </c>
      <c r="AI31" s="68">
        <v>0.53331696861560007</v>
      </c>
      <c r="AJ31" s="69">
        <v>239.17437057495118</v>
      </c>
      <c r="AK31" s="69">
        <v>1057.2225023905437</v>
      </c>
      <c r="AL31" s="69">
        <v>2923.413471857707</v>
      </c>
      <c r="AM31" s="69">
        <v>465.32405090332031</v>
      </c>
      <c r="AN31" s="69">
        <v>7179.980712890625</v>
      </c>
      <c r="AO31" s="69">
        <v>2502.374938329061</v>
      </c>
      <c r="AP31" s="69">
        <v>455.40369467735292</v>
      </c>
      <c r="AQ31" s="69">
        <v>1916.3282065073647</v>
      </c>
      <c r="AR31" s="69">
        <v>438.45765749613446</v>
      </c>
      <c r="AS31" s="69">
        <v>781.94232219060268</v>
      </c>
    </row>
    <row r="32" spans="1:45" x14ac:dyDescent="0.25">
      <c r="A32" s="11">
        <v>43733</v>
      </c>
      <c r="B32" s="59"/>
      <c r="C32" s="60">
        <v>191.21915823419863</v>
      </c>
      <c r="D32" s="60">
        <v>888.96029923757055</v>
      </c>
      <c r="E32" s="60">
        <v>18.982176735003758</v>
      </c>
      <c r="F32" s="60">
        <v>0</v>
      </c>
      <c r="G32" s="60">
        <v>1214.5465236028042</v>
      </c>
      <c r="H32" s="61">
        <v>27.775998741388403</v>
      </c>
      <c r="I32" s="59">
        <v>139.20803325176249</v>
      </c>
      <c r="J32" s="60">
        <v>268.56980725924132</v>
      </c>
      <c r="K32" s="60">
        <v>14.652444891134909</v>
      </c>
      <c r="L32" s="50">
        <v>0</v>
      </c>
      <c r="M32" s="5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209.62346303544106</v>
      </c>
      <c r="V32" s="62">
        <v>183.41767521088522</v>
      </c>
      <c r="W32" s="62">
        <v>31.665567479927603</v>
      </c>
      <c r="X32" s="62">
        <v>27.70694027900764</v>
      </c>
      <c r="Y32" s="66">
        <v>118.20374616299009</v>
      </c>
      <c r="Z32" s="66">
        <v>103.42666802889181</v>
      </c>
      <c r="AA32" s="67">
        <v>0</v>
      </c>
      <c r="AB32" s="68">
        <v>73.059263976415295</v>
      </c>
      <c r="AC32" s="69">
        <v>0</v>
      </c>
      <c r="AD32" s="409">
        <v>8.4502860414633822</v>
      </c>
      <c r="AE32" s="409">
        <v>6.9792765263705752</v>
      </c>
      <c r="AF32" s="69">
        <v>14.962087597449619</v>
      </c>
      <c r="AG32" s="68">
        <v>7.8298741314951092</v>
      </c>
      <c r="AH32" s="68">
        <v>6.8510332268953791</v>
      </c>
      <c r="AI32" s="68">
        <v>0.53333720732323464</v>
      </c>
      <c r="AJ32" s="69">
        <v>249.35670294761655</v>
      </c>
      <c r="AK32" s="69">
        <v>1064.2714438120524</v>
      </c>
      <c r="AL32" s="69">
        <v>2851.0929334004718</v>
      </c>
      <c r="AM32" s="69">
        <v>465.32405090332031</v>
      </c>
      <c r="AN32" s="69">
        <v>7179.980712890625</v>
      </c>
      <c r="AO32" s="69">
        <v>2504.4935085296629</v>
      </c>
      <c r="AP32" s="69">
        <v>477.10165139834072</v>
      </c>
      <c r="AQ32" s="69">
        <v>1908.9943499247238</v>
      </c>
      <c r="AR32" s="69">
        <v>437.50249141057333</v>
      </c>
      <c r="AS32" s="69">
        <v>761.24434833526618</v>
      </c>
    </row>
    <row r="33" spans="1:45" x14ac:dyDescent="0.25">
      <c r="A33" s="11">
        <v>43734</v>
      </c>
      <c r="B33" s="59"/>
      <c r="C33" s="60">
        <v>318.49985721111329</v>
      </c>
      <c r="D33" s="60">
        <v>889.10607662200925</v>
      </c>
      <c r="E33" s="60">
        <v>18.068865343928309</v>
      </c>
      <c r="F33" s="60">
        <v>0</v>
      </c>
      <c r="G33" s="60">
        <v>1220.7881600062042</v>
      </c>
      <c r="H33" s="61">
        <v>27.790963457028102</v>
      </c>
      <c r="I33" s="59">
        <v>143.30783734321614</v>
      </c>
      <c r="J33" s="60">
        <v>288.67724968592353</v>
      </c>
      <c r="K33" s="60">
        <v>15.688183248043019</v>
      </c>
      <c r="L33" s="50">
        <v>0</v>
      </c>
      <c r="M33" s="5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210.84618601959744</v>
      </c>
      <c r="V33" s="62">
        <v>184.31074030503686</v>
      </c>
      <c r="W33" s="62">
        <v>31.958919150045023</v>
      </c>
      <c r="X33" s="62">
        <v>27.9368204808131</v>
      </c>
      <c r="Y33" s="66">
        <v>119.14873376926904</v>
      </c>
      <c r="Z33" s="66">
        <v>104.15360951978793</v>
      </c>
      <c r="AA33" s="67">
        <v>0</v>
      </c>
      <c r="AB33" s="68">
        <v>73.240756834877587</v>
      </c>
      <c r="AC33" s="69">
        <v>0</v>
      </c>
      <c r="AD33" s="409">
        <v>8.5094259382188078</v>
      </c>
      <c r="AE33" s="409">
        <v>6.9578972844294578</v>
      </c>
      <c r="AF33" s="69">
        <v>15.011524386207274</v>
      </c>
      <c r="AG33" s="68">
        <v>7.8696019588485679</v>
      </c>
      <c r="AH33" s="68">
        <v>6.8791956369869256</v>
      </c>
      <c r="AI33" s="68">
        <v>0.53357583272216369</v>
      </c>
      <c r="AJ33" s="69">
        <v>248.63168160120648</v>
      </c>
      <c r="AK33" s="69">
        <v>1062.7131777445477</v>
      </c>
      <c r="AL33" s="69">
        <v>2948.2989718119306</v>
      </c>
      <c r="AM33" s="69">
        <v>465.32405090332031</v>
      </c>
      <c r="AN33" s="69">
        <v>7179.980712890625</v>
      </c>
      <c r="AO33" s="69">
        <v>2516.5566443125404</v>
      </c>
      <c r="AP33" s="69">
        <v>467.16870878537486</v>
      </c>
      <c r="AQ33" s="69">
        <v>1918.5115247726442</v>
      </c>
      <c r="AR33" s="69">
        <v>446.12183341979983</v>
      </c>
      <c r="AS33" s="69">
        <v>710.08882964452107</v>
      </c>
    </row>
    <row r="34" spans="1:45" x14ac:dyDescent="0.25">
      <c r="A34" s="11">
        <v>43735</v>
      </c>
      <c r="B34" s="59"/>
      <c r="C34" s="60">
        <v>73.921854845683143</v>
      </c>
      <c r="D34" s="60">
        <v>888.31712951660018</v>
      </c>
      <c r="E34" s="60">
        <v>17.870996159315126</v>
      </c>
      <c r="F34" s="60">
        <v>0</v>
      </c>
      <c r="G34" s="60">
        <v>1275.0823957443258</v>
      </c>
      <c r="H34" s="61">
        <v>27.760162051518769</v>
      </c>
      <c r="I34" s="59">
        <v>142.07727100849169</v>
      </c>
      <c r="J34" s="60">
        <v>298.21756378809641</v>
      </c>
      <c r="K34" s="60">
        <v>15.895879853765148</v>
      </c>
      <c r="L34" s="50">
        <v>0</v>
      </c>
      <c r="M34" s="5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208.64657650955968</v>
      </c>
      <c r="V34" s="62">
        <v>182.5872212419759</v>
      </c>
      <c r="W34" s="62">
        <v>31.423615891945087</v>
      </c>
      <c r="X34" s="62">
        <v>27.498896953253233</v>
      </c>
      <c r="Y34" s="66">
        <v>124.39753052145727</v>
      </c>
      <c r="Z34" s="66">
        <v>108.86063796132353</v>
      </c>
      <c r="AA34" s="67">
        <v>0</v>
      </c>
      <c r="AB34" s="68">
        <v>72.924344682693985</v>
      </c>
      <c r="AC34" s="69">
        <v>0</v>
      </c>
      <c r="AD34" s="409">
        <v>8.4393121919339702</v>
      </c>
      <c r="AE34" s="409">
        <v>6.9648690951883996</v>
      </c>
      <c r="AF34" s="69">
        <v>14.859532827801162</v>
      </c>
      <c r="AG34" s="68">
        <v>7.7899841165445407</v>
      </c>
      <c r="AH34" s="68">
        <v>6.8170375817013591</v>
      </c>
      <c r="AI34" s="68">
        <v>0.53330406960920784</v>
      </c>
      <c r="AJ34" s="69">
        <v>257.26932252248127</v>
      </c>
      <c r="AK34" s="69">
        <v>1074.0662090937299</v>
      </c>
      <c r="AL34" s="69">
        <v>2904.6063203175863</v>
      </c>
      <c r="AM34" s="69">
        <v>465.32405090332031</v>
      </c>
      <c r="AN34" s="69">
        <v>7179.980712890625</v>
      </c>
      <c r="AO34" s="69">
        <v>2507.1779739379876</v>
      </c>
      <c r="AP34" s="69">
        <v>457.86721889177966</v>
      </c>
      <c r="AQ34" s="69">
        <v>1937.4330664952597</v>
      </c>
      <c r="AR34" s="69">
        <v>432.70464817682904</v>
      </c>
      <c r="AS34" s="69">
        <v>682.83719860712677</v>
      </c>
    </row>
    <row r="35" spans="1:45" x14ac:dyDescent="0.25">
      <c r="A35" s="11">
        <v>43736</v>
      </c>
      <c r="B35" s="59"/>
      <c r="C35" s="60">
        <v>73.992912383874</v>
      </c>
      <c r="D35" s="60">
        <v>890.52874704996748</v>
      </c>
      <c r="E35" s="60">
        <v>18.259568275014573</v>
      </c>
      <c r="F35" s="60">
        <v>0</v>
      </c>
      <c r="G35" s="60">
        <v>1328.1393321355154</v>
      </c>
      <c r="H35" s="61">
        <v>27.783116128047361</v>
      </c>
      <c r="I35" s="59">
        <v>142.11695199012777</v>
      </c>
      <c r="J35" s="60">
        <v>298.12232179641722</v>
      </c>
      <c r="K35" s="60">
        <v>15.873157442609438</v>
      </c>
      <c r="L35" s="50">
        <v>0</v>
      </c>
      <c r="M35" s="5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209.63881387965256</v>
      </c>
      <c r="V35" s="62">
        <v>183.50156242327381</v>
      </c>
      <c r="W35" s="62">
        <v>31.764470148455722</v>
      </c>
      <c r="X35" s="62">
        <v>27.804154173163873</v>
      </c>
      <c r="Y35" s="66">
        <v>124.97763171019926</v>
      </c>
      <c r="Z35" s="66">
        <v>109.39572812097455</v>
      </c>
      <c r="AA35" s="67">
        <v>0</v>
      </c>
      <c r="AB35" s="68">
        <v>73.428135734132823</v>
      </c>
      <c r="AC35" s="69">
        <v>0</v>
      </c>
      <c r="AD35" s="409">
        <v>8.4378939753778237</v>
      </c>
      <c r="AE35" s="409">
        <v>6.946390392648758</v>
      </c>
      <c r="AF35" s="69">
        <v>14.93749012814629</v>
      </c>
      <c r="AG35" s="68">
        <v>7.8266785010823368</v>
      </c>
      <c r="AH35" s="68">
        <v>6.8508674846717081</v>
      </c>
      <c r="AI35" s="68">
        <v>0.53324162695036847</v>
      </c>
      <c r="AJ35" s="69">
        <v>250.9038612206777</v>
      </c>
      <c r="AK35" s="69">
        <v>1063.0539468129477</v>
      </c>
      <c r="AL35" s="69">
        <v>2789.8013612111413</v>
      </c>
      <c r="AM35" s="69">
        <v>465.32405090332031</v>
      </c>
      <c r="AN35" s="69">
        <v>7179.980712890625</v>
      </c>
      <c r="AO35" s="69">
        <v>2470.2427038828528</v>
      </c>
      <c r="AP35" s="69">
        <v>429.81240913073225</v>
      </c>
      <c r="AQ35" s="69">
        <v>1926.7855336507162</v>
      </c>
      <c r="AR35" s="69">
        <v>416.17583783467609</v>
      </c>
      <c r="AS35" s="69">
        <v>700.97861954371126</v>
      </c>
    </row>
    <row r="36" spans="1:45" x14ac:dyDescent="0.25">
      <c r="A36" s="11">
        <v>43737</v>
      </c>
      <c r="B36" s="59"/>
      <c r="C36" s="60">
        <v>74.128813079992867</v>
      </c>
      <c r="D36" s="60">
        <v>886.7988637288405</v>
      </c>
      <c r="E36" s="60">
        <v>17.94282875657083</v>
      </c>
      <c r="F36" s="60">
        <v>0</v>
      </c>
      <c r="G36" s="60">
        <v>1548.8637565612833</v>
      </c>
      <c r="H36" s="61">
        <v>27.879231981436451</v>
      </c>
      <c r="I36" s="59">
        <v>141.96615006923696</v>
      </c>
      <c r="J36" s="60">
        <v>297.83831006685955</v>
      </c>
      <c r="K36" s="60">
        <v>15.820137688517526</v>
      </c>
      <c r="L36" s="60">
        <v>0</v>
      </c>
      <c r="M36" s="5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214.37897831525908</v>
      </c>
      <c r="V36" s="62">
        <v>181.06892851796613</v>
      </c>
      <c r="W36" s="62">
        <v>32.163243879137532</v>
      </c>
      <c r="X36" s="62">
        <v>27.165742427847654</v>
      </c>
      <c r="Y36" s="66">
        <v>125.15004435484661</v>
      </c>
      <c r="Z36" s="66">
        <v>105.70432144696468</v>
      </c>
      <c r="AA36" s="67">
        <v>0</v>
      </c>
      <c r="AB36" s="68">
        <v>73.72388175328534</v>
      </c>
      <c r="AC36" s="69">
        <v>0</v>
      </c>
      <c r="AD36" s="409">
        <v>8.4297455546891182</v>
      </c>
      <c r="AE36" s="409">
        <v>6.9474070271365411</v>
      </c>
      <c r="AF36" s="69">
        <v>14.679706754618204</v>
      </c>
      <c r="AG36" s="68">
        <v>7.8188048724190082</v>
      </c>
      <c r="AH36" s="68">
        <v>6.6039246556069315</v>
      </c>
      <c r="AI36" s="68">
        <v>0.54211686194528397</v>
      </c>
      <c r="AJ36" s="69">
        <v>218.92622679074603</v>
      </c>
      <c r="AK36" s="69">
        <v>939.97453594207752</v>
      </c>
      <c r="AL36" s="69">
        <v>2841.3288141886396</v>
      </c>
      <c r="AM36" s="69">
        <v>465.32405090332031</v>
      </c>
      <c r="AN36" s="69">
        <v>7179.980712890625</v>
      </c>
      <c r="AO36" s="69">
        <v>2453.3173582712802</v>
      </c>
      <c r="AP36" s="69">
        <v>448.61287738482156</v>
      </c>
      <c r="AQ36" s="69">
        <v>1881.5558485666911</v>
      </c>
      <c r="AR36" s="69">
        <v>423.31268971761068</v>
      </c>
      <c r="AS36" s="69">
        <v>778.17199589411427</v>
      </c>
    </row>
    <row r="37" spans="1:45" x14ac:dyDescent="0.25">
      <c r="A37" s="11">
        <v>43738</v>
      </c>
      <c r="B37" s="65"/>
      <c r="C37" s="66">
        <v>123.56920275290736</v>
      </c>
      <c r="D37" s="66">
        <v>880.27097415923936</v>
      </c>
      <c r="E37" s="60">
        <v>17.906754631797522</v>
      </c>
      <c r="F37" s="66">
        <v>0</v>
      </c>
      <c r="G37" s="66">
        <v>1589.43867638906</v>
      </c>
      <c r="H37" s="67">
        <v>27.999943079551148</v>
      </c>
      <c r="I37" s="71">
        <v>141.96426636377981</v>
      </c>
      <c r="J37" s="66">
        <v>297.85414725939444</v>
      </c>
      <c r="K37" s="66">
        <v>15.860230191548652</v>
      </c>
      <c r="L37" s="66">
        <v>0</v>
      </c>
      <c r="M37" s="66">
        <v>0</v>
      </c>
      <c r="N37" s="67">
        <v>0</v>
      </c>
      <c r="O37" s="71">
        <v>0</v>
      </c>
      <c r="P37" s="66">
        <v>0</v>
      </c>
      <c r="Q37" s="66">
        <v>0</v>
      </c>
      <c r="R37" s="390">
        <v>0</v>
      </c>
      <c r="S37" s="66">
        <v>0</v>
      </c>
      <c r="T37" s="392">
        <v>0</v>
      </c>
      <c r="U37" s="71">
        <v>212.92579917705825</v>
      </c>
      <c r="V37" s="66">
        <v>186.35015040705326</v>
      </c>
      <c r="W37" s="62">
        <v>32.249715939114907</v>
      </c>
      <c r="X37" s="62">
        <v>28.224571372121105</v>
      </c>
      <c r="Y37" s="66">
        <v>126.9260690380884</v>
      </c>
      <c r="Z37" s="66">
        <v>111.08419997595229</v>
      </c>
      <c r="AA37" s="67">
        <v>0</v>
      </c>
      <c r="AB37" s="68">
        <v>73.7210135512872</v>
      </c>
      <c r="AC37" s="391">
        <v>0</v>
      </c>
      <c r="AD37" s="409">
        <v>8.4298192854939646</v>
      </c>
      <c r="AE37" s="409">
        <v>6.9626617134674182</v>
      </c>
      <c r="AF37" s="391">
        <v>15.143239646156641</v>
      </c>
      <c r="AG37" s="68">
        <v>7.9261163481499395</v>
      </c>
      <c r="AH37" s="68">
        <v>6.9368436297065132</v>
      </c>
      <c r="AI37" s="68">
        <v>0.5332798015979755</v>
      </c>
      <c r="AJ37" s="391">
        <v>251.55334480603534</v>
      </c>
      <c r="AK37" s="391">
        <v>847.23855212529509</v>
      </c>
      <c r="AL37" s="391">
        <v>2924.7879542032883</v>
      </c>
      <c r="AM37" s="391">
        <v>473.2820997873942</v>
      </c>
      <c r="AN37" s="391">
        <v>5763.2021741231283</v>
      </c>
      <c r="AO37" s="391">
        <v>2459.1476351420083</v>
      </c>
      <c r="AP37" s="391">
        <v>458.67119092941277</v>
      </c>
      <c r="AQ37" s="391">
        <v>1891.8928860346473</v>
      </c>
      <c r="AR37" s="391">
        <v>430.78489967981977</v>
      </c>
      <c r="AS37" s="391">
        <v>741.90205850601205</v>
      </c>
    </row>
    <row r="38" spans="1:45" ht="15.75" thickBot="1" x14ac:dyDescent="0.3">
      <c r="A38" s="11"/>
      <c r="B38" s="382"/>
      <c r="C38" s="384"/>
      <c r="D38" s="384"/>
      <c r="E38" s="60"/>
      <c r="F38" s="384"/>
      <c r="G38" s="384"/>
      <c r="H38" s="385"/>
      <c r="I38" s="386"/>
      <c r="J38" s="384"/>
      <c r="K38" s="384"/>
      <c r="L38" s="384"/>
      <c r="M38" s="50"/>
      <c r="N38" s="385"/>
      <c r="O38" s="386"/>
      <c r="P38" s="384"/>
      <c r="Q38" s="384"/>
      <c r="R38" s="387"/>
      <c r="S38" s="384"/>
      <c r="T38" s="388"/>
      <c r="U38" s="386"/>
      <c r="V38" s="384"/>
      <c r="W38" s="383"/>
      <c r="X38" s="383"/>
      <c r="Y38" s="384"/>
      <c r="Z38" s="384"/>
      <c r="AA38" s="385"/>
      <c r="AB38" s="389"/>
      <c r="AC38" s="85"/>
      <c r="AD38" s="409"/>
      <c r="AE38" s="409"/>
      <c r="AF38" s="85"/>
      <c r="AG38" s="389"/>
      <c r="AH38" s="389"/>
      <c r="AI38" s="389"/>
      <c r="AJ38" s="85"/>
      <c r="AK38" s="85"/>
      <c r="AL38" s="85"/>
      <c r="AM38" s="85"/>
      <c r="AN38" s="85"/>
      <c r="AO38" s="85"/>
      <c r="AP38" s="85"/>
      <c r="AQ38" s="85"/>
      <c r="AR38" s="85"/>
      <c r="AS38" s="85"/>
    </row>
    <row r="39" spans="1:45" ht="15.75" thickTop="1" x14ac:dyDescent="0.25">
      <c r="A39" s="46" t="s">
        <v>171</v>
      </c>
      <c r="B39" s="29">
        <f t="shared" ref="B39:AC39" si="0">SUM(B8:B37)</f>
        <v>0</v>
      </c>
      <c r="C39" s="30">
        <f t="shared" si="0"/>
        <v>3030.9329661309721</v>
      </c>
      <c r="D39" s="30">
        <f t="shared" si="0"/>
        <v>29788.609629313152</v>
      </c>
      <c r="E39" s="30">
        <f t="shared" si="0"/>
        <v>624.60290315747341</v>
      </c>
      <c r="F39" s="30">
        <f t="shared" si="0"/>
        <v>0</v>
      </c>
      <c r="G39" s="30">
        <f t="shared" si="0"/>
        <v>47287.231973203059</v>
      </c>
      <c r="H39" s="31">
        <f t="shared" si="0"/>
        <v>936.61121858358513</v>
      </c>
      <c r="I39" s="29">
        <f t="shared" si="0"/>
        <v>4770.4707266648638</v>
      </c>
      <c r="J39" s="30">
        <f t="shared" si="0"/>
        <v>10741.871764532731</v>
      </c>
      <c r="K39" s="30">
        <f t="shared" si="0"/>
        <v>588.04581474016106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8059.0008128301743</v>
      </c>
      <c r="V39" s="262">
        <f t="shared" si="0"/>
        <v>5875.4992010192964</v>
      </c>
      <c r="W39" s="262">
        <f t="shared" si="0"/>
        <v>1261.9623461911642</v>
      </c>
      <c r="X39" s="262">
        <f t="shared" si="0"/>
        <v>914.5109775672787</v>
      </c>
      <c r="Y39" s="262">
        <f t="shared" si="0"/>
        <v>5156.0216693420552</v>
      </c>
      <c r="Z39" s="262">
        <f t="shared" si="0"/>
        <v>3696.7815522810474</v>
      </c>
      <c r="AA39" s="270">
        <f t="shared" si="0"/>
        <v>0</v>
      </c>
      <c r="AB39" s="273">
        <f t="shared" si="0"/>
        <v>2715.9146572801678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SUM(AJ8:AJ37)</f>
        <v>7242.0444919586162</v>
      </c>
      <c r="AK39" s="273">
        <f t="shared" si="1"/>
        <v>31138.416601403555</v>
      </c>
      <c r="AL39" s="273">
        <f t="shared" si="1"/>
        <v>88305.582269414284</v>
      </c>
      <c r="AM39" s="273">
        <f t="shared" si="1"/>
        <v>13967.679575983684</v>
      </c>
      <c r="AN39" s="273">
        <f t="shared" si="1"/>
        <v>213982.64284795124</v>
      </c>
      <c r="AO39" s="273">
        <f t="shared" si="1"/>
        <v>77130.084362665802</v>
      </c>
      <c r="AP39" s="273">
        <f t="shared" si="1"/>
        <v>14641.056386947632</v>
      </c>
      <c r="AQ39" s="273">
        <f t="shared" si="1"/>
        <v>76267.053470611587</v>
      </c>
      <c r="AR39" s="273">
        <f t="shared" si="1"/>
        <v>13373.671818606059</v>
      </c>
      <c r="AS39" s="273">
        <f t="shared" si="1"/>
        <v>23219.191896867753</v>
      </c>
    </row>
    <row r="40" spans="1:45" ht="15.75" thickBot="1" x14ac:dyDescent="0.3">
      <c r="A40" s="47" t="s">
        <v>172</v>
      </c>
      <c r="B40" s="32">
        <f>Projection!$AC$30</f>
        <v>0.82128400199999985</v>
      </c>
      <c r="C40" s="33">
        <f>Projection!$AC$28</f>
        <v>1.4863548</v>
      </c>
      <c r="D40" s="33">
        <f>Projection!$AC$31</f>
        <v>3.0824639999999999</v>
      </c>
      <c r="E40" s="33">
        <f>Projection!$AC$26</f>
        <v>4.3368000000000002</v>
      </c>
      <c r="F40" s="33">
        <f>Projection!$AC$23</f>
        <v>0</v>
      </c>
      <c r="G40" s="33">
        <f>Projection!$AC$24</f>
        <v>5.9975000000000001E-2</v>
      </c>
      <c r="H40" s="34">
        <f>Projection!$AC$29</f>
        <v>3.7390305000000001</v>
      </c>
      <c r="I40" s="32">
        <f>Projection!$AC$30</f>
        <v>0.82128400199999985</v>
      </c>
      <c r="J40" s="33">
        <f>Projection!$AC$28</f>
        <v>1.4863548</v>
      </c>
      <c r="K40" s="33">
        <f>Projection!$AC$26</f>
        <v>4.3368000000000002</v>
      </c>
      <c r="L40" s="33">
        <f>Projection!$AC$25</f>
        <v>0</v>
      </c>
      <c r="M40" s="33">
        <f>Projection!$AC$23</f>
        <v>0</v>
      </c>
      <c r="N40" s="34">
        <f>Projection!$AC$23</f>
        <v>0</v>
      </c>
      <c r="O40" s="264">
        <v>15.77</v>
      </c>
      <c r="P40" s="265">
        <v>15.77</v>
      </c>
      <c r="Q40" s="265">
        <v>15.77</v>
      </c>
      <c r="R40" s="265">
        <v>15.77</v>
      </c>
      <c r="S40" s="265">
        <f>Projection!$AC$28</f>
        <v>1.4863548</v>
      </c>
      <c r="T40" s="266">
        <f>Projection!$AC$28</f>
        <v>1.4863548</v>
      </c>
      <c r="U40" s="264">
        <f>Projection!$AC$27</f>
        <v>0.29960000000000003</v>
      </c>
      <c r="V40" s="265">
        <f>Projection!$AC$27</f>
        <v>0.29960000000000003</v>
      </c>
      <c r="W40" s="265">
        <f>Projection!$AC$22</f>
        <v>0.74349432000000004</v>
      </c>
      <c r="X40" s="265">
        <f>Projection!$AC$22</f>
        <v>0.74349432000000004</v>
      </c>
      <c r="Y40" s="265">
        <f>Projection!$AC$31</f>
        <v>3.0824639999999999</v>
      </c>
      <c r="Z40" s="265">
        <f>Projection!$AC$31</f>
        <v>3.0824639999999999</v>
      </c>
      <c r="AA40" s="271">
        <v>0</v>
      </c>
      <c r="AB40" s="274">
        <f>Projection!$AC$27</f>
        <v>0.29960000000000003</v>
      </c>
      <c r="AC40" s="274">
        <f>Projection!$AC$30</f>
        <v>0.82128400199999985</v>
      </c>
      <c r="AD40" s="400">
        <f>SUM(AD8:AD38)</f>
        <v>333.42325543657171</v>
      </c>
      <c r="AE40" s="400">
        <f>SUM(AE8:AE38)</f>
        <v>233.63257958584444</v>
      </c>
      <c r="AF40" s="277">
        <f>SUM(AF8:AF37)</f>
        <v>551.58400390611769</v>
      </c>
      <c r="AG40" s="277">
        <f>SUM(AG8:AG37)</f>
        <v>315.69127888265649</v>
      </c>
      <c r="AH40" s="277">
        <f>SUM(AH8:AH37)</f>
        <v>228.64209231949769</v>
      </c>
      <c r="AI40" s="277">
        <f>IF(SUM(AG40:AH40)&gt;0, AG40/(AG40+AH40),0)</f>
        <v>0.57995944320932558</v>
      </c>
      <c r="AJ40" s="312">
        <v>6.5000000000000002E-2</v>
      </c>
      <c r="AK40" s="312">
        <f t="shared" ref="AK40:AS40" si="2">$AJ$40</f>
        <v>6.5000000000000002E-2</v>
      </c>
      <c r="AL40" s="312">
        <f t="shared" si="2"/>
        <v>6.5000000000000002E-2</v>
      </c>
      <c r="AM40" s="312">
        <f t="shared" si="2"/>
        <v>6.5000000000000002E-2</v>
      </c>
      <c r="AN40" s="312">
        <f t="shared" si="2"/>
        <v>6.5000000000000002E-2</v>
      </c>
      <c r="AO40" s="312">
        <f t="shared" si="2"/>
        <v>6.5000000000000002E-2</v>
      </c>
      <c r="AP40" s="312">
        <f t="shared" si="2"/>
        <v>6.5000000000000002E-2</v>
      </c>
      <c r="AQ40" s="312">
        <f t="shared" si="2"/>
        <v>6.5000000000000002E-2</v>
      </c>
      <c r="AR40" s="312">
        <f t="shared" si="2"/>
        <v>6.5000000000000002E-2</v>
      </c>
      <c r="AS40" s="312">
        <f t="shared" si="2"/>
        <v>6.5000000000000002E-2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>C40*C39</f>
        <v>4505.0417626870076</v>
      </c>
      <c r="D41" s="36">
        <f t="shared" si="3"/>
        <v>91822.316792411133</v>
      </c>
      <c r="E41" s="36">
        <f t="shared" si="3"/>
        <v>2708.7778704133307</v>
      </c>
      <c r="F41" s="36">
        <f t="shared" si="3"/>
        <v>0</v>
      </c>
      <c r="G41" s="36">
        <f t="shared" si="3"/>
        <v>2836.0517375928534</v>
      </c>
      <c r="H41" s="37">
        <f t="shared" si="3"/>
        <v>3502.0179129261919</v>
      </c>
      <c r="I41" s="35">
        <f t="shared" si="3"/>
        <v>3917.9112898191665</v>
      </c>
      <c r="J41" s="36">
        <f t="shared" si="3"/>
        <v>15966.232658197694</v>
      </c>
      <c r="K41" s="36">
        <f t="shared" si="3"/>
        <v>2550.2370893651305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2414.4766435239203</v>
      </c>
      <c r="V41" s="268">
        <f t="shared" si="3"/>
        <v>1760.2995606253814</v>
      </c>
      <c r="W41" s="268">
        <f t="shared" si="3"/>
        <v>938.26183644700427</v>
      </c>
      <c r="X41" s="268">
        <f t="shared" si="3"/>
        <v>679.93371739891916</v>
      </c>
      <c r="Y41" s="268">
        <f t="shared" si="3"/>
        <v>15893.251178966788</v>
      </c>
      <c r="Z41" s="268">
        <f t="shared" si="3"/>
        <v>11395.196050770446</v>
      </c>
      <c r="AA41" s="272">
        <f t="shared" si="3"/>
        <v>0</v>
      </c>
      <c r="AB41" s="275">
        <f t="shared" si="3"/>
        <v>813.6880313211384</v>
      </c>
      <c r="AC41" s="275">
        <f t="shared" si="3"/>
        <v>0</v>
      </c>
      <c r="AJ41" s="278">
        <f t="shared" ref="AJ41:AK41" si="4">AJ40*AJ39</f>
        <v>470.73289197731009</v>
      </c>
      <c r="AK41" s="278">
        <f t="shared" si="4"/>
        <v>2023.9970790912312</v>
      </c>
      <c r="AL41" s="278">
        <f t="shared" ref="AL41:AS41" si="5">AL40*AL39</f>
        <v>5739.8628475119285</v>
      </c>
      <c r="AM41" s="278">
        <f t="shared" si="5"/>
        <v>907.89917243893944</v>
      </c>
      <c r="AN41" s="278">
        <f t="shared" si="5"/>
        <v>13908.871785116831</v>
      </c>
      <c r="AO41" s="278">
        <f t="shared" si="5"/>
        <v>5013.455483573277</v>
      </c>
      <c r="AP41" s="278">
        <f t="shared" si="5"/>
        <v>951.66866515159609</v>
      </c>
      <c r="AQ41" s="278">
        <f t="shared" si="5"/>
        <v>4957.3584755897537</v>
      </c>
      <c r="AR41" s="278">
        <f t="shared" si="5"/>
        <v>869.2886682093939</v>
      </c>
      <c r="AS41" s="278">
        <f t="shared" si="5"/>
        <v>1509.247473296404</v>
      </c>
    </row>
    <row r="42" spans="1:45" ht="49.5" customHeight="1" thickTop="1" thickBot="1" x14ac:dyDescent="0.3">
      <c r="A42" s="633">
        <f>AUGUST!$A$42+31</f>
        <v>43710</v>
      </c>
      <c r="B42" s="634"/>
      <c r="C42" s="634"/>
      <c r="D42" s="634"/>
      <c r="E42" s="634"/>
      <c r="F42" s="634"/>
      <c r="G42" s="634"/>
      <c r="H42" s="634"/>
      <c r="I42" s="634"/>
      <c r="J42" s="634"/>
      <c r="K42" s="63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248.23</v>
      </c>
      <c r="AK42" s="278" t="s">
        <v>197</v>
      </c>
      <c r="AL42" s="278">
        <v>163.47</v>
      </c>
      <c r="AM42" s="278">
        <v>37.78</v>
      </c>
      <c r="AN42" s="278">
        <v>298.82</v>
      </c>
      <c r="AO42" s="278">
        <v>1074.53</v>
      </c>
      <c r="AP42" s="278">
        <v>82.45</v>
      </c>
      <c r="AQ42" s="278" t="s">
        <v>197</v>
      </c>
      <c r="AR42" s="278">
        <v>37.78</v>
      </c>
      <c r="AS42" s="278">
        <v>63.1</v>
      </c>
    </row>
    <row r="43" spans="1:45" ht="38.25" customHeight="1" thickTop="1" thickBot="1" x14ac:dyDescent="0.3">
      <c r="A43" s="630" t="s">
        <v>49</v>
      </c>
      <c r="B43" s="626"/>
      <c r="C43" s="289"/>
      <c r="D43" s="626" t="s">
        <v>47</v>
      </c>
      <c r="E43" s="626"/>
      <c r="F43" s="289"/>
      <c r="G43" s="626" t="s">
        <v>48</v>
      </c>
      <c r="H43" s="626"/>
      <c r="I43" s="290"/>
      <c r="J43" s="626" t="s">
        <v>50</v>
      </c>
      <c r="K43" s="627"/>
      <c r="L43" s="44"/>
      <c r="M43" s="44"/>
      <c r="N43" s="44"/>
      <c r="O43" s="45"/>
      <c r="P43" s="45"/>
      <c r="Q43" s="45"/>
      <c r="R43" s="615" t="s">
        <v>166</v>
      </c>
      <c r="S43" s="616"/>
      <c r="T43" s="616"/>
      <c r="U43" s="617"/>
      <c r="AC43" s="45"/>
      <c r="AD43" s="45"/>
      <c r="AE43" s="45"/>
    </row>
    <row r="44" spans="1:45" ht="61.5" customHeight="1" thickTop="1" thickBot="1" x14ac:dyDescent="0.3">
      <c r="A44" s="282" t="s">
        <v>135</v>
      </c>
      <c r="B44" s="283">
        <f>SUM(B41:AC41)</f>
        <v>161703.69413246607</v>
      </c>
      <c r="C44" s="12"/>
      <c r="D44" s="282" t="s">
        <v>135</v>
      </c>
      <c r="E44" s="283">
        <f>SUM(B41:H41)+P41+R41+T41+V41+X41+Z41</f>
        <v>119209.63540482527</v>
      </c>
      <c r="F44" s="12"/>
      <c r="G44" s="282" t="s">
        <v>135</v>
      </c>
      <c r="H44" s="283">
        <f>SUM(I41:N41)+O41+Q41+S41+U41+W41+Y41</f>
        <v>41680.370696319704</v>
      </c>
      <c r="I44" s="12"/>
      <c r="J44" s="282" t="s">
        <v>198</v>
      </c>
      <c r="K44" s="283">
        <v>147624.80000000002</v>
      </c>
      <c r="L44" s="12"/>
      <c r="M44" s="12"/>
      <c r="N44" s="12"/>
      <c r="O44" s="12"/>
      <c r="P44" s="12"/>
      <c r="Q44" s="12"/>
      <c r="R44" s="300" t="s">
        <v>135</v>
      </c>
      <c r="S44" s="301"/>
      <c r="T44" s="297" t="s">
        <v>167</v>
      </c>
      <c r="U44" s="255" t="s">
        <v>168</v>
      </c>
    </row>
    <row r="45" spans="1:45" ht="60" customHeight="1" thickBot="1" x14ac:dyDescent="0.4">
      <c r="A45" s="284" t="s">
        <v>183</v>
      </c>
      <c r="B45" s="285">
        <f>SUM(AJ41:AS41)</f>
        <v>36352.382541956671</v>
      </c>
      <c r="C45" s="373">
        <f>B45/B49</f>
        <v>65.905432870645797</v>
      </c>
      <c r="D45" s="284" t="s">
        <v>183</v>
      </c>
      <c r="E45" s="285">
        <f>AJ41*(1-$AI$40)+AK41+AL41*0.5+AN41+AO41*(1-$AI$40)+AP41*(1-$AI$40)+AQ41*(1-$AI$40)+AR41*0.5+AS41*0.5</f>
        <v>24777.680947816345</v>
      </c>
      <c r="F45" s="24"/>
      <c r="G45" s="284" t="s">
        <v>183</v>
      </c>
      <c r="H45" s="285">
        <f>AJ41*AI40+AL41*0.5+AM41+AO41*AI40+AP41*AI40+AQ41*AI40+AR41*0.5+AS41*0.5</f>
        <v>11574.701594140322</v>
      </c>
      <c r="I45" s="12"/>
      <c r="J45" s="12"/>
      <c r="K45" s="288"/>
      <c r="L45" s="12"/>
      <c r="M45" s="12"/>
      <c r="N45" s="12"/>
      <c r="O45" s="12"/>
      <c r="P45" s="12"/>
      <c r="Q45" s="12"/>
      <c r="R45" s="298" t="s">
        <v>141</v>
      </c>
      <c r="S45" s="299"/>
      <c r="T45" s="254">
        <f>$W$39+$X$39</f>
        <v>2176.4733237584428</v>
      </c>
      <c r="U45" s="256">
        <f>(T45*8.34*0.895)/27000</f>
        <v>0.60169814187148685</v>
      </c>
    </row>
    <row r="46" spans="1:45" ht="32.25" thickBot="1" x14ac:dyDescent="0.3">
      <c r="A46" s="286" t="s">
        <v>184</v>
      </c>
      <c r="B46" s="287">
        <f>SUM(AJ42:AS42)</f>
        <v>2006.1599999999999</v>
      </c>
      <c r="C46" s="12"/>
      <c r="D46" s="286" t="s">
        <v>184</v>
      </c>
      <c r="E46" s="287">
        <f>AJ42*(1-$AI$40)+AL42*0.5+AN42+AO42*(1-$AI$40)+AP42*(1-$AI$40)+AR42*0.5+AS42*0.5</f>
        <v>1021.2401908078236</v>
      </c>
      <c r="F46" s="23"/>
      <c r="G46" s="286" t="s">
        <v>184</v>
      </c>
      <c r="H46" s="287">
        <f>AJ42*AI40+AL42*0.5+AM42+AO42*AI40+AP42*AI40+AR42*0.5+AS42*0.5</f>
        <v>984.91980919217633</v>
      </c>
      <c r="I46" s="12"/>
      <c r="J46" s="628" t="s">
        <v>199</v>
      </c>
      <c r="K46" s="629"/>
      <c r="L46" s="12"/>
      <c r="M46" s="12"/>
      <c r="N46" s="12"/>
      <c r="O46" s="12"/>
      <c r="P46" s="12"/>
      <c r="Q46" s="12"/>
      <c r="R46" s="298" t="s">
        <v>145</v>
      </c>
      <c r="S46" s="299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147624.80000000002</v>
      </c>
      <c r="C47" s="12"/>
      <c r="D47" s="286" t="s">
        <v>187</v>
      </c>
      <c r="E47" s="287">
        <f>K44*0.5</f>
        <v>73812.400000000009</v>
      </c>
      <c r="F47" s="24"/>
      <c r="G47" s="286" t="s">
        <v>185</v>
      </c>
      <c r="H47" s="287">
        <f>K44*0.5</f>
        <v>73812.400000000009</v>
      </c>
      <c r="I47" s="12"/>
      <c r="J47" s="282" t="s">
        <v>198</v>
      </c>
      <c r="K47" s="283">
        <v>40531.360000000001</v>
      </c>
      <c r="L47" s="12"/>
      <c r="M47" s="12"/>
      <c r="N47" s="12"/>
      <c r="O47" s="12"/>
      <c r="P47" s="12"/>
      <c r="Q47" s="12"/>
      <c r="R47" s="298" t="s">
        <v>148</v>
      </c>
      <c r="S47" s="299"/>
      <c r="T47" s="254">
        <f>$G$39</f>
        <v>47287.231973203059</v>
      </c>
      <c r="U47" s="256">
        <f>T47/40000</f>
        <v>1.1821807993300766</v>
      </c>
    </row>
    <row r="48" spans="1:45" ht="24" thickBot="1" x14ac:dyDescent="0.3">
      <c r="A48" s="286" t="s">
        <v>186</v>
      </c>
      <c r="B48" s="287">
        <f>K47</f>
        <v>40531.360000000001</v>
      </c>
      <c r="C48" s="12"/>
      <c r="D48" s="286" t="s">
        <v>186</v>
      </c>
      <c r="E48" s="287">
        <f>K47*0.5</f>
        <v>20265.68</v>
      </c>
      <c r="F48" s="23"/>
      <c r="G48" s="286" t="s">
        <v>186</v>
      </c>
      <c r="H48" s="287">
        <f>K47*0.5</f>
        <v>20265.68</v>
      </c>
      <c r="I48" s="12"/>
      <c r="J48" s="12"/>
      <c r="K48" s="86"/>
      <c r="L48" s="12"/>
      <c r="M48" s="12"/>
      <c r="N48" s="12"/>
      <c r="O48" s="12"/>
      <c r="P48" s="12"/>
      <c r="Q48" s="12"/>
      <c r="R48" s="298" t="s">
        <v>150</v>
      </c>
      <c r="S48" s="299"/>
      <c r="T48" s="254">
        <f>$L$39</f>
        <v>0</v>
      </c>
      <c r="U48" s="256">
        <f>T48*9.34*0.107</f>
        <v>0</v>
      </c>
    </row>
    <row r="49" spans="1:21" ht="46.5" customHeight="1" thickTop="1" thickBot="1" x14ac:dyDescent="0.3">
      <c r="A49" s="291" t="s">
        <v>194</v>
      </c>
      <c r="B49" s="292">
        <f>AF40</f>
        <v>551.58400390611769</v>
      </c>
      <c r="C49" s="373">
        <f>B44/B49</f>
        <v>293.16240679087718</v>
      </c>
      <c r="D49" s="291" t="s">
        <v>195</v>
      </c>
      <c r="E49" s="292">
        <f>AH40</f>
        <v>228.64209231949769</v>
      </c>
      <c r="F49" s="23"/>
      <c r="G49" s="291" t="s">
        <v>196</v>
      </c>
      <c r="H49" s="292">
        <f>AG40</f>
        <v>315.69127888265649</v>
      </c>
      <c r="I49" s="12"/>
      <c r="J49" s="12"/>
      <c r="K49" s="86"/>
      <c r="L49" s="12"/>
      <c r="M49" s="12"/>
      <c r="N49" s="12"/>
      <c r="O49" s="12"/>
      <c r="P49" s="12"/>
      <c r="Q49" s="12"/>
      <c r="R49" s="298" t="s">
        <v>152</v>
      </c>
      <c r="S49" s="299"/>
      <c r="T49" s="254">
        <f>$E$39+$K$39</f>
        <v>1212.6487178976345</v>
      </c>
      <c r="U49" s="256">
        <f>(T49*8.34*1.04)/45000</f>
        <v>0.23373399821237606</v>
      </c>
    </row>
    <row r="50" spans="1:21" ht="47.25" customHeight="1" thickTop="1" thickBot="1" x14ac:dyDescent="0.3">
      <c r="A50" s="291" t="s">
        <v>223</v>
      </c>
      <c r="B50" s="292">
        <f>SUM(E50+H50)</f>
        <v>567.0558350224162</v>
      </c>
      <c r="C50" s="373"/>
      <c r="D50" s="291" t="s">
        <v>224</v>
      </c>
      <c r="E50" s="292">
        <f>AE40</f>
        <v>233.63257958584444</v>
      </c>
      <c r="F50" s="23"/>
      <c r="G50" s="291" t="s">
        <v>225</v>
      </c>
      <c r="H50" s="292">
        <f>AD40</f>
        <v>333.42325543657171</v>
      </c>
      <c r="I50" s="12"/>
      <c r="J50" s="12"/>
      <c r="K50" s="86"/>
      <c r="L50" s="12"/>
      <c r="M50" s="12"/>
      <c r="N50" s="12"/>
      <c r="O50" s="12"/>
      <c r="P50" s="12"/>
      <c r="Q50" s="12"/>
      <c r="R50" s="317"/>
      <c r="S50" s="318"/>
      <c r="T50" s="254"/>
      <c r="U50" s="256"/>
    </row>
    <row r="51" spans="1:21" ht="48" customHeight="1" thickTop="1" thickBot="1" x14ac:dyDescent="0.3">
      <c r="A51" s="291" t="s">
        <v>190</v>
      </c>
      <c r="B51" s="293">
        <f>(SUM(B44:B48)/B50)</f>
        <v>684.62111259127801</v>
      </c>
      <c r="C51" s="12"/>
      <c r="D51" s="291" t="s">
        <v>188</v>
      </c>
      <c r="E51" s="294">
        <f>SUM(E44:E48)/E50</f>
        <v>1023.3445907555927</v>
      </c>
      <c r="F51" s="374">
        <f>E44/E49</f>
        <v>521.38096793763259</v>
      </c>
      <c r="G51" s="291" t="s">
        <v>189</v>
      </c>
      <c r="H51" s="294">
        <f>SUM(H44:H48)/H50</f>
        <v>444.83421501433713</v>
      </c>
      <c r="I51" s="373">
        <f>H44/H49</f>
        <v>132.02889495028603</v>
      </c>
      <c r="J51" s="12"/>
      <c r="K51" s="86"/>
      <c r="L51" s="12"/>
      <c r="M51" s="12"/>
      <c r="N51" s="12"/>
      <c r="O51" s="12"/>
      <c r="P51" s="12"/>
      <c r="Q51" s="12"/>
      <c r="R51" s="298" t="s">
        <v>153</v>
      </c>
      <c r="S51" s="299"/>
      <c r="T51" s="254">
        <f>$U$39+$V$39+$AB$39</f>
        <v>16650.414671129638</v>
      </c>
      <c r="U51" s="256">
        <f>T51/2000/8</f>
        <v>1.0406509169456024</v>
      </c>
    </row>
    <row r="52" spans="1:21" ht="48" customHeight="1" thickTop="1" thickBot="1" x14ac:dyDescent="0.3">
      <c r="A52" s="281" t="s">
        <v>191</v>
      </c>
      <c r="B52" s="294">
        <f>B51/1000</f>
        <v>0.684621112591278</v>
      </c>
      <c r="C52" s="12"/>
      <c r="D52" s="281" t="s">
        <v>192</v>
      </c>
      <c r="E52" s="294">
        <f>E51/1000</f>
        <v>1.0233445907555927</v>
      </c>
      <c r="F52" s="12"/>
      <c r="G52" s="281" t="s">
        <v>193</v>
      </c>
      <c r="H52" s="294">
        <f>H51/1000</f>
        <v>0.44483421501433712</v>
      </c>
      <c r="I52" s="12"/>
      <c r="J52" s="12"/>
      <c r="K52" s="86"/>
      <c r="L52" s="12"/>
      <c r="M52" s="12"/>
      <c r="N52" s="12"/>
      <c r="O52" s="12"/>
      <c r="P52" s="12"/>
      <c r="Q52" s="12"/>
      <c r="R52" s="298" t="s">
        <v>154</v>
      </c>
      <c r="S52" s="299"/>
      <c r="T52" s="254">
        <f>$C$39+$J$39+$S$39+$T$39</f>
        <v>13772.804730663702</v>
      </c>
      <c r="U52" s="256">
        <f>(T52*8.34*1.4)/45000</f>
        <v>3.5735837341162084</v>
      </c>
    </row>
    <row r="53" spans="1:21" ht="48" customHeight="1" thickTop="1" thickBot="1" x14ac:dyDescent="0.3">
      <c r="A53" s="302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298" t="s">
        <v>155</v>
      </c>
      <c r="S53" s="299"/>
      <c r="T53" s="254">
        <f>$H$39</f>
        <v>936.61121858358513</v>
      </c>
      <c r="U53" s="256">
        <f>(T53*8.34*1.135)/45000</f>
        <v>0.1970192918664524</v>
      </c>
    </row>
    <row r="54" spans="1:21" ht="47.25" customHeight="1" thickTop="1" thickBot="1" x14ac:dyDescent="0.3">
      <c r="A54" s="618" t="s">
        <v>51</v>
      </c>
      <c r="B54" s="619"/>
      <c r="C54" s="619"/>
      <c r="D54" s="619"/>
      <c r="E54" s="62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298" t="s">
        <v>156</v>
      </c>
      <c r="S54" s="299"/>
      <c r="T54" s="254">
        <f>$B$39+$I$39+$AC$39</f>
        <v>4770.4707266648638</v>
      </c>
      <c r="U54" s="256">
        <f>(T54*8.34*1.029*0.03)/3300</f>
        <v>0.37217738100305564</v>
      </c>
    </row>
    <row r="55" spans="1:21" ht="78.75" customHeight="1" thickBot="1" x14ac:dyDescent="0.3">
      <c r="A55" s="623" t="s">
        <v>200</v>
      </c>
      <c r="B55" s="624"/>
      <c r="C55" s="624"/>
      <c r="D55" s="624"/>
      <c r="E55" s="62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1" t="s">
        <v>158</v>
      </c>
      <c r="S55" s="632"/>
      <c r="T55" s="258">
        <f>$D$39+$Y$39+$Z$39</f>
        <v>38641.412850936256</v>
      </c>
      <c r="U55" s="259">
        <f>(T55*1.54*8.34)/45000</f>
        <v>11.02877444649522</v>
      </c>
    </row>
    <row r="56" spans="1:21" ht="71.25" customHeight="1" thickTop="1" x14ac:dyDescent="0.25">
      <c r="A56" s="303"/>
      <c r="B56" s="303"/>
      <c r="C56" s="303"/>
      <c r="D56" s="303"/>
      <c r="E56" s="303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21" ht="94.5" customHeight="1" x14ac:dyDescent="0.25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21" ht="46.5" customHeight="1" x14ac:dyDescent="0.25">
      <c r="A58" s="665"/>
      <c r="B58" s="666"/>
      <c r="C58" s="666"/>
      <c r="D58" s="666"/>
      <c r="E58" s="666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21" ht="18.75" x14ac:dyDescent="0.25">
      <c r="A59" s="665"/>
      <c r="B59" s="666"/>
      <c r="C59" s="666"/>
      <c r="D59" s="666"/>
      <c r="E59" s="666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21" ht="15" customHeight="1" x14ac:dyDescent="0.25">
      <c r="A60" s="279"/>
      <c r="B60" s="28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21" x14ac:dyDescent="0.25">
      <c r="A61" s="280"/>
      <c r="B61" s="280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21" ht="15" customHeight="1" x14ac:dyDescent="0.25">
      <c r="A62" s="279"/>
      <c r="B62" s="280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21" x14ac:dyDescent="0.25">
      <c r="A63" s="280"/>
      <c r="B63" s="280"/>
      <c r="C63" s="12"/>
      <c r="D63" s="12"/>
      <c r="E63" s="12"/>
      <c r="F63" s="12"/>
      <c r="G63" s="12"/>
      <c r="H63" s="12"/>
      <c r="I63" s="12"/>
      <c r="J63" s="12"/>
      <c r="K63" s="12"/>
    </row>
    <row r="64" spans="1:21" x14ac:dyDescent="0.25">
      <c r="A64" s="12"/>
      <c r="B64" s="12"/>
      <c r="C64" s="12"/>
      <c r="D64" s="12"/>
      <c r="E64" s="12"/>
      <c r="F64" s="12"/>
      <c r="G64" s="12"/>
    </row>
    <row r="65" spans="1:25" x14ac:dyDescent="0.25">
      <c r="A65" s="12"/>
      <c r="B65" s="12"/>
      <c r="C65" s="12"/>
      <c r="D65" s="12"/>
      <c r="E65" s="12"/>
      <c r="F65" s="12"/>
      <c r="G65" s="12"/>
    </row>
    <row r="66" spans="1:25" x14ac:dyDescent="0.25">
      <c r="A66" s="12"/>
      <c r="B66" s="12"/>
      <c r="C66" s="12"/>
      <c r="D66" s="12"/>
      <c r="E66" s="12"/>
      <c r="F66" s="12"/>
      <c r="G66" s="12"/>
    </row>
    <row r="68" spans="1:25" x14ac:dyDescent="0.25">
      <c r="A68" s="45"/>
      <c r="B68" s="45"/>
      <c r="C68" s="45"/>
      <c r="D68" s="45"/>
      <c r="E68" s="45"/>
      <c r="F68" s="45"/>
      <c r="G68" s="45"/>
      <c r="H68" s="45"/>
    </row>
    <row r="69" spans="1:25" x14ac:dyDescent="0.25">
      <c r="A69" s="12"/>
      <c r="B69" s="12"/>
      <c r="S69" s="12"/>
      <c r="T69" s="12"/>
      <c r="U69" s="12"/>
      <c r="V69" s="12"/>
      <c r="W69" s="12"/>
      <c r="X69" s="12"/>
      <c r="Y69" s="12"/>
    </row>
    <row r="70" spans="1:25" x14ac:dyDescent="0.25">
      <c r="A70" s="12"/>
      <c r="B70" s="12"/>
      <c r="S70" s="12"/>
      <c r="T70" s="12"/>
      <c r="U70" s="12"/>
      <c r="V70" s="12"/>
      <c r="W70" s="12"/>
      <c r="X70" s="12"/>
      <c r="Y70" s="12"/>
    </row>
    <row r="71" spans="1:25" ht="93" customHeight="1" x14ac:dyDescent="0.25">
      <c r="A71" s="12"/>
      <c r="B71" s="12"/>
      <c r="S71" s="12"/>
      <c r="T71" s="12"/>
      <c r="U71" s="12"/>
      <c r="V71" s="12"/>
      <c r="W71" s="12"/>
      <c r="X71" s="12"/>
      <c r="Y71" s="12"/>
    </row>
    <row r="72" spans="1:25" ht="75" customHeight="1" x14ac:dyDescent="0.25">
      <c r="A72" s="12"/>
      <c r="B72" s="12"/>
    </row>
    <row r="73" spans="1:25" ht="51.75" customHeight="1" x14ac:dyDescent="0.25">
      <c r="A73" s="12"/>
      <c r="B73" s="12"/>
    </row>
    <row r="74" spans="1:25" x14ac:dyDescent="0.25">
      <c r="A74" s="12"/>
      <c r="B74" s="12"/>
      <c r="C74" s="12"/>
      <c r="D74" s="12"/>
    </row>
    <row r="75" spans="1:25" x14ac:dyDescent="0.25">
      <c r="A75" s="12"/>
      <c r="B75" s="12"/>
      <c r="C75" s="12"/>
      <c r="D75" s="12"/>
      <c r="E75" s="12"/>
    </row>
    <row r="76" spans="1:25" x14ac:dyDescent="0.25">
      <c r="A76" s="12"/>
      <c r="B76" s="12"/>
      <c r="C76" s="12"/>
      <c r="D76" s="12"/>
      <c r="E76" s="12"/>
    </row>
  </sheetData>
  <sheetProtection selectLockedCells="1" selectUnlockedCells="1"/>
  <mergeCells count="34">
    <mergeCell ref="AO4:AO5"/>
    <mergeCell ref="AP4:AP5"/>
    <mergeCell ref="AQ4:AQ5"/>
    <mergeCell ref="AR4:AR5"/>
    <mergeCell ref="AS4:AS5"/>
    <mergeCell ref="AJ4:AJ5"/>
    <mergeCell ref="AK4:AK5"/>
    <mergeCell ref="AL4:AL5"/>
    <mergeCell ref="AM4:AM5"/>
    <mergeCell ref="AN4:AN5"/>
    <mergeCell ref="AG4:AG5"/>
    <mergeCell ref="AH4:AH5"/>
    <mergeCell ref="AI4:AI5"/>
    <mergeCell ref="O4:T5"/>
    <mergeCell ref="U4:AA5"/>
    <mergeCell ref="AB4:AB5"/>
    <mergeCell ref="AC4:AC5"/>
    <mergeCell ref="AD4:AD5"/>
    <mergeCell ref="AE4:AE5"/>
    <mergeCell ref="B4:H5"/>
    <mergeCell ref="I4:N5"/>
    <mergeCell ref="J43:K43"/>
    <mergeCell ref="A42:K42"/>
    <mergeCell ref="AF4:AF5"/>
    <mergeCell ref="R43:U43"/>
    <mergeCell ref="A43:B43"/>
    <mergeCell ref="D43:E43"/>
    <mergeCell ref="G43:H43"/>
    <mergeCell ref="R55:S55"/>
    <mergeCell ref="A55:E55"/>
    <mergeCell ref="A58:E58"/>
    <mergeCell ref="A59:E59"/>
    <mergeCell ref="J46:K46"/>
    <mergeCell ref="A54:E54"/>
  </mergeCells>
  <printOptions horizontalCentered="1"/>
  <pageMargins left="0.33" right="0.19" top="0.75" bottom="0.75" header="0.3" footer="0.3"/>
  <pageSetup paperSize="17" scale="67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BC67"/>
  <sheetViews>
    <sheetView topLeftCell="C44" zoomScale="75" zoomScaleNormal="75" workbookViewId="0">
      <selection activeCell="K47" sqref="K47"/>
    </sheetView>
  </sheetViews>
  <sheetFormatPr defaultRowHeight="15" x14ac:dyDescent="0.25"/>
  <cols>
    <col min="1" max="1" width="38.7109375" customWidth="1"/>
    <col min="2" max="2" width="19.28515625" bestFit="1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22.5703125" bestFit="1" customWidth="1"/>
    <col min="9" max="9" width="23.140625" bestFit="1" customWidth="1"/>
    <col min="10" max="10" width="25.42578125" bestFit="1" customWidth="1"/>
    <col min="11" max="11" width="19.28515625" bestFit="1" customWidth="1"/>
    <col min="12" max="12" width="17.140625" bestFit="1" customWidth="1"/>
    <col min="13" max="13" width="16.140625" bestFit="1" customWidth="1"/>
    <col min="14" max="14" width="20.28515625" bestFit="1" customWidth="1"/>
    <col min="15" max="16" width="16.2851562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4.140625" bestFit="1" customWidth="1"/>
    <col min="22" max="22" width="12.42578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6" width="20.42578125" customWidth="1"/>
    <col min="47" max="47" width="20.28515625" customWidth="1"/>
  </cols>
  <sheetData>
    <row r="1" spans="1:55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5" ht="15" customHeight="1" x14ac:dyDescent="0.25">
      <c r="A2" s="1" t="s">
        <v>2</v>
      </c>
      <c r="B2" s="5"/>
      <c r="O2" s="4"/>
      <c r="P2" s="4"/>
      <c r="Q2" s="4"/>
      <c r="R2" s="4"/>
    </row>
    <row r="3" spans="1:55" ht="15.75" thickBot="1" x14ac:dyDescent="0.3">
      <c r="A3" s="6"/>
      <c r="BB3" t="s">
        <v>169</v>
      </c>
      <c r="BC3" s="260" t="s">
        <v>206</v>
      </c>
    </row>
    <row r="4" spans="1:55" ht="30" customHeight="1" thickTop="1" x14ac:dyDescent="0.25">
      <c r="A4" s="13"/>
      <c r="B4" s="637" t="s">
        <v>3</v>
      </c>
      <c r="C4" s="638"/>
      <c r="D4" s="638"/>
      <c r="E4" s="638"/>
      <c r="F4" s="638"/>
      <c r="G4" s="638"/>
      <c r="H4" s="639"/>
      <c r="I4" s="637" t="s">
        <v>4</v>
      </c>
      <c r="J4" s="638"/>
      <c r="K4" s="638"/>
      <c r="L4" s="638"/>
      <c r="M4" s="638"/>
      <c r="N4" s="639"/>
      <c r="O4" s="643" t="s">
        <v>5</v>
      </c>
      <c r="P4" s="644"/>
      <c r="Q4" s="645"/>
      <c r="R4" s="645"/>
      <c r="S4" s="645"/>
      <c r="T4" s="646"/>
      <c r="U4" s="637" t="s">
        <v>6</v>
      </c>
      <c r="V4" s="650"/>
      <c r="W4" s="650"/>
      <c r="X4" s="650"/>
      <c r="Y4" s="650"/>
      <c r="Z4" s="650"/>
      <c r="AA4" s="651"/>
      <c r="AB4" s="655" t="s">
        <v>7</v>
      </c>
      <c r="AC4" s="657" t="s">
        <v>8</v>
      </c>
      <c r="AD4" s="621" t="s">
        <v>222</v>
      </c>
      <c r="AE4" s="621" t="s">
        <v>221</v>
      </c>
      <c r="AF4" s="621" t="s">
        <v>27</v>
      </c>
      <c r="AG4" s="621" t="s">
        <v>31</v>
      </c>
      <c r="AH4" s="621" t="s">
        <v>32</v>
      </c>
      <c r="AI4" s="621" t="s">
        <v>33</v>
      </c>
      <c r="AJ4" s="655" t="s">
        <v>173</v>
      </c>
      <c r="AK4" s="655" t="s">
        <v>174</v>
      </c>
      <c r="AL4" s="655" t="s">
        <v>175</v>
      </c>
      <c r="AM4" s="655" t="s">
        <v>176</v>
      </c>
      <c r="AN4" s="655" t="s">
        <v>177</v>
      </c>
      <c r="AO4" s="655" t="s">
        <v>178</v>
      </c>
      <c r="AP4" s="655" t="s">
        <v>179</v>
      </c>
      <c r="AQ4" s="655" t="s">
        <v>182</v>
      </c>
      <c r="AR4" s="655" t="s">
        <v>180</v>
      </c>
      <c r="AS4" s="655" t="s">
        <v>181</v>
      </c>
    </row>
    <row r="5" spans="1:55" ht="30" customHeight="1" thickBot="1" x14ac:dyDescent="0.3">
      <c r="A5" s="13"/>
      <c r="B5" s="640"/>
      <c r="C5" s="641"/>
      <c r="D5" s="641"/>
      <c r="E5" s="641"/>
      <c r="F5" s="641"/>
      <c r="G5" s="641"/>
      <c r="H5" s="642"/>
      <c r="I5" s="640"/>
      <c r="J5" s="641"/>
      <c r="K5" s="641"/>
      <c r="L5" s="641"/>
      <c r="M5" s="641"/>
      <c r="N5" s="642"/>
      <c r="O5" s="647"/>
      <c r="P5" s="648"/>
      <c r="Q5" s="648"/>
      <c r="R5" s="648"/>
      <c r="S5" s="648"/>
      <c r="T5" s="649"/>
      <c r="U5" s="652"/>
      <c r="V5" s="653"/>
      <c r="W5" s="653"/>
      <c r="X5" s="653"/>
      <c r="Y5" s="653"/>
      <c r="Z5" s="653"/>
      <c r="AA5" s="654"/>
      <c r="AB5" s="656"/>
      <c r="AC5" s="658"/>
      <c r="AD5" s="622"/>
      <c r="AE5" s="622"/>
      <c r="AF5" s="636"/>
      <c r="AG5" s="636"/>
      <c r="AH5" s="636"/>
      <c r="AI5" s="636"/>
      <c r="AJ5" s="622"/>
      <c r="AK5" s="622"/>
      <c r="AL5" s="622"/>
      <c r="AM5" s="622"/>
      <c r="AN5" s="622"/>
      <c r="AO5" s="622"/>
      <c r="AP5" s="622"/>
      <c r="AQ5" s="622"/>
      <c r="AR5" s="622"/>
      <c r="AS5" s="622"/>
    </row>
    <row r="6" spans="1:55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55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6" t="s">
        <v>23</v>
      </c>
      <c r="AD7" s="398" t="s">
        <v>28</v>
      </c>
      <c r="AE7" s="398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55" x14ac:dyDescent="0.25">
      <c r="A8" s="11">
        <v>43739</v>
      </c>
      <c r="B8" s="49"/>
      <c r="C8" s="50">
        <v>73.373490349451828</v>
      </c>
      <c r="D8" s="50">
        <v>865.18080635070805</v>
      </c>
      <c r="E8" s="50">
        <v>17.967395775516863</v>
      </c>
      <c r="F8" s="50">
        <v>0</v>
      </c>
      <c r="G8" s="50">
        <v>1525.5902824401935</v>
      </c>
      <c r="H8" s="51">
        <v>28.008147511879613</v>
      </c>
      <c r="I8" s="49">
        <v>138.90390083789836</v>
      </c>
      <c r="J8" s="50">
        <v>284.55634187062543</v>
      </c>
      <c r="K8" s="50">
        <v>15.380088613430608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208.27429221389593</v>
      </c>
      <c r="V8" s="54">
        <v>182.20127761711035</v>
      </c>
      <c r="W8" s="54">
        <v>31.213760986977082</v>
      </c>
      <c r="X8" s="54">
        <v>27.306236744867423</v>
      </c>
      <c r="Y8" s="54">
        <v>126.35511096777751</v>
      </c>
      <c r="Z8" s="54">
        <v>110.53722668824318</v>
      </c>
      <c r="AA8" s="55">
        <v>0</v>
      </c>
      <c r="AB8" s="56">
        <v>73.72163780000372</v>
      </c>
      <c r="AC8" s="57">
        <v>0</v>
      </c>
      <c r="AD8" s="408">
        <v>8.4325831742573634</v>
      </c>
      <c r="AE8" s="408">
        <v>6.9730012358831939</v>
      </c>
      <c r="AF8" s="57">
        <v>15.063606517182439</v>
      </c>
      <c r="AG8" s="58">
        <v>7.8946474923913197</v>
      </c>
      <c r="AH8" s="58">
        <v>6.9063485664048034</v>
      </c>
      <c r="AI8" s="58">
        <v>0.53338623029357468</v>
      </c>
      <c r="AJ8" s="57">
        <v>282.4351496378581</v>
      </c>
      <c r="AK8" s="57">
        <v>864.60106023152684</v>
      </c>
      <c r="AL8" s="57">
        <v>2744.0857563018799</v>
      </c>
      <c r="AM8" s="57">
        <v>476.0247802734375</v>
      </c>
      <c r="AN8" s="57">
        <v>5054.72314453125</v>
      </c>
      <c r="AO8" s="57">
        <v>2498.8955933888756</v>
      </c>
      <c r="AP8" s="57">
        <v>416.91216478347781</v>
      </c>
      <c r="AQ8" s="57">
        <v>1929.5316359202068</v>
      </c>
      <c r="AR8" s="57">
        <v>424.82481301625563</v>
      </c>
      <c r="AS8" s="57">
        <v>563.30241117477442</v>
      </c>
    </row>
    <row r="9" spans="1:55" x14ac:dyDescent="0.25">
      <c r="A9" s="11">
        <v>43740</v>
      </c>
      <c r="B9" s="59"/>
      <c r="C9" s="60">
        <v>73.408193560441745</v>
      </c>
      <c r="D9" s="60">
        <v>845.5793055216493</v>
      </c>
      <c r="E9" s="50">
        <v>18.077850900093733</v>
      </c>
      <c r="F9" s="60">
        <v>0</v>
      </c>
      <c r="G9" s="60">
        <v>1440.4460971196513</v>
      </c>
      <c r="H9" s="61">
        <v>27.961186116933856</v>
      </c>
      <c r="I9" s="59">
        <v>139.02174372673048</v>
      </c>
      <c r="J9" s="60">
        <v>269.01887865066493</v>
      </c>
      <c r="K9" s="60">
        <v>14.738531908392908</v>
      </c>
      <c r="L9" s="50">
        <v>0</v>
      </c>
      <c r="M9" s="5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222.23623280750925</v>
      </c>
      <c r="V9" s="62">
        <v>194.39379663771834</v>
      </c>
      <c r="W9" s="62">
        <v>30.701779984214603</v>
      </c>
      <c r="X9" s="62">
        <v>26.855366918664402</v>
      </c>
      <c r="Y9" s="66">
        <v>124.93670438865084</v>
      </c>
      <c r="Z9" s="66">
        <v>109.28425126136082</v>
      </c>
      <c r="AA9" s="67">
        <v>0</v>
      </c>
      <c r="AB9" s="68">
        <v>73.12784479459161</v>
      </c>
      <c r="AC9" s="69">
        <v>0</v>
      </c>
      <c r="AD9" s="409">
        <v>8.452846723122736</v>
      </c>
      <c r="AE9" s="409">
        <v>6.9993322346179108</v>
      </c>
      <c r="AF9" s="69">
        <v>14.970183621512502</v>
      </c>
      <c r="AG9" s="68">
        <v>7.8734182597073534</v>
      </c>
      <c r="AH9" s="68">
        <v>6.8870122962664482</v>
      </c>
      <c r="AI9" s="68">
        <v>0.53341386146224878</v>
      </c>
      <c r="AJ9" s="69">
        <v>239.47225430806478</v>
      </c>
      <c r="AK9" s="69">
        <v>821.92727384567252</v>
      </c>
      <c r="AL9" s="69">
        <v>2792.9071652730308</v>
      </c>
      <c r="AM9" s="69">
        <v>476.0247802734375</v>
      </c>
      <c r="AN9" s="69">
        <v>5054.72314453125</v>
      </c>
      <c r="AO9" s="69">
        <v>2620.4587565104171</v>
      </c>
      <c r="AP9" s="69">
        <v>389.64917635917658</v>
      </c>
      <c r="AQ9" s="69">
        <v>1950.6517995198569</v>
      </c>
      <c r="AR9" s="69">
        <v>392.15458396275841</v>
      </c>
      <c r="AS9" s="69">
        <v>603.0049719810487</v>
      </c>
    </row>
    <row r="10" spans="1:55" x14ac:dyDescent="0.25">
      <c r="A10" s="11">
        <v>43741</v>
      </c>
      <c r="B10" s="59"/>
      <c r="C10" s="60">
        <v>73.559832712014483</v>
      </c>
      <c r="D10" s="60">
        <v>847.59676214853937</v>
      </c>
      <c r="E10" s="50">
        <v>18.489520041147859</v>
      </c>
      <c r="F10" s="60">
        <v>0</v>
      </c>
      <c r="G10" s="60">
        <v>1443.6468641281172</v>
      </c>
      <c r="H10" s="61">
        <v>27.824637703100915</v>
      </c>
      <c r="I10" s="59">
        <v>135.59475018183394</v>
      </c>
      <c r="J10" s="60">
        <v>267.07222297986323</v>
      </c>
      <c r="K10" s="60">
        <v>14.917473942041392</v>
      </c>
      <c r="L10" s="50">
        <v>0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217.26440051862906</v>
      </c>
      <c r="V10" s="62">
        <v>189.58067101966159</v>
      </c>
      <c r="W10" s="62">
        <v>30.956847489883511</v>
      </c>
      <c r="X10" s="62">
        <v>27.01234029033775</v>
      </c>
      <c r="Y10" s="66">
        <v>108.81997806097736</v>
      </c>
      <c r="Z10" s="66">
        <v>94.954186750792772</v>
      </c>
      <c r="AA10" s="67">
        <v>0</v>
      </c>
      <c r="AB10" s="68">
        <v>71.938102165856975</v>
      </c>
      <c r="AC10" s="69">
        <v>0</v>
      </c>
      <c r="AD10" s="409">
        <v>8.3852087201202554</v>
      </c>
      <c r="AE10" s="409">
        <v>6.9971588717818678</v>
      </c>
      <c r="AF10" s="69">
        <v>14.464401076899613</v>
      </c>
      <c r="AG10" s="68">
        <v>7.6176795971391584</v>
      </c>
      <c r="AH10" s="68">
        <v>6.6470383836057785</v>
      </c>
      <c r="AI10" s="68">
        <v>0.53402244667029475</v>
      </c>
      <c r="AJ10" s="69">
        <v>234.48688410123191</v>
      </c>
      <c r="AK10" s="69">
        <v>818.77845277786253</v>
      </c>
      <c r="AL10" s="69">
        <v>2732.6734230041502</v>
      </c>
      <c r="AM10" s="69">
        <v>458.8315409342448</v>
      </c>
      <c r="AN10" s="69">
        <v>5054.72314453125</v>
      </c>
      <c r="AO10" s="69">
        <v>2661.5687338511148</v>
      </c>
      <c r="AP10" s="69">
        <v>387.50642015139255</v>
      </c>
      <c r="AQ10" s="69">
        <v>1880.7312969207767</v>
      </c>
      <c r="AR10" s="69">
        <v>348.55656495094303</v>
      </c>
      <c r="AS10" s="69">
        <v>678.5410531044007</v>
      </c>
    </row>
    <row r="11" spans="1:55" x14ac:dyDescent="0.25">
      <c r="A11" s="11">
        <v>43742</v>
      </c>
      <c r="B11" s="59"/>
      <c r="C11" s="60">
        <v>21.285010431210242</v>
      </c>
      <c r="D11" s="60">
        <v>243.55693665345515</v>
      </c>
      <c r="E11" s="50">
        <v>5.7043508460124226</v>
      </c>
      <c r="F11" s="60">
        <v>0</v>
      </c>
      <c r="G11" s="60">
        <v>426.0178933461504</v>
      </c>
      <c r="H11" s="61">
        <v>8.0708673646052684</v>
      </c>
      <c r="I11" s="59">
        <v>159.86338192621838</v>
      </c>
      <c r="J11" s="60">
        <v>314.70376321474731</v>
      </c>
      <c r="K11" s="60">
        <v>18.535589275757431</v>
      </c>
      <c r="L11" s="50">
        <v>0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279.60150191534586</v>
      </c>
      <c r="V11" s="62">
        <v>57.395481263107918</v>
      </c>
      <c r="W11" s="62">
        <v>37.42332810890121</v>
      </c>
      <c r="X11" s="62">
        <v>7.6821115500584893</v>
      </c>
      <c r="Y11" s="66">
        <v>155.82087952548727</v>
      </c>
      <c r="Z11" s="66">
        <v>31.986288735723146</v>
      </c>
      <c r="AA11" s="67">
        <v>0</v>
      </c>
      <c r="AB11" s="68">
        <v>50.768567079967205</v>
      </c>
      <c r="AC11" s="69">
        <v>0</v>
      </c>
      <c r="AD11" s="409">
        <v>9.8858209942553898</v>
      </c>
      <c r="AE11" s="409">
        <v>1.9941090119894616</v>
      </c>
      <c r="AF11" s="69">
        <v>11.309159201383579</v>
      </c>
      <c r="AG11" s="68">
        <v>9.1909555046275067</v>
      </c>
      <c r="AH11" s="68">
        <v>1.8866826924828972</v>
      </c>
      <c r="AI11" s="68">
        <v>0.82968547456487274</v>
      </c>
      <c r="AJ11" s="69">
        <v>220.28784770965575</v>
      </c>
      <c r="AK11" s="69">
        <v>785.37625080744431</v>
      </c>
      <c r="AL11" s="69">
        <v>1429.4690804799397</v>
      </c>
      <c r="AM11" s="69">
        <v>442.38583374023438</v>
      </c>
      <c r="AN11" s="69">
        <v>5054.72314453125</v>
      </c>
      <c r="AO11" s="69">
        <v>1904.810190137227</v>
      </c>
      <c r="AP11" s="69">
        <v>390.73909111022948</v>
      </c>
      <c r="AQ11" s="69">
        <v>1642.6425930500029</v>
      </c>
      <c r="AR11" s="69">
        <v>350.51417056719464</v>
      </c>
      <c r="AS11" s="69">
        <v>721.6324093500773</v>
      </c>
    </row>
    <row r="12" spans="1:55" x14ac:dyDescent="0.25">
      <c r="A12" s="11">
        <v>43743</v>
      </c>
      <c r="B12" s="59"/>
      <c r="C12" s="60">
        <v>0</v>
      </c>
      <c r="D12" s="60">
        <v>0</v>
      </c>
      <c r="E12" s="50">
        <v>0</v>
      </c>
      <c r="F12" s="60">
        <v>0</v>
      </c>
      <c r="G12" s="60">
        <v>0</v>
      </c>
      <c r="H12" s="61">
        <v>0</v>
      </c>
      <c r="I12" s="59">
        <v>167.33731222947441</v>
      </c>
      <c r="J12" s="60">
        <v>329.42103490829498</v>
      </c>
      <c r="K12" s="60">
        <v>19.846841797232596</v>
      </c>
      <c r="L12" s="50">
        <v>0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299.47171026865755</v>
      </c>
      <c r="V12" s="62">
        <v>0</v>
      </c>
      <c r="W12" s="62">
        <v>39.782827488581347</v>
      </c>
      <c r="X12" s="62">
        <v>0</v>
      </c>
      <c r="Y12" s="66">
        <v>184.47943379878993</v>
      </c>
      <c r="Z12" s="66">
        <v>0</v>
      </c>
      <c r="AA12" s="67">
        <v>0</v>
      </c>
      <c r="AB12" s="68">
        <v>41.887379360198402</v>
      </c>
      <c r="AC12" s="69">
        <v>0</v>
      </c>
      <c r="AD12" s="409">
        <v>10.347190448338255</v>
      </c>
      <c r="AE12" s="409">
        <v>0</v>
      </c>
      <c r="AF12" s="69">
        <v>9.9463166882594383</v>
      </c>
      <c r="AG12" s="68">
        <v>9.7418824280704328</v>
      </c>
      <c r="AH12" s="68">
        <v>0</v>
      </c>
      <c r="AI12" s="68">
        <v>1</v>
      </c>
      <c r="AJ12" s="69">
        <v>216.759322309494</v>
      </c>
      <c r="AK12" s="69">
        <v>793.36054375966387</v>
      </c>
      <c r="AL12" s="69">
        <v>875.36642328898108</v>
      </c>
      <c r="AM12" s="69">
        <v>442.38583374023438</v>
      </c>
      <c r="AN12" s="69">
        <v>5054.72314453125</v>
      </c>
      <c r="AO12" s="69">
        <v>1654.316145515442</v>
      </c>
      <c r="AP12" s="69">
        <v>412.39112877845764</v>
      </c>
      <c r="AQ12" s="69">
        <v>1544.502687072754</v>
      </c>
      <c r="AR12" s="69">
        <v>334.13457031249999</v>
      </c>
      <c r="AS12" s="69">
        <v>611.7124920845032</v>
      </c>
    </row>
    <row r="13" spans="1:55" x14ac:dyDescent="0.25">
      <c r="A13" s="11">
        <v>43744</v>
      </c>
      <c r="B13" s="59"/>
      <c r="C13" s="60">
        <v>0</v>
      </c>
      <c r="D13" s="60">
        <v>0</v>
      </c>
      <c r="E13" s="50">
        <v>0</v>
      </c>
      <c r="F13" s="60">
        <v>0</v>
      </c>
      <c r="G13" s="60">
        <v>0</v>
      </c>
      <c r="H13" s="61">
        <v>0</v>
      </c>
      <c r="I13" s="59">
        <v>168.90672682921081</v>
      </c>
      <c r="J13" s="60">
        <v>334.37202080090879</v>
      </c>
      <c r="K13" s="60">
        <v>19.824943365653333</v>
      </c>
      <c r="L13" s="50">
        <v>0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291.90817574394947</v>
      </c>
      <c r="V13" s="62">
        <v>0</v>
      </c>
      <c r="W13" s="62">
        <v>39.473085784912072</v>
      </c>
      <c r="X13" s="62">
        <v>0</v>
      </c>
      <c r="Y13" s="66">
        <v>170.30819436709069</v>
      </c>
      <c r="Z13" s="66">
        <v>0</v>
      </c>
      <c r="AA13" s="67">
        <v>0</v>
      </c>
      <c r="AB13" s="68">
        <v>41.879956348737416</v>
      </c>
      <c r="AC13" s="69">
        <v>0</v>
      </c>
      <c r="AD13" s="409">
        <v>10.36409043921922</v>
      </c>
      <c r="AE13" s="409">
        <v>0</v>
      </c>
      <c r="AF13" s="69">
        <v>10.000780905617619</v>
      </c>
      <c r="AG13" s="68">
        <v>9.818571078246956</v>
      </c>
      <c r="AH13" s="68">
        <v>0</v>
      </c>
      <c r="AI13" s="68">
        <v>1</v>
      </c>
      <c r="AJ13" s="69">
        <v>224.92948400179549</v>
      </c>
      <c r="AK13" s="69">
        <v>790.7103064219159</v>
      </c>
      <c r="AL13" s="69">
        <v>882.50998878479004</v>
      </c>
      <c r="AM13" s="69">
        <v>442.38583374023438</v>
      </c>
      <c r="AN13" s="69">
        <v>5054.72314453125</v>
      </c>
      <c r="AO13" s="69">
        <v>1659.0213312149046</v>
      </c>
      <c r="AP13" s="69">
        <v>405.21891228357953</v>
      </c>
      <c r="AQ13" s="69">
        <v>1513.0406231562301</v>
      </c>
      <c r="AR13" s="69">
        <v>331.35543084144592</v>
      </c>
      <c r="AS13" s="69">
        <v>522.02654860814403</v>
      </c>
    </row>
    <row r="14" spans="1:55" x14ac:dyDescent="0.25">
      <c r="A14" s="11">
        <v>43745</v>
      </c>
      <c r="B14" s="59"/>
      <c r="C14" s="60">
        <v>0</v>
      </c>
      <c r="D14" s="60">
        <v>0</v>
      </c>
      <c r="E14" s="50">
        <v>0</v>
      </c>
      <c r="F14" s="60">
        <v>0</v>
      </c>
      <c r="G14" s="60">
        <v>0</v>
      </c>
      <c r="H14" s="61">
        <v>0</v>
      </c>
      <c r="I14" s="59">
        <v>169.38708856900519</v>
      </c>
      <c r="J14" s="60">
        <v>381.75559439659099</v>
      </c>
      <c r="K14" s="60">
        <v>20.773588737845486</v>
      </c>
      <c r="L14" s="50">
        <v>0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283.64982576370136</v>
      </c>
      <c r="V14" s="62">
        <v>0</v>
      </c>
      <c r="W14" s="62">
        <v>40.118823325633933</v>
      </c>
      <c r="X14" s="62">
        <v>0</v>
      </c>
      <c r="Y14" s="66">
        <v>154.75500566164661</v>
      </c>
      <c r="Z14" s="66">
        <v>0</v>
      </c>
      <c r="AA14" s="67">
        <v>0</v>
      </c>
      <c r="AB14" s="68">
        <v>42.451745873028351</v>
      </c>
      <c r="AC14" s="69">
        <v>0</v>
      </c>
      <c r="AD14" s="409">
        <v>10.435698438740097</v>
      </c>
      <c r="AE14" s="409">
        <v>0</v>
      </c>
      <c r="AF14" s="69">
        <v>9.9931147509151224</v>
      </c>
      <c r="AG14" s="68">
        <v>9.8256369107446648</v>
      </c>
      <c r="AH14" s="68">
        <v>0</v>
      </c>
      <c r="AI14" s="68">
        <v>1</v>
      </c>
      <c r="AJ14" s="69">
        <v>218.90965789159139</v>
      </c>
      <c r="AK14" s="69">
        <v>515.02285059293104</v>
      </c>
      <c r="AL14" s="69">
        <v>829.48652400970445</v>
      </c>
      <c r="AM14" s="69">
        <v>442.38583374023438</v>
      </c>
      <c r="AN14" s="69">
        <v>5054.72314453125</v>
      </c>
      <c r="AO14" s="69">
        <v>1658.7437298456828</v>
      </c>
      <c r="AP14" s="69">
        <v>405.14330369631449</v>
      </c>
      <c r="AQ14" s="69">
        <v>1513.8671561559042</v>
      </c>
      <c r="AR14" s="69">
        <v>336.61499837239586</v>
      </c>
      <c r="AS14" s="69">
        <v>689.44425264994288</v>
      </c>
    </row>
    <row r="15" spans="1:55" x14ac:dyDescent="0.25">
      <c r="A15" s="11">
        <v>43746</v>
      </c>
      <c r="B15" s="59"/>
      <c r="C15" s="60">
        <v>0</v>
      </c>
      <c r="D15" s="60">
        <v>0</v>
      </c>
      <c r="E15" s="50">
        <v>0</v>
      </c>
      <c r="F15" s="60">
        <v>0</v>
      </c>
      <c r="G15" s="60">
        <v>0</v>
      </c>
      <c r="H15" s="61">
        <v>0</v>
      </c>
      <c r="I15" s="59">
        <v>137.00279060999543</v>
      </c>
      <c r="J15" s="60">
        <v>409.28637119929016</v>
      </c>
      <c r="K15" s="60">
        <v>22.455670756101622</v>
      </c>
      <c r="L15" s="50">
        <v>0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261.71494638655116</v>
      </c>
      <c r="V15" s="62">
        <v>0</v>
      </c>
      <c r="W15" s="62">
        <v>36.483581407864911</v>
      </c>
      <c r="X15" s="62">
        <v>0</v>
      </c>
      <c r="Y15" s="66">
        <v>133.35542062123611</v>
      </c>
      <c r="Z15" s="66">
        <v>0</v>
      </c>
      <c r="AA15" s="67">
        <v>0</v>
      </c>
      <c r="AB15" s="68">
        <v>41.95405766434147</v>
      </c>
      <c r="AC15" s="69">
        <v>0</v>
      </c>
      <c r="AD15" s="409">
        <v>10.337827491813796</v>
      </c>
      <c r="AE15" s="409">
        <v>0</v>
      </c>
      <c r="AF15" s="69">
        <v>9.3228276938200132</v>
      </c>
      <c r="AG15" s="68">
        <v>9.1824954684537214</v>
      </c>
      <c r="AH15" s="68">
        <v>0</v>
      </c>
      <c r="AI15" s="68">
        <v>1</v>
      </c>
      <c r="AJ15" s="69">
        <v>210.45381887753803</v>
      </c>
      <c r="AK15" s="69">
        <v>386.48965077400209</v>
      </c>
      <c r="AL15" s="69">
        <v>914.99782314300535</v>
      </c>
      <c r="AM15" s="69">
        <v>442.38583374023438</v>
      </c>
      <c r="AN15" s="69">
        <v>5054.72314453125</v>
      </c>
      <c r="AO15" s="69">
        <v>1651.3180529276531</v>
      </c>
      <c r="AP15" s="69">
        <v>423.3201841513316</v>
      </c>
      <c r="AQ15" s="69">
        <v>1546.1463602701826</v>
      </c>
      <c r="AR15" s="69">
        <v>360.07670480410258</v>
      </c>
      <c r="AS15" s="69">
        <v>706.21545928319279</v>
      </c>
    </row>
    <row r="16" spans="1:55" x14ac:dyDescent="0.25">
      <c r="A16" s="11">
        <v>43747</v>
      </c>
      <c r="B16" s="59"/>
      <c r="C16" s="60">
        <v>0</v>
      </c>
      <c r="D16" s="60">
        <v>0</v>
      </c>
      <c r="E16" s="50">
        <v>0</v>
      </c>
      <c r="F16" s="60">
        <v>0</v>
      </c>
      <c r="G16" s="60">
        <v>0</v>
      </c>
      <c r="H16" s="61">
        <v>0</v>
      </c>
      <c r="I16" s="59">
        <v>180.37310779889413</v>
      </c>
      <c r="J16" s="60">
        <v>413.32586530049656</v>
      </c>
      <c r="K16" s="60">
        <v>23.233273318409932</v>
      </c>
      <c r="L16" s="50">
        <v>0</v>
      </c>
      <c r="M16" s="5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272.15672032038566</v>
      </c>
      <c r="V16" s="62">
        <v>0</v>
      </c>
      <c r="W16" s="62">
        <v>39.264255774021159</v>
      </c>
      <c r="X16" s="62">
        <v>0</v>
      </c>
      <c r="Y16" s="66">
        <v>144.54136724472059</v>
      </c>
      <c r="Z16" s="66">
        <v>0</v>
      </c>
      <c r="AA16" s="67">
        <v>0</v>
      </c>
      <c r="AB16" s="68">
        <v>41.88457804785817</v>
      </c>
      <c r="AC16" s="69">
        <v>0</v>
      </c>
      <c r="AD16" s="409">
        <v>10.161810509978626</v>
      </c>
      <c r="AE16" s="409">
        <v>0</v>
      </c>
      <c r="AF16" s="69">
        <v>9.745357487599053</v>
      </c>
      <c r="AG16" s="68">
        <v>9.5730511776019167</v>
      </c>
      <c r="AH16" s="68">
        <v>0</v>
      </c>
      <c r="AI16" s="68">
        <v>1</v>
      </c>
      <c r="AJ16" s="69">
        <v>217.31524656613669</v>
      </c>
      <c r="AK16" s="69">
        <v>390.62460346221923</v>
      </c>
      <c r="AL16" s="69">
        <v>878.43533013661704</v>
      </c>
      <c r="AM16" s="69">
        <v>442.38583374023438</v>
      </c>
      <c r="AN16" s="69">
        <v>5054.72314453125</v>
      </c>
      <c r="AO16" s="69">
        <v>1597.9020980199182</v>
      </c>
      <c r="AP16" s="69">
        <v>439.30461188952131</v>
      </c>
      <c r="AQ16" s="69">
        <v>1531.3675176620482</v>
      </c>
      <c r="AR16" s="69">
        <v>385.32341628074647</v>
      </c>
      <c r="AS16" s="69">
        <v>674.15743649800618</v>
      </c>
    </row>
    <row r="17" spans="1:45" x14ac:dyDescent="0.25">
      <c r="A17" s="11">
        <v>43748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64.664599978923818</v>
      </c>
      <c r="J17" s="50">
        <v>186.21487846374472</v>
      </c>
      <c r="K17" s="50">
        <v>8.1474809517462976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163.63942581812535</v>
      </c>
      <c r="V17" s="62">
        <v>0</v>
      </c>
      <c r="W17" s="62">
        <v>14.58133066892624</v>
      </c>
      <c r="X17" s="62">
        <v>0</v>
      </c>
      <c r="Y17" s="66">
        <v>52.033341201146463</v>
      </c>
      <c r="Z17" s="66">
        <v>0</v>
      </c>
      <c r="AA17" s="67">
        <v>0</v>
      </c>
      <c r="AB17" s="68">
        <v>20.855773454904497</v>
      </c>
      <c r="AC17" s="69">
        <v>0</v>
      </c>
      <c r="AD17" s="409">
        <v>3.5615876614629554</v>
      </c>
      <c r="AE17" s="409">
        <v>0</v>
      </c>
      <c r="AF17" s="69">
        <v>3.4600196010536606</v>
      </c>
      <c r="AG17" s="68">
        <v>3.3939675085096357</v>
      </c>
      <c r="AH17" s="68">
        <v>0</v>
      </c>
      <c r="AI17" s="68">
        <v>1</v>
      </c>
      <c r="AJ17" s="69">
        <v>264.41034763654073</v>
      </c>
      <c r="AK17" s="69">
        <v>518.49453705151871</v>
      </c>
      <c r="AL17" s="69">
        <v>817.52649599711094</v>
      </c>
      <c r="AM17" s="69">
        <v>442.38583374023438</v>
      </c>
      <c r="AN17" s="69">
        <v>5054.72314453125</v>
      </c>
      <c r="AO17" s="69">
        <v>1583.5385479609174</v>
      </c>
      <c r="AP17" s="69">
        <v>509.44839150110874</v>
      </c>
      <c r="AQ17" s="69">
        <v>852.23074719111128</v>
      </c>
      <c r="AR17" s="69">
        <v>187.08195585012436</v>
      </c>
      <c r="AS17" s="69">
        <v>605.48069661458339</v>
      </c>
    </row>
    <row r="18" spans="1:45" x14ac:dyDescent="0.25">
      <c r="A18" s="11">
        <v>43749</v>
      </c>
      <c r="B18" s="59"/>
      <c r="C18" s="60">
        <v>0</v>
      </c>
      <c r="D18" s="60">
        <v>0</v>
      </c>
      <c r="E18" s="50">
        <v>0</v>
      </c>
      <c r="F18" s="60">
        <v>0</v>
      </c>
      <c r="G18" s="60">
        <v>0</v>
      </c>
      <c r="H18" s="61">
        <v>0</v>
      </c>
      <c r="I18" s="59">
        <v>0</v>
      </c>
      <c r="J18" s="60">
        <v>4.1085719505945839</v>
      </c>
      <c r="K18" s="60">
        <v>0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0</v>
      </c>
      <c r="V18" s="62">
        <v>0</v>
      </c>
      <c r="W18" s="62">
        <v>0</v>
      </c>
      <c r="X18" s="62">
        <v>0</v>
      </c>
      <c r="Y18" s="66">
        <v>0</v>
      </c>
      <c r="Z18" s="66">
        <v>0</v>
      </c>
      <c r="AA18" s="67">
        <v>0</v>
      </c>
      <c r="AB18" s="68">
        <v>18.030202265580627</v>
      </c>
      <c r="AC18" s="69">
        <v>0</v>
      </c>
      <c r="AD18" s="409">
        <v>0</v>
      </c>
      <c r="AE18" s="409">
        <v>0</v>
      </c>
      <c r="AF18" s="69">
        <v>0</v>
      </c>
      <c r="AG18" s="68">
        <v>0</v>
      </c>
      <c r="AH18" s="68">
        <v>0</v>
      </c>
      <c r="AI18" s="68">
        <v>0</v>
      </c>
      <c r="AJ18" s="69">
        <v>272.04065531094875</v>
      </c>
      <c r="AK18" s="69">
        <v>572.99437853495283</v>
      </c>
      <c r="AL18" s="69">
        <v>887.25767765045168</v>
      </c>
      <c r="AM18" s="69">
        <v>442.38583374023438</v>
      </c>
      <c r="AN18" s="69">
        <v>5054.72314453125</v>
      </c>
      <c r="AO18" s="69">
        <v>1597.728712908427</v>
      </c>
      <c r="AP18" s="69">
        <v>553.03695828119919</v>
      </c>
      <c r="AQ18" s="69">
        <v>405.45593895912168</v>
      </c>
      <c r="AR18" s="69">
        <v>81.858359320958456</v>
      </c>
      <c r="AS18" s="69">
        <v>595.75000190734886</v>
      </c>
    </row>
    <row r="19" spans="1:45" x14ac:dyDescent="0.25">
      <c r="A19" s="11">
        <v>43750</v>
      </c>
      <c r="B19" s="59"/>
      <c r="C19" s="60">
        <v>0</v>
      </c>
      <c r="D19" s="60">
        <v>0</v>
      </c>
      <c r="E19" s="50">
        <v>0</v>
      </c>
      <c r="F19" s="60">
        <v>0</v>
      </c>
      <c r="G19" s="60">
        <v>0</v>
      </c>
      <c r="H19" s="61">
        <v>0</v>
      </c>
      <c r="I19" s="59">
        <v>0</v>
      </c>
      <c r="J19" s="60">
        <v>0</v>
      </c>
      <c r="K19" s="60">
        <v>0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0</v>
      </c>
      <c r="V19" s="62">
        <v>0</v>
      </c>
      <c r="W19" s="62">
        <v>0</v>
      </c>
      <c r="X19" s="62">
        <v>0</v>
      </c>
      <c r="Y19" s="66">
        <v>0</v>
      </c>
      <c r="Z19" s="66">
        <v>0</v>
      </c>
      <c r="AA19" s="67">
        <v>0</v>
      </c>
      <c r="AB19" s="68">
        <v>11.238225535551663</v>
      </c>
      <c r="AC19" s="69">
        <v>0</v>
      </c>
      <c r="AD19" s="409">
        <v>0</v>
      </c>
      <c r="AE19" s="409">
        <v>0</v>
      </c>
      <c r="AF19" s="69">
        <v>0</v>
      </c>
      <c r="AG19" s="68">
        <v>0</v>
      </c>
      <c r="AH19" s="68">
        <v>0</v>
      </c>
      <c r="AI19" s="68">
        <v>0</v>
      </c>
      <c r="AJ19" s="69">
        <v>239.05854217211402</v>
      </c>
      <c r="AK19" s="69">
        <v>516.54287969271343</v>
      </c>
      <c r="AL19" s="69">
        <v>966.21018015543609</v>
      </c>
      <c r="AM19" s="69">
        <v>442.38583374023438</v>
      </c>
      <c r="AN19" s="69">
        <v>5054.72314453125</v>
      </c>
      <c r="AO19" s="69">
        <v>1557.9044144948323</v>
      </c>
      <c r="AP19" s="69">
        <v>436.21917519569411</v>
      </c>
      <c r="AQ19" s="69">
        <v>369.84115668932594</v>
      </c>
      <c r="AR19" s="69">
        <v>81.032139305273688</v>
      </c>
      <c r="AS19" s="69">
        <v>631.95027379989619</v>
      </c>
    </row>
    <row r="20" spans="1:45" x14ac:dyDescent="0.25">
      <c r="A20" s="11">
        <v>43751</v>
      </c>
      <c r="B20" s="59"/>
      <c r="C20" s="60">
        <v>0</v>
      </c>
      <c r="D20" s="60">
        <v>0</v>
      </c>
      <c r="E20" s="50">
        <v>0</v>
      </c>
      <c r="F20" s="60">
        <v>0</v>
      </c>
      <c r="G20" s="60">
        <v>0</v>
      </c>
      <c r="H20" s="61">
        <v>0</v>
      </c>
      <c r="I20" s="59">
        <v>0</v>
      </c>
      <c r="J20" s="60">
        <v>0</v>
      </c>
      <c r="K20" s="60">
        <v>0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0</v>
      </c>
      <c r="V20" s="62">
        <v>0</v>
      </c>
      <c r="W20" s="62">
        <v>0</v>
      </c>
      <c r="X20" s="62">
        <v>0</v>
      </c>
      <c r="Y20" s="66">
        <v>0</v>
      </c>
      <c r="Z20" s="66">
        <v>0</v>
      </c>
      <c r="AA20" s="67">
        <v>0</v>
      </c>
      <c r="AB20" s="68">
        <v>11.243359692891321</v>
      </c>
      <c r="AC20" s="69">
        <v>0</v>
      </c>
      <c r="AD20" s="409">
        <v>0</v>
      </c>
      <c r="AE20" s="409">
        <v>0</v>
      </c>
      <c r="AF20" s="69">
        <v>0</v>
      </c>
      <c r="AG20" s="68">
        <v>0</v>
      </c>
      <c r="AH20" s="68">
        <v>0</v>
      </c>
      <c r="AI20" s="68">
        <v>0</v>
      </c>
      <c r="AJ20" s="69">
        <v>225.0636017640432</v>
      </c>
      <c r="AK20" s="69">
        <v>504.97687074343372</v>
      </c>
      <c r="AL20" s="69">
        <v>914.81488215128581</v>
      </c>
      <c r="AM20" s="69">
        <v>442.38583374023438</v>
      </c>
      <c r="AN20" s="69">
        <v>5054.72314453125</v>
      </c>
      <c r="AO20" s="69">
        <v>1555.6246509552</v>
      </c>
      <c r="AP20" s="69">
        <v>408.16849675178537</v>
      </c>
      <c r="AQ20" s="69">
        <v>320.12436480522155</v>
      </c>
      <c r="AR20" s="69">
        <v>74.4809825181961</v>
      </c>
      <c r="AS20" s="69">
        <v>691.95576127370202</v>
      </c>
    </row>
    <row r="21" spans="1:45" x14ac:dyDescent="0.25">
      <c r="A21" s="11">
        <v>43752</v>
      </c>
      <c r="B21" s="59"/>
      <c r="C21" s="60">
        <v>0</v>
      </c>
      <c r="D21" s="60">
        <v>0</v>
      </c>
      <c r="E21" s="50">
        <v>0</v>
      </c>
      <c r="F21" s="60">
        <v>0</v>
      </c>
      <c r="G21" s="60">
        <v>0</v>
      </c>
      <c r="H21" s="61">
        <v>0</v>
      </c>
      <c r="I21" s="59">
        <v>0</v>
      </c>
      <c r="J21" s="60">
        <v>0</v>
      </c>
      <c r="K21" s="60">
        <v>0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0</v>
      </c>
      <c r="V21" s="62">
        <v>0</v>
      </c>
      <c r="W21" s="62">
        <v>0</v>
      </c>
      <c r="X21" s="62">
        <v>0</v>
      </c>
      <c r="Y21" s="66">
        <v>0</v>
      </c>
      <c r="Z21" s="66">
        <v>0</v>
      </c>
      <c r="AA21" s="67">
        <v>0</v>
      </c>
      <c r="AB21" s="68">
        <v>11.245581275224568</v>
      </c>
      <c r="AC21" s="69">
        <v>0</v>
      </c>
      <c r="AD21" s="409">
        <v>0</v>
      </c>
      <c r="AE21" s="409">
        <v>0</v>
      </c>
      <c r="AF21" s="69">
        <v>0</v>
      </c>
      <c r="AG21" s="68">
        <v>0</v>
      </c>
      <c r="AH21" s="68">
        <v>0</v>
      </c>
      <c r="AI21" s="68">
        <v>0</v>
      </c>
      <c r="AJ21" s="69">
        <v>222.0766668955485</v>
      </c>
      <c r="AK21" s="69">
        <v>571.24990569750446</v>
      </c>
      <c r="AL21" s="69">
        <v>1061.3629541397095</v>
      </c>
      <c r="AM21" s="69">
        <v>442.38583374023438</v>
      </c>
      <c r="AN21" s="69">
        <v>5054.72314453125</v>
      </c>
      <c r="AO21" s="69">
        <v>1568.2900908788044</v>
      </c>
      <c r="AP21" s="69">
        <v>400.90307664871216</v>
      </c>
      <c r="AQ21" s="69">
        <v>291.02559922536221</v>
      </c>
      <c r="AR21" s="69">
        <v>78.792098518212626</v>
      </c>
      <c r="AS21" s="69">
        <v>727.11139990488687</v>
      </c>
    </row>
    <row r="22" spans="1:45" x14ac:dyDescent="0.25">
      <c r="A22" s="11">
        <v>43753</v>
      </c>
      <c r="B22" s="59"/>
      <c r="C22" s="60">
        <v>0</v>
      </c>
      <c r="D22" s="60">
        <v>0</v>
      </c>
      <c r="E22" s="50">
        <v>0</v>
      </c>
      <c r="F22" s="60">
        <v>0</v>
      </c>
      <c r="G22" s="60">
        <v>0</v>
      </c>
      <c r="H22" s="61">
        <v>0</v>
      </c>
      <c r="I22" s="59">
        <v>0</v>
      </c>
      <c r="J22" s="60">
        <v>0</v>
      </c>
      <c r="K22" s="60">
        <v>0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0</v>
      </c>
      <c r="V22" s="62">
        <v>0</v>
      </c>
      <c r="W22" s="62">
        <v>0</v>
      </c>
      <c r="X22" s="62">
        <v>0</v>
      </c>
      <c r="Y22" s="66">
        <v>0</v>
      </c>
      <c r="Z22" s="66">
        <v>0</v>
      </c>
      <c r="AA22" s="67">
        <v>0</v>
      </c>
      <c r="AB22" s="68">
        <v>65.014722842640737</v>
      </c>
      <c r="AC22" s="69">
        <v>0</v>
      </c>
      <c r="AD22" s="409">
        <v>0</v>
      </c>
      <c r="AE22" s="409">
        <v>0</v>
      </c>
      <c r="AF22" s="69">
        <v>0</v>
      </c>
      <c r="AG22" s="68">
        <v>0</v>
      </c>
      <c r="AH22" s="68">
        <v>0</v>
      </c>
      <c r="AI22" s="68">
        <v>0</v>
      </c>
      <c r="AJ22" s="69">
        <v>221.20857206980389</v>
      </c>
      <c r="AK22" s="69">
        <v>481.90173691113785</v>
      </c>
      <c r="AL22" s="69">
        <v>787.62989273071287</v>
      </c>
      <c r="AM22" s="69">
        <v>442.38583374023438</v>
      </c>
      <c r="AN22" s="69">
        <v>5054.72314453125</v>
      </c>
      <c r="AO22" s="69">
        <v>1561.061851819356</v>
      </c>
      <c r="AP22" s="69">
        <v>399.68880241711935</v>
      </c>
      <c r="AQ22" s="69">
        <v>308.80244963963833</v>
      </c>
      <c r="AR22" s="69">
        <v>74.022734483083084</v>
      </c>
      <c r="AS22" s="69">
        <v>566.95144859949755</v>
      </c>
    </row>
    <row r="23" spans="1:45" x14ac:dyDescent="0.25">
      <c r="A23" s="11">
        <v>43754</v>
      </c>
      <c r="B23" s="59"/>
      <c r="C23" s="60">
        <v>0</v>
      </c>
      <c r="D23" s="60">
        <v>0</v>
      </c>
      <c r="E23" s="50">
        <v>0</v>
      </c>
      <c r="F23" s="60">
        <v>0</v>
      </c>
      <c r="G23" s="60">
        <v>0</v>
      </c>
      <c r="H23" s="61">
        <v>0</v>
      </c>
      <c r="I23" s="59">
        <v>0</v>
      </c>
      <c r="J23" s="60">
        <v>0</v>
      </c>
      <c r="K23" s="60">
        <v>0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0</v>
      </c>
      <c r="V23" s="62">
        <v>0</v>
      </c>
      <c r="W23" s="62">
        <v>0</v>
      </c>
      <c r="X23" s="62">
        <v>0.69520525932312016</v>
      </c>
      <c r="Y23" s="66">
        <v>0</v>
      </c>
      <c r="Z23" s="66">
        <v>0</v>
      </c>
      <c r="AA23" s="67">
        <v>0</v>
      </c>
      <c r="AB23" s="68">
        <v>262.70973614851528</v>
      </c>
      <c r="AC23" s="69">
        <v>0</v>
      </c>
      <c r="AD23" s="409">
        <v>6.9689536451339731E-3</v>
      </c>
      <c r="AE23" s="409">
        <v>0</v>
      </c>
      <c r="AF23" s="69">
        <v>0</v>
      </c>
      <c r="AG23" s="68">
        <v>0</v>
      </c>
      <c r="AH23" s="68">
        <v>0</v>
      </c>
      <c r="AI23" s="68">
        <v>0</v>
      </c>
      <c r="AJ23" s="69">
        <v>215.86548126538597</v>
      </c>
      <c r="AK23" s="69">
        <v>522.37580320040377</v>
      </c>
      <c r="AL23" s="69">
        <v>779.18115234375</v>
      </c>
      <c r="AM23" s="69">
        <v>442.38583374023438</v>
      </c>
      <c r="AN23" s="69">
        <v>5054.72314453125</v>
      </c>
      <c r="AO23" s="69">
        <v>1572.9200057347616</v>
      </c>
      <c r="AP23" s="69">
        <v>404.84009277025859</v>
      </c>
      <c r="AQ23" s="69">
        <v>297.83667801221213</v>
      </c>
      <c r="AR23" s="69">
        <v>73.905022124449417</v>
      </c>
      <c r="AS23" s="69">
        <v>711.90316686630263</v>
      </c>
    </row>
    <row r="24" spans="1:45" x14ac:dyDescent="0.25">
      <c r="A24" s="11">
        <v>43755</v>
      </c>
      <c r="B24" s="59"/>
      <c r="C24" s="60">
        <v>0</v>
      </c>
      <c r="D24" s="60">
        <v>0</v>
      </c>
      <c r="E24" s="50">
        <v>0</v>
      </c>
      <c r="F24" s="60">
        <v>0</v>
      </c>
      <c r="G24" s="60">
        <v>0</v>
      </c>
      <c r="H24" s="61">
        <v>0</v>
      </c>
      <c r="I24" s="59">
        <v>101.61478737592699</v>
      </c>
      <c r="J24" s="60">
        <v>236.52403475443506</v>
      </c>
      <c r="K24" s="60">
        <v>12.669587977727259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0</v>
      </c>
      <c r="V24" s="62">
        <v>0</v>
      </c>
      <c r="W24" s="62">
        <v>0</v>
      </c>
      <c r="X24" s="62">
        <v>0</v>
      </c>
      <c r="Y24" s="66">
        <v>0</v>
      </c>
      <c r="Z24" s="66">
        <v>0</v>
      </c>
      <c r="AA24" s="67">
        <v>0</v>
      </c>
      <c r="AB24" s="68">
        <v>168.43759713305596</v>
      </c>
      <c r="AC24" s="69">
        <v>0</v>
      </c>
      <c r="AD24" s="409">
        <v>5.6754374656441655</v>
      </c>
      <c r="AE24" s="409">
        <v>0</v>
      </c>
      <c r="AF24" s="69">
        <v>0</v>
      </c>
      <c r="AG24" s="68">
        <v>0</v>
      </c>
      <c r="AH24" s="68">
        <v>0</v>
      </c>
      <c r="AI24" s="68">
        <v>0</v>
      </c>
      <c r="AJ24" s="69">
        <v>214.14198044141128</v>
      </c>
      <c r="AK24" s="69">
        <v>555.354879204432</v>
      </c>
      <c r="AL24" s="69">
        <v>779.18115234375</v>
      </c>
      <c r="AM24" s="69">
        <v>442.38583374023438</v>
      </c>
      <c r="AN24" s="69">
        <v>5054.72314453125</v>
      </c>
      <c r="AO24" s="69">
        <v>1559.7294658025105</v>
      </c>
      <c r="AP24" s="69">
        <v>426.35436234474184</v>
      </c>
      <c r="AQ24" s="69">
        <v>262.99583466847741</v>
      </c>
      <c r="AR24" s="69">
        <v>200.59996353387834</v>
      </c>
      <c r="AS24" s="69">
        <v>722.76208461125714</v>
      </c>
    </row>
    <row r="25" spans="1:45" x14ac:dyDescent="0.25">
      <c r="A25" s="11">
        <v>43756</v>
      </c>
      <c r="B25" s="59"/>
      <c r="C25" s="60">
        <v>0</v>
      </c>
      <c r="D25" s="60">
        <v>0</v>
      </c>
      <c r="E25" s="50">
        <v>0</v>
      </c>
      <c r="F25" s="60">
        <v>0</v>
      </c>
      <c r="G25" s="60">
        <v>0</v>
      </c>
      <c r="H25" s="61">
        <v>0</v>
      </c>
      <c r="I25" s="59">
        <v>209.39500803152714</v>
      </c>
      <c r="J25" s="60">
        <v>487.63092145919768</v>
      </c>
      <c r="K25" s="60">
        <v>27.093051102757489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198.64560453097167</v>
      </c>
      <c r="V25" s="62">
        <v>0</v>
      </c>
      <c r="W25" s="62">
        <v>26.560786147912339</v>
      </c>
      <c r="X25" s="62">
        <v>0</v>
      </c>
      <c r="Y25" s="66">
        <v>101.09113194147736</v>
      </c>
      <c r="Z25" s="66">
        <v>0</v>
      </c>
      <c r="AA25" s="67">
        <v>0</v>
      </c>
      <c r="AB25" s="68">
        <v>49.116004151768045</v>
      </c>
      <c r="AC25" s="69">
        <v>0</v>
      </c>
      <c r="AD25" s="409">
        <v>11.990856869286375</v>
      </c>
      <c r="AE25" s="409">
        <v>0</v>
      </c>
      <c r="AF25" s="69">
        <v>4.8311500747998499</v>
      </c>
      <c r="AG25" s="68">
        <v>6.9796053322956881</v>
      </c>
      <c r="AH25" s="68">
        <v>0</v>
      </c>
      <c r="AI25" s="68">
        <v>1</v>
      </c>
      <c r="AJ25" s="69">
        <v>220.12026791572566</v>
      </c>
      <c r="AK25" s="69">
        <v>501.91622087160749</v>
      </c>
      <c r="AL25" s="69">
        <v>779.18115234375</v>
      </c>
      <c r="AM25" s="69">
        <v>442.38583374023438</v>
      </c>
      <c r="AN25" s="69">
        <v>5054.72314453125</v>
      </c>
      <c r="AO25" s="69">
        <v>1574.0655490875242</v>
      </c>
      <c r="AP25" s="69">
        <v>433.48229470253</v>
      </c>
      <c r="AQ25" s="69">
        <v>1148.1631984233854</v>
      </c>
      <c r="AR25" s="69">
        <v>286.19207226435344</v>
      </c>
      <c r="AS25" s="69">
        <v>645.9342364311218</v>
      </c>
    </row>
    <row r="26" spans="1:45" x14ac:dyDescent="0.25">
      <c r="A26" s="11">
        <v>43757</v>
      </c>
      <c r="B26" s="59"/>
      <c r="C26" s="60">
        <v>0</v>
      </c>
      <c r="D26" s="60">
        <v>0</v>
      </c>
      <c r="E26" s="50">
        <v>0</v>
      </c>
      <c r="F26" s="60">
        <v>0</v>
      </c>
      <c r="G26" s="60">
        <v>0</v>
      </c>
      <c r="H26" s="61">
        <v>0</v>
      </c>
      <c r="I26" s="59">
        <v>183.8674297094345</v>
      </c>
      <c r="J26" s="60">
        <v>420.33873831431055</v>
      </c>
      <c r="K26" s="60">
        <v>23.002320979038895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262.30751023822222</v>
      </c>
      <c r="V26" s="62">
        <v>0</v>
      </c>
      <c r="W26" s="62">
        <v>39.864457197984045</v>
      </c>
      <c r="X26" s="62">
        <v>0</v>
      </c>
      <c r="Y26" s="66">
        <v>142.80208532810212</v>
      </c>
      <c r="Z26" s="66">
        <v>0</v>
      </c>
      <c r="AA26" s="67">
        <v>0</v>
      </c>
      <c r="AB26" s="68">
        <v>41.902331900596664</v>
      </c>
      <c r="AC26" s="69">
        <v>0</v>
      </c>
      <c r="AD26" s="409">
        <v>10.33633726213545</v>
      </c>
      <c r="AE26" s="409">
        <v>0</v>
      </c>
      <c r="AF26" s="69">
        <v>9.6238352245754744</v>
      </c>
      <c r="AG26" s="68">
        <v>9.4536533191799919</v>
      </c>
      <c r="AH26" s="68">
        <v>0</v>
      </c>
      <c r="AI26" s="68">
        <v>1</v>
      </c>
      <c r="AJ26" s="69">
        <v>218.70751723448433</v>
      </c>
      <c r="AK26" s="69">
        <v>494.73570648829133</v>
      </c>
      <c r="AL26" s="69">
        <v>779.18115234375</v>
      </c>
      <c r="AM26" s="69">
        <v>442.38583374023438</v>
      </c>
      <c r="AN26" s="69">
        <v>5054.72314453125</v>
      </c>
      <c r="AO26" s="69">
        <v>1602.7211358388265</v>
      </c>
      <c r="AP26" s="69">
        <v>417.13547983169559</v>
      </c>
      <c r="AQ26" s="69">
        <v>1698.0985365549725</v>
      </c>
      <c r="AR26" s="69">
        <v>268.84082320531212</v>
      </c>
      <c r="AS26" s="69">
        <v>569.91929314931224</v>
      </c>
    </row>
    <row r="27" spans="1:45" x14ac:dyDescent="0.25">
      <c r="A27" s="11">
        <v>43758</v>
      </c>
      <c r="B27" s="59"/>
      <c r="C27" s="60">
        <v>0</v>
      </c>
      <c r="D27" s="60">
        <v>0</v>
      </c>
      <c r="E27" s="50">
        <v>0</v>
      </c>
      <c r="F27" s="60">
        <v>0</v>
      </c>
      <c r="G27" s="60">
        <v>0</v>
      </c>
      <c r="H27" s="61">
        <v>0</v>
      </c>
      <c r="I27" s="59">
        <v>184.17134764989225</v>
      </c>
      <c r="J27" s="60">
        <v>420.28788490295392</v>
      </c>
      <c r="K27" s="60">
        <v>23.11185613473253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263.66767091751422</v>
      </c>
      <c r="V27" s="62">
        <v>0</v>
      </c>
      <c r="W27" s="62">
        <v>41.416400027275138</v>
      </c>
      <c r="X27" s="62">
        <v>0</v>
      </c>
      <c r="Y27" s="62">
        <v>140.90560495058702</v>
      </c>
      <c r="Z27" s="62">
        <v>0</v>
      </c>
      <c r="AA27" s="72">
        <v>0</v>
      </c>
      <c r="AB27" s="69">
        <v>41.874673914910232</v>
      </c>
      <c r="AC27" s="69">
        <v>0</v>
      </c>
      <c r="AD27" s="409">
        <v>10.332474705635905</v>
      </c>
      <c r="AE27" s="409">
        <v>0</v>
      </c>
      <c r="AF27" s="69">
        <v>9.8698357092009594</v>
      </c>
      <c r="AG27" s="69">
        <v>9.7153480148622222</v>
      </c>
      <c r="AH27" s="69">
        <v>0</v>
      </c>
      <c r="AI27" s="69">
        <v>1</v>
      </c>
      <c r="AJ27" s="69">
        <v>242.55068643887836</v>
      </c>
      <c r="AK27" s="69">
        <v>496.26661601066581</v>
      </c>
      <c r="AL27" s="69">
        <v>779.18115234375</v>
      </c>
      <c r="AM27" s="69">
        <v>442.38583374023438</v>
      </c>
      <c r="AN27" s="69">
        <v>5054.72314453125</v>
      </c>
      <c r="AO27" s="69">
        <v>1600.6614617665612</v>
      </c>
      <c r="AP27" s="69">
        <v>425.71733875274663</v>
      </c>
      <c r="AQ27" s="69">
        <v>1775.117613728841</v>
      </c>
      <c r="AR27" s="69">
        <v>272.88025697072345</v>
      </c>
      <c r="AS27" s="69">
        <v>566.31434837977088</v>
      </c>
    </row>
    <row r="28" spans="1:45" x14ac:dyDescent="0.25">
      <c r="A28" s="11">
        <v>43759</v>
      </c>
      <c r="B28" s="59"/>
      <c r="C28" s="60">
        <v>0</v>
      </c>
      <c r="D28" s="60">
        <v>0</v>
      </c>
      <c r="E28" s="50">
        <v>0</v>
      </c>
      <c r="F28" s="60">
        <v>0</v>
      </c>
      <c r="G28" s="60">
        <v>0</v>
      </c>
      <c r="H28" s="61">
        <v>0</v>
      </c>
      <c r="I28" s="59">
        <v>186.43305082321154</v>
      </c>
      <c r="J28" s="60">
        <v>425.54981171290103</v>
      </c>
      <c r="K28" s="60">
        <v>23.277391369144109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261.34601445727765</v>
      </c>
      <c r="V28" s="62">
        <v>0</v>
      </c>
      <c r="W28" s="62">
        <v>40.824993594487516</v>
      </c>
      <c r="X28" s="62">
        <v>0</v>
      </c>
      <c r="Y28" s="66">
        <v>139.90401891072548</v>
      </c>
      <c r="Z28" s="66">
        <v>0</v>
      </c>
      <c r="AA28" s="67">
        <v>0</v>
      </c>
      <c r="AB28" s="68">
        <v>42.695731806755163</v>
      </c>
      <c r="AC28" s="69">
        <v>0</v>
      </c>
      <c r="AD28" s="409">
        <v>10.461603887414954</v>
      </c>
      <c r="AE28" s="409">
        <v>0</v>
      </c>
      <c r="AF28" s="69">
        <v>9.8340202490488569</v>
      </c>
      <c r="AG28" s="68">
        <v>9.6848020954515466</v>
      </c>
      <c r="AH28" s="68">
        <v>0</v>
      </c>
      <c r="AI28" s="68">
        <v>1</v>
      </c>
      <c r="AJ28" s="69">
        <v>249.69756666819254</v>
      </c>
      <c r="AK28" s="69">
        <v>521.26457740465798</v>
      </c>
      <c r="AL28" s="69">
        <v>779.18115234375</v>
      </c>
      <c r="AM28" s="69">
        <v>442.38583374023438</v>
      </c>
      <c r="AN28" s="69">
        <v>5054.72314453125</v>
      </c>
      <c r="AO28" s="69">
        <v>1620.6500123977667</v>
      </c>
      <c r="AP28" s="69">
        <v>469.01322053273526</v>
      </c>
      <c r="AQ28" s="69">
        <v>1689.6452040354409</v>
      </c>
      <c r="AR28" s="69">
        <v>299.36000210444132</v>
      </c>
      <c r="AS28" s="69">
        <v>571.50431248346968</v>
      </c>
    </row>
    <row r="29" spans="1:45" x14ac:dyDescent="0.25">
      <c r="A29" s="11">
        <v>43760</v>
      </c>
      <c r="B29" s="59"/>
      <c r="C29" s="60">
        <v>0</v>
      </c>
      <c r="D29" s="60">
        <v>0</v>
      </c>
      <c r="E29" s="50">
        <v>0</v>
      </c>
      <c r="F29" s="60">
        <v>0</v>
      </c>
      <c r="G29" s="60">
        <v>0</v>
      </c>
      <c r="H29" s="61">
        <v>0</v>
      </c>
      <c r="I29" s="59">
        <v>194.73333950837463</v>
      </c>
      <c r="J29" s="60">
        <v>444.70184062321948</v>
      </c>
      <c r="K29" s="60">
        <v>24.447696854670902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257.71445514890655</v>
      </c>
      <c r="V29" s="62">
        <v>0</v>
      </c>
      <c r="W29" s="62">
        <v>40.069209214051597</v>
      </c>
      <c r="X29" s="62">
        <v>0</v>
      </c>
      <c r="Y29" s="66">
        <v>142.38361562093095</v>
      </c>
      <c r="Z29" s="66">
        <v>0</v>
      </c>
      <c r="AA29" s="67">
        <v>0</v>
      </c>
      <c r="AB29" s="68">
        <v>45.143806460168115</v>
      </c>
      <c r="AC29" s="69">
        <v>0</v>
      </c>
      <c r="AD29" s="409">
        <v>10.933286895429184</v>
      </c>
      <c r="AE29" s="409">
        <v>0</v>
      </c>
      <c r="AF29" s="69">
        <v>9.6903120756149441</v>
      </c>
      <c r="AG29" s="68">
        <v>9.5271247201519067</v>
      </c>
      <c r="AH29" s="68">
        <v>0</v>
      </c>
      <c r="AI29" s="68">
        <v>1</v>
      </c>
      <c r="AJ29" s="69">
        <v>238.62531668345133</v>
      </c>
      <c r="AK29" s="69">
        <v>514.06007175445563</v>
      </c>
      <c r="AL29" s="69">
        <v>779.18115234375</v>
      </c>
      <c r="AM29" s="69">
        <v>442.38583374023438</v>
      </c>
      <c r="AN29" s="69">
        <v>5054.72314453125</v>
      </c>
      <c r="AO29" s="69">
        <v>1589.074728520711</v>
      </c>
      <c r="AP29" s="69">
        <v>462.64144342740389</v>
      </c>
      <c r="AQ29" s="69">
        <v>1822.4111776351926</v>
      </c>
      <c r="AR29" s="69">
        <v>303.2864593982697</v>
      </c>
      <c r="AS29" s="69">
        <v>629.96592203776038</v>
      </c>
    </row>
    <row r="30" spans="1:45" x14ac:dyDescent="0.25">
      <c r="A30" s="11">
        <v>43761</v>
      </c>
      <c r="B30" s="59"/>
      <c r="C30" s="60">
        <v>0</v>
      </c>
      <c r="D30" s="60">
        <v>0</v>
      </c>
      <c r="E30" s="50">
        <v>0</v>
      </c>
      <c r="F30" s="60">
        <v>0</v>
      </c>
      <c r="G30" s="60">
        <v>0</v>
      </c>
      <c r="H30" s="61">
        <v>0</v>
      </c>
      <c r="I30" s="59">
        <v>175.5151338974633</v>
      </c>
      <c r="J30" s="60">
        <v>396.63402632077469</v>
      </c>
      <c r="K30" s="60">
        <v>21.934038316210177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263.55595449871373</v>
      </c>
      <c r="V30" s="62">
        <v>0</v>
      </c>
      <c r="W30" s="62">
        <v>40.263867731889178</v>
      </c>
      <c r="X30" s="62">
        <v>0</v>
      </c>
      <c r="Y30" s="66">
        <v>105.42161510785402</v>
      </c>
      <c r="Z30" s="66">
        <v>0</v>
      </c>
      <c r="AA30" s="67">
        <v>0</v>
      </c>
      <c r="AB30" s="68">
        <v>41.876813552115429</v>
      </c>
      <c r="AC30" s="69">
        <v>0</v>
      </c>
      <c r="AD30" s="409">
        <v>10.324598120307414</v>
      </c>
      <c r="AE30" s="409">
        <v>0</v>
      </c>
      <c r="AF30" s="69">
        <v>10.003301162521055</v>
      </c>
      <c r="AG30" s="68">
        <v>9.8559352913892369</v>
      </c>
      <c r="AH30" s="68">
        <v>0</v>
      </c>
      <c r="AI30" s="68">
        <v>1</v>
      </c>
      <c r="AJ30" s="69">
        <v>240.8215562502543</v>
      </c>
      <c r="AK30" s="69">
        <v>510.12141491572066</v>
      </c>
      <c r="AL30" s="69">
        <v>779.18115234375</v>
      </c>
      <c r="AM30" s="69">
        <v>442.38583374023438</v>
      </c>
      <c r="AN30" s="69">
        <v>5054.72314453125</v>
      </c>
      <c r="AO30" s="69">
        <v>1571.9511624654135</v>
      </c>
      <c r="AP30" s="69">
        <v>473.19936130841563</v>
      </c>
      <c r="AQ30" s="69">
        <v>1835.1510171254474</v>
      </c>
      <c r="AR30" s="69">
        <v>281.4887635231018</v>
      </c>
      <c r="AS30" s="69">
        <v>582.62583360671999</v>
      </c>
    </row>
    <row r="31" spans="1:45" x14ac:dyDescent="0.25">
      <c r="A31" s="11">
        <v>43762</v>
      </c>
      <c r="B31" s="59"/>
      <c r="C31" s="60">
        <v>0</v>
      </c>
      <c r="D31" s="60">
        <v>0</v>
      </c>
      <c r="E31" s="50">
        <v>0</v>
      </c>
      <c r="F31" s="60">
        <v>0</v>
      </c>
      <c r="G31" s="60">
        <v>0</v>
      </c>
      <c r="H31" s="61">
        <v>0</v>
      </c>
      <c r="I31" s="59">
        <v>167.41932833194713</v>
      </c>
      <c r="J31" s="60">
        <v>406.24385708173151</v>
      </c>
      <c r="K31" s="60">
        <v>22.982557346423462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262.71957498126699</v>
      </c>
      <c r="V31" s="62">
        <v>0</v>
      </c>
      <c r="W31" s="62">
        <v>40.704508109887456</v>
      </c>
      <c r="X31" s="62">
        <v>0</v>
      </c>
      <c r="Y31" s="66">
        <v>107.34281822840379</v>
      </c>
      <c r="Z31" s="66">
        <v>0</v>
      </c>
      <c r="AA31" s="67">
        <v>0</v>
      </c>
      <c r="AB31" s="68">
        <v>42.338298296928542</v>
      </c>
      <c r="AC31" s="69">
        <v>0</v>
      </c>
      <c r="AD31" s="409">
        <v>10.353896500842835</v>
      </c>
      <c r="AE31" s="409">
        <v>0</v>
      </c>
      <c r="AF31" s="69">
        <v>9.8753102623754287</v>
      </c>
      <c r="AG31" s="68">
        <v>9.7262862535889258</v>
      </c>
      <c r="AH31" s="68">
        <v>0</v>
      </c>
      <c r="AI31" s="68">
        <v>1</v>
      </c>
      <c r="AJ31" s="69">
        <v>250.08697062333428</v>
      </c>
      <c r="AK31" s="69">
        <v>528.27751461664832</v>
      </c>
      <c r="AL31" s="69">
        <v>779.18115234375</v>
      </c>
      <c r="AM31" s="69">
        <v>442.38583374023438</v>
      </c>
      <c r="AN31" s="69">
        <v>5054.72314453125</v>
      </c>
      <c r="AO31" s="69">
        <v>1612.9435391108195</v>
      </c>
      <c r="AP31" s="69">
        <v>502.58467686971028</v>
      </c>
      <c r="AQ31" s="69">
        <v>1868.1530879974368</v>
      </c>
      <c r="AR31" s="69">
        <v>284.42281438509622</v>
      </c>
      <c r="AS31" s="69">
        <v>576.57750911712651</v>
      </c>
    </row>
    <row r="32" spans="1:45" x14ac:dyDescent="0.25">
      <c r="A32" s="11">
        <v>43763</v>
      </c>
      <c r="B32" s="59"/>
      <c r="C32" s="60">
        <v>0</v>
      </c>
      <c r="D32" s="60">
        <v>0</v>
      </c>
      <c r="E32" s="50">
        <v>0</v>
      </c>
      <c r="F32" s="60">
        <v>0</v>
      </c>
      <c r="G32" s="60">
        <v>0</v>
      </c>
      <c r="H32" s="61">
        <v>0</v>
      </c>
      <c r="I32" s="59">
        <v>173.54797564347561</v>
      </c>
      <c r="J32" s="60">
        <v>424.2011472702028</v>
      </c>
      <c r="K32" s="60">
        <v>25.020240743955036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258.98176377614209</v>
      </c>
      <c r="V32" s="62">
        <v>0</v>
      </c>
      <c r="W32" s="62">
        <v>38.909457019964854</v>
      </c>
      <c r="X32" s="62">
        <v>0</v>
      </c>
      <c r="Y32" s="66">
        <v>109.66424035231276</v>
      </c>
      <c r="Z32" s="66">
        <v>0</v>
      </c>
      <c r="AA32" s="67">
        <v>0</v>
      </c>
      <c r="AB32" s="68">
        <v>42.528853514459378</v>
      </c>
      <c r="AC32" s="69">
        <v>0</v>
      </c>
      <c r="AD32" s="409">
        <v>10.426613033296393</v>
      </c>
      <c r="AE32" s="409">
        <v>0</v>
      </c>
      <c r="AF32" s="69">
        <v>9.8094931542873329</v>
      </c>
      <c r="AG32" s="68">
        <v>9.6686005605128269</v>
      </c>
      <c r="AH32" s="68">
        <v>0</v>
      </c>
      <c r="AI32" s="68">
        <v>1</v>
      </c>
      <c r="AJ32" s="69">
        <v>209.94761365254718</v>
      </c>
      <c r="AK32" s="69">
        <v>461.80484685897818</v>
      </c>
      <c r="AL32" s="69">
        <v>779.18115234375</v>
      </c>
      <c r="AM32" s="69">
        <v>442.38583374023438</v>
      </c>
      <c r="AN32" s="69">
        <v>5054.72314453125</v>
      </c>
      <c r="AO32" s="69">
        <v>1559.0767293930053</v>
      </c>
      <c r="AP32" s="69">
        <v>439.58841295242308</v>
      </c>
      <c r="AQ32" s="69">
        <v>1839.2801141738889</v>
      </c>
      <c r="AR32" s="69">
        <v>296.44678476651512</v>
      </c>
      <c r="AS32" s="69">
        <v>582.95767548878996</v>
      </c>
    </row>
    <row r="33" spans="1:45" x14ac:dyDescent="0.25">
      <c r="A33" s="11">
        <v>43764</v>
      </c>
      <c r="B33" s="59"/>
      <c r="C33" s="60">
        <v>0</v>
      </c>
      <c r="D33" s="60">
        <v>0</v>
      </c>
      <c r="E33" s="50">
        <v>0</v>
      </c>
      <c r="F33" s="60">
        <v>0</v>
      </c>
      <c r="G33" s="60">
        <v>0</v>
      </c>
      <c r="H33" s="61">
        <v>0</v>
      </c>
      <c r="I33" s="59">
        <v>190.04021062850967</v>
      </c>
      <c r="J33" s="60">
        <v>426.74014263153083</v>
      </c>
      <c r="K33" s="60">
        <v>25.061310511827514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259.78712943394788</v>
      </c>
      <c r="V33" s="62">
        <v>0</v>
      </c>
      <c r="W33" s="62">
        <v>39.182668908437066</v>
      </c>
      <c r="X33" s="62">
        <v>0</v>
      </c>
      <c r="Y33" s="66">
        <v>127.83625512917821</v>
      </c>
      <c r="Z33" s="66">
        <v>0</v>
      </c>
      <c r="AA33" s="67">
        <v>0</v>
      </c>
      <c r="AB33" s="68">
        <v>43.025852751731833</v>
      </c>
      <c r="AC33" s="69">
        <v>0</v>
      </c>
      <c r="AD33" s="409">
        <v>10.490198360380443</v>
      </c>
      <c r="AE33" s="409">
        <v>0</v>
      </c>
      <c r="AF33" s="69">
        <v>9.7741648498508802</v>
      </c>
      <c r="AG33" s="68">
        <v>9.6084983215268505</v>
      </c>
      <c r="AH33" s="68">
        <v>0</v>
      </c>
      <c r="AI33" s="68">
        <v>1</v>
      </c>
      <c r="AJ33" s="69">
        <v>168.4922014872233</v>
      </c>
      <c r="AK33" s="69">
        <v>417.67614536285402</v>
      </c>
      <c r="AL33" s="69">
        <v>826.81227970123291</v>
      </c>
      <c r="AM33" s="69">
        <v>442.38583374023438</v>
      </c>
      <c r="AN33" s="69">
        <v>5054.72314453125</v>
      </c>
      <c r="AO33" s="69">
        <v>1534.1889439264935</v>
      </c>
      <c r="AP33" s="69">
        <v>409.83351310094201</v>
      </c>
      <c r="AQ33" s="69">
        <v>1785.8947769165036</v>
      </c>
      <c r="AR33" s="69">
        <v>319.20869251886995</v>
      </c>
      <c r="AS33" s="69">
        <v>659.83268280029324</v>
      </c>
    </row>
    <row r="34" spans="1:45" x14ac:dyDescent="0.25">
      <c r="A34" s="11">
        <v>43765</v>
      </c>
      <c r="B34" s="59"/>
      <c r="C34" s="60">
        <v>0</v>
      </c>
      <c r="D34" s="60">
        <v>0</v>
      </c>
      <c r="E34" s="50">
        <v>0</v>
      </c>
      <c r="F34" s="60">
        <v>0</v>
      </c>
      <c r="G34" s="60">
        <v>0</v>
      </c>
      <c r="H34" s="61">
        <v>0</v>
      </c>
      <c r="I34" s="59">
        <v>189.30858287016554</v>
      </c>
      <c r="J34" s="60">
        <v>424.4323377291359</v>
      </c>
      <c r="K34" s="60">
        <v>24.973861068487167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270.49859699673135</v>
      </c>
      <c r="V34" s="62">
        <v>0</v>
      </c>
      <c r="W34" s="62">
        <v>41.240598706404342</v>
      </c>
      <c r="X34" s="62">
        <v>0</v>
      </c>
      <c r="Y34" s="66">
        <v>155.96269133090956</v>
      </c>
      <c r="Z34" s="66">
        <v>0</v>
      </c>
      <c r="AA34" s="67">
        <v>0</v>
      </c>
      <c r="AB34" s="68">
        <v>41.867494421535703</v>
      </c>
      <c r="AC34" s="69">
        <v>0</v>
      </c>
      <c r="AD34" s="409">
        <v>10.433765411803561</v>
      </c>
      <c r="AE34" s="409">
        <v>0</v>
      </c>
      <c r="AF34" s="69">
        <v>10.240930805603664</v>
      </c>
      <c r="AG34" s="68">
        <v>10.000367266647139</v>
      </c>
      <c r="AH34" s="68">
        <v>0</v>
      </c>
      <c r="AI34" s="68">
        <v>1</v>
      </c>
      <c r="AJ34" s="69">
        <v>206.10830059846242</v>
      </c>
      <c r="AK34" s="69">
        <v>415.68167176246641</v>
      </c>
      <c r="AL34" s="69">
        <v>820.41386604309082</v>
      </c>
      <c r="AM34" s="69">
        <v>442.38583374023438</v>
      </c>
      <c r="AN34" s="69">
        <v>5054.72314453125</v>
      </c>
      <c r="AO34" s="69">
        <v>1649.0685578664143</v>
      </c>
      <c r="AP34" s="69">
        <v>527.0224044164022</v>
      </c>
      <c r="AQ34" s="69">
        <v>1847.4567639033</v>
      </c>
      <c r="AR34" s="69">
        <v>290.05686194101969</v>
      </c>
      <c r="AS34" s="69">
        <v>593.68544273376483</v>
      </c>
    </row>
    <row r="35" spans="1:45" x14ac:dyDescent="0.25">
      <c r="A35" s="11">
        <v>43766</v>
      </c>
      <c r="B35" s="59"/>
      <c r="C35" s="60">
        <v>0</v>
      </c>
      <c r="D35" s="60">
        <v>0</v>
      </c>
      <c r="E35" s="50">
        <v>0</v>
      </c>
      <c r="F35" s="60">
        <v>0</v>
      </c>
      <c r="G35" s="60">
        <v>0</v>
      </c>
      <c r="H35" s="61">
        <v>0</v>
      </c>
      <c r="I35" s="59">
        <v>189.16676821708694</v>
      </c>
      <c r="J35" s="60">
        <v>425.0729177316037</v>
      </c>
      <c r="K35" s="60">
        <v>24.996407079199997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267.38833474053394</v>
      </c>
      <c r="V35" s="62">
        <v>0</v>
      </c>
      <c r="W35" s="62">
        <v>40.860970091819716</v>
      </c>
      <c r="X35" s="62">
        <v>0</v>
      </c>
      <c r="Y35" s="66">
        <v>144.27258359591167</v>
      </c>
      <c r="Z35" s="66">
        <v>0</v>
      </c>
      <c r="AA35" s="67">
        <v>0</v>
      </c>
      <c r="AB35" s="68">
        <v>42.715981927182817</v>
      </c>
      <c r="AC35" s="69">
        <v>0</v>
      </c>
      <c r="AD35" s="409">
        <v>10.455147797427658</v>
      </c>
      <c r="AE35" s="409">
        <v>0</v>
      </c>
      <c r="AF35" s="69">
        <v>10.11741540067726</v>
      </c>
      <c r="AG35" s="68">
        <v>9.861344186625427</v>
      </c>
      <c r="AH35" s="68">
        <v>0</v>
      </c>
      <c r="AI35" s="68">
        <v>1</v>
      </c>
      <c r="AJ35" s="69">
        <v>227.90178817907969</v>
      </c>
      <c r="AK35" s="69">
        <v>495.27986351648968</v>
      </c>
      <c r="AL35" s="69">
        <v>827.92522258758549</v>
      </c>
      <c r="AM35" s="69">
        <v>538.76903705596919</v>
      </c>
      <c r="AN35" s="69">
        <v>3324.0357965469361</v>
      </c>
      <c r="AO35" s="69">
        <v>1699.1332777023315</v>
      </c>
      <c r="AP35" s="69">
        <v>608.01533503532414</v>
      </c>
      <c r="AQ35" s="69">
        <v>1885.6920228322347</v>
      </c>
      <c r="AR35" s="69">
        <v>294.18517761230464</v>
      </c>
      <c r="AS35" s="69">
        <v>666.16695381800344</v>
      </c>
    </row>
    <row r="36" spans="1:45" x14ac:dyDescent="0.25">
      <c r="A36" s="11">
        <v>43767</v>
      </c>
      <c r="B36" s="59"/>
      <c r="C36" s="60">
        <v>0</v>
      </c>
      <c r="D36" s="60">
        <v>0</v>
      </c>
      <c r="E36" s="50">
        <v>0</v>
      </c>
      <c r="F36" s="60">
        <v>0</v>
      </c>
      <c r="G36" s="60">
        <v>0</v>
      </c>
      <c r="H36" s="61">
        <v>0</v>
      </c>
      <c r="I36" s="59">
        <v>189.57996827761332</v>
      </c>
      <c r="J36" s="60">
        <v>424.94090722401961</v>
      </c>
      <c r="K36" s="60">
        <v>25.147438321510979</v>
      </c>
      <c r="L36" s="5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257.59350608190084</v>
      </c>
      <c r="V36" s="62">
        <v>0</v>
      </c>
      <c r="W36" s="62">
        <v>39.677891798814137</v>
      </c>
      <c r="X36" s="62">
        <v>0</v>
      </c>
      <c r="Y36" s="66">
        <v>139.8759383519492</v>
      </c>
      <c r="Z36" s="66">
        <v>0</v>
      </c>
      <c r="AA36" s="67">
        <v>0</v>
      </c>
      <c r="AB36" s="68">
        <v>43.828281410535169</v>
      </c>
      <c r="AC36" s="69">
        <v>0</v>
      </c>
      <c r="AD36" s="409">
        <v>10.452635780773512</v>
      </c>
      <c r="AE36" s="409">
        <v>0</v>
      </c>
      <c r="AF36" s="69">
        <v>9.761701833870676</v>
      </c>
      <c r="AG36" s="68">
        <v>9.5187895655069354</v>
      </c>
      <c r="AH36" s="68">
        <v>0</v>
      </c>
      <c r="AI36" s="68">
        <v>1</v>
      </c>
      <c r="AJ36" s="69">
        <v>248.54445598920188</v>
      </c>
      <c r="AK36" s="69">
        <v>551.26377135912583</v>
      </c>
      <c r="AL36" s="69">
        <v>826.31710039774578</v>
      </c>
      <c r="AM36" s="69">
        <v>677.28689575195313</v>
      </c>
      <c r="AN36" s="69">
        <v>1152.6274108886719</v>
      </c>
      <c r="AO36" s="69">
        <v>1829.9926733652746</v>
      </c>
      <c r="AP36" s="69">
        <v>623.90441999435427</v>
      </c>
      <c r="AQ36" s="69">
        <v>1897.9883013407396</v>
      </c>
      <c r="AR36" s="69">
        <v>353.73363912900288</v>
      </c>
      <c r="AS36" s="69">
        <v>583.55504868825278</v>
      </c>
    </row>
    <row r="37" spans="1:45" x14ac:dyDescent="0.25">
      <c r="A37" s="11">
        <v>43768</v>
      </c>
      <c r="B37" s="59"/>
      <c r="C37" s="60">
        <v>0</v>
      </c>
      <c r="D37" s="60">
        <v>0</v>
      </c>
      <c r="E37" s="50">
        <v>0</v>
      </c>
      <c r="F37" s="60">
        <v>0</v>
      </c>
      <c r="G37" s="60">
        <v>0</v>
      </c>
      <c r="H37" s="61">
        <v>0</v>
      </c>
      <c r="I37" s="59">
        <v>193.55071550210315</v>
      </c>
      <c r="J37" s="60">
        <v>433.99285600980107</v>
      </c>
      <c r="K37" s="60">
        <v>25.690250444412264</v>
      </c>
      <c r="L37" s="5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256.03495541678683</v>
      </c>
      <c r="V37" s="62">
        <v>0</v>
      </c>
      <c r="W37" s="62">
        <v>37.767120885849003</v>
      </c>
      <c r="X37" s="62">
        <v>0</v>
      </c>
      <c r="Y37" s="66">
        <v>127.44807376066855</v>
      </c>
      <c r="Z37" s="66">
        <v>0</v>
      </c>
      <c r="AA37" s="67">
        <v>0</v>
      </c>
      <c r="AB37" s="68">
        <v>43.592417298422298</v>
      </c>
      <c r="AC37" s="69">
        <v>0</v>
      </c>
      <c r="AD37" s="409">
        <v>10.6704380665089</v>
      </c>
      <c r="AE37" s="409">
        <v>0</v>
      </c>
      <c r="AF37" s="69">
        <v>9.6140747391515209</v>
      </c>
      <c r="AG37" s="68">
        <v>9.4001807305534761</v>
      </c>
      <c r="AH37" s="68">
        <v>0</v>
      </c>
      <c r="AI37" s="68">
        <v>1</v>
      </c>
      <c r="AJ37" s="69">
        <v>288.40006307760876</v>
      </c>
      <c r="AK37" s="69">
        <v>644.20116677284238</v>
      </c>
      <c r="AL37" s="69">
        <v>906.26166556676242</v>
      </c>
      <c r="AM37" s="69">
        <v>677.28689575195313</v>
      </c>
      <c r="AN37" s="69">
        <v>1152.6274108886719</v>
      </c>
      <c r="AO37" s="69">
        <v>1886.1212909698486</v>
      </c>
      <c r="AP37" s="69">
        <v>634.14925842285163</v>
      </c>
      <c r="AQ37" s="69">
        <v>1890.5999997456865</v>
      </c>
      <c r="AR37" s="69">
        <v>391.37786316871643</v>
      </c>
      <c r="AS37" s="69">
        <v>577.41196219126391</v>
      </c>
    </row>
    <row r="38" spans="1:45" ht="15.75" thickBot="1" x14ac:dyDescent="0.3">
      <c r="A38" s="11">
        <v>43769</v>
      </c>
      <c r="B38" s="73"/>
      <c r="C38" s="74">
        <v>0</v>
      </c>
      <c r="D38" s="74">
        <v>0</v>
      </c>
      <c r="E38" s="50">
        <v>0</v>
      </c>
      <c r="F38" s="74">
        <v>0</v>
      </c>
      <c r="G38" s="74">
        <v>0</v>
      </c>
      <c r="H38" s="75">
        <v>0</v>
      </c>
      <c r="I38" s="76">
        <v>187.52484327952078</v>
      </c>
      <c r="J38" s="74">
        <v>420.38419866561878</v>
      </c>
      <c r="K38" s="74">
        <v>25.411011981964126</v>
      </c>
      <c r="L38" s="74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265.6683159722229</v>
      </c>
      <c r="V38" s="80">
        <v>0</v>
      </c>
      <c r="W38" s="81">
        <v>39.790081687768229</v>
      </c>
      <c r="X38" s="81">
        <v>0</v>
      </c>
      <c r="Y38" s="80">
        <v>116.67937648296366</v>
      </c>
      <c r="Z38" s="80">
        <v>0</v>
      </c>
      <c r="AA38" s="82">
        <v>0</v>
      </c>
      <c r="AB38" s="83">
        <v>42.480028496848824</v>
      </c>
      <c r="AC38" s="84">
        <v>0</v>
      </c>
      <c r="AD38" s="409">
        <v>10.338328415015267</v>
      </c>
      <c r="AE38" s="409">
        <v>0</v>
      </c>
      <c r="AF38" s="85">
        <v>9.8351369198825562</v>
      </c>
      <c r="AG38" s="83">
        <v>9.7351964517537173</v>
      </c>
      <c r="AH38" s="83">
        <v>0</v>
      </c>
      <c r="AI38" s="83">
        <v>1</v>
      </c>
      <c r="AJ38" s="84">
        <v>266.94429806073504</v>
      </c>
      <c r="AK38" s="84">
        <v>601.49531509081521</v>
      </c>
      <c r="AL38" s="84">
        <v>941.37473526000986</v>
      </c>
      <c r="AM38" s="84">
        <v>677.28689575195313</v>
      </c>
      <c r="AN38" s="84">
        <v>1152.6274108886719</v>
      </c>
      <c r="AO38" s="84">
        <v>1755.7313165028891</v>
      </c>
      <c r="AP38" s="84">
        <v>558.01974269549055</v>
      </c>
      <c r="AQ38" s="84">
        <v>1900.7972169876098</v>
      </c>
      <c r="AR38" s="84">
        <v>341.8430802822113</v>
      </c>
      <c r="AS38" s="84">
        <v>582.47984660466523</v>
      </c>
    </row>
    <row r="39" spans="1:45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241.62652705311831</v>
      </c>
      <c r="D39" s="30">
        <f t="shared" si="0"/>
        <v>2801.9138106743517</v>
      </c>
      <c r="E39" s="30">
        <f t="shared" si="0"/>
        <v>60.239117562770879</v>
      </c>
      <c r="F39" s="30">
        <f t="shared" si="0"/>
        <v>0</v>
      </c>
      <c r="G39" s="30">
        <f t="shared" si="0"/>
        <v>4835.7011370341124</v>
      </c>
      <c r="H39" s="31">
        <f t="shared" si="0"/>
        <v>91.864838696519655</v>
      </c>
      <c r="I39" s="29">
        <f t="shared" si="0"/>
        <v>4176.9238924344372</v>
      </c>
      <c r="J39" s="30">
        <f t="shared" si="0"/>
        <v>9411.5111661672563</v>
      </c>
      <c r="K39" s="30">
        <f t="shared" si="0"/>
        <v>532.67250289867343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6105.8266189478873</v>
      </c>
      <c r="V39" s="262">
        <f t="shared" si="0"/>
        <v>623.57122653759825</v>
      </c>
      <c r="W39" s="262">
        <f t="shared" si="0"/>
        <v>887.13263214246058</v>
      </c>
      <c r="X39" s="262">
        <f t="shared" si="0"/>
        <v>89.551260763251179</v>
      </c>
      <c r="Y39" s="262">
        <f t="shared" si="0"/>
        <v>3156.9954849294977</v>
      </c>
      <c r="Z39" s="262">
        <f t="shared" si="0"/>
        <v>346.76195343611988</v>
      </c>
      <c r="AA39" s="270">
        <f t="shared" si="0"/>
        <v>0</v>
      </c>
      <c r="AB39" s="273">
        <f t="shared" si="0"/>
        <v>1653.3756373869064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7215.8641158183418</v>
      </c>
      <c r="AK39" s="273">
        <f t="shared" si="1"/>
        <v>17564.826886494953</v>
      </c>
      <c r="AL39" s="273">
        <f t="shared" si="1"/>
        <v>32455.649990240734</v>
      </c>
      <c r="AM39" s="273">
        <f t="shared" si="1"/>
        <v>14598.770835558573</v>
      </c>
      <c r="AN39" s="273">
        <f t="shared" si="1"/>
        <v>143259.4429315567</v>
      </c>
      <c r="AO39" s="273">
        <f t="shared" si="1"/>
        <v>53549.212750879924</v>
      </c>
      <c r="AP39" s="273">
        <f t="shared" si="1"/>
        <v>14193.151251157131</v>
      </c>
      <c r="AQ39" s="273">
        <f t="shared" si="1"/>
        <v>43045.24347031911</v>
      </c>
      <c r="AR39" s="273">
        <f t="shared" si="1"/>
        <v>8398.6518000324559</v>
      </c>
      <c r="AS39" s="273">
        <f t="shared" si="1"/>
        <v>19412.832935841878</v>
      </c>
    </row>
    <row r="40" spans="1:45" ht="15.75" thickBot="1" x14ac:dyDescent="0.3">
      <c r="A40" s="47" t="s">
        <v>172</v>
      </c>
      <c r="B40" s="32">
        <f>Projection!$AD$30</f>
        <v>0.82128400199999985</v>
      </c>
      <c r="C40" s="33">
        <f>Projection!$AD$28</f>
        <v>1.4863548</v>
      </c>
      <c r="D40" s="33">
        <f>Projection!$AD$31</f>
        <v>2.9540280000000001</v>
      </c>
      <c r="E40" s="33">
        <f>Projection!$AD$26</f>
        <v>4.3368000000000002</v>
      </c>
      <c r="F40" s="33">
        <f>Projection!$AD$23</f>
        <v>0</v>
      </c>
      <c r="G40" s="33">
        <f>Projection!$AD$24</f>
        <v>5.9975000000000001E-2</v>
      </c>
      <c r="H40" s="34">
        <f>Projection!$AD$29</f>
        <v>3.7390305000000001</v>
      </c>
      <c r="I40" s="32">
        <f>Projection!$AD$30</f>
        <v>0.82128400199999985</v>
      </c>
      <c r="J40" s="33">
        <f>Projection!$AD$28</f>
        <v>1.4863548</v>
      </c>
      <c r="K40" s="33">
        <f>Projection!$AD$26</f>
        <v>4.3368000000000002</v>
      </c>
      <c r="L40" s="33">
        <f>Projection!$AD$25</f>
        <v>0</v>
      </c>
      <c r="M40" s="33">
        <f>Projection!$AD$23</f>
        <v>0</v>
      </c>
      <c r="N40" s="34">
        <f>Projection!$AD$23</f>
        <v>0</v>
      </c>
      <c r="O40" s="264">
        <v>15.77</v>
      </c>
      <c r="P40" s="265">
        <v>15.77</v>
      </c>
      <c r="Q40" s="265">
        <v>15.77</v>
      </c>
      <c r="R40" s="265">
        <v>15.77</v>
      </c>
      <c r="S40" s="265">
        <f>Projection!$AD$28</f>
        <v>1.4863548</v>
      </c>
      <c r="T40" s="266">
        <f>Projection!$AD$28</f>
        <v>1.4863548</v>
      </c>
      <c r="U40" s="264">
        <f>Projection!$AD$27</f>
        <v>0.29960000000000003</v>
      </c>
      <c r="V40" s="265">
        <f>Projection!$AD$27</f>
        <v>0.29960000000000003</v>
      </c>
      <c r="W40" s="265">
        <f>Projection!$AD$22</f>
        <v>0.74349432000000004</v>
      </c>
      <c r="X40" s="265">
        <f>Projection!$AD$22</f>
        <v>0.74349432000000004</v>
      </c>
      <c r="Y40" s="265">
        <f>Projection!$AD$31</f>
        <v>2.9540280000000001</v>
      </c>
      <c r="Z40" s="265">
        <f>Projection!$AD$31</f>
        <v>2.9540280000000001</v>
      </c>
      <c r="AA40" s="271">
        <v>0</v>
      </c>
      <c r="AB40" s="274">
        <f>Projection!$AD$27</f>
        <v>0.29960000000000003</v>
      </c>
      <c r="AC40" s="274">
        <f>Projection!$AD$30</f>
        <v>0.82128400199999985</v>
      </c>
      <c r="AD40" s="400">
        <f>SUM(AD8:AD38)</f>
        <v>244.04725212685582</v>
      </c>
      <c r="AE40" s="400">
        <f>SUM(AE8:AE38)</f>
        <v>22.963601354272434</v>
      </c>
      <c r="AF40" s="277">
        <f>SUM(AF8:AF38)</f>
        <v>241.1564500057035</v>
      </c>
      <c r="AG40" s="277">
        <f>SUM(AG8:AG38)</f>
        <v>216.84803753553854</v>
      </c>
      <c r="AH40" s="277">
        <f>SUM(AH8:AH38)</f>
        <v>22.327081938759928</v>
      </c>
      <c r="AI40" s="277">
        <f>IF(SUM(AG40:AH40)&gt;0, AG40/(AG40+AH40),0)</f>
        <v>0.90664964655255798</v>
      </c>
      <c r="AJ40" s="312">
        <v>7.0000000000000007E-2</v>
      </c>
      <c r="AK40" s="312">
        <f t="shared" ref="AK40:AS40" si="2">$AJ$40</f>
        <v>7.0000000000000007E-2</v>
      </c>
      <c r="AL40" s="312">
        <f t="shared" si="2"/>
        <v>7.0000000000000007E-2</v>
      </c>
      <c r="AM40" s="312">
        <f t="shared" si="2"/>
        <v>7.0000000000000007E-2</v>
      </c>
      <c r="AN40" s="312">
        <f t="shared" si="2"/>
        <v>7.0000000000000007E-2</v>
      </c>
      <c r="AO40" s="312">
        <f t="shared" si="2"/>
        <v>7.0000000000000007E-2</v>
      </c>
      <c r="AP40" s="312">
        <f t="shared" si="2"/>
        <v>7.0000000000000007E-2</v>
      </c>
      <c r="AQ40" s="312">
        <f t="shared" si="2"/>
        <v>7.0000000000000007E-2</v>
      </c>
      <c r="AR40" s="312">
        <f t="shared" si="2"/>
        <v>7.0000000000000007E-2</v>
      </c>
      <c r="AS40" s="312">
        <f t="shared" si="2"/>
        <v>7.0000000000000007E-2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359.14274829273222</v>
      </c>
      <c r="D41" s="36">
        <f t="shared" si="3"/>
        <v>8276.9318503187333</v>
      </c>
      <c r="E41" s="36">
        <f t="shared" si="3"/>
        <v>261.24500504622478</v>
      </c>
      <c r="F41" s="36">
        <f t="shared" si="3"/>
        <v>0</v>
      </c>
      <c r="G41" s="36">
        <f t="shared" si="3"/>
        <v>290.02117569362088</v>
      </c>
      <c r="H41" s="37">
        <f t="shared" si="3"/>
        <v>343.48543376386726</v>
      </c>
      <c r="I41" s="35">
        <f t="shared" si="3"/>
        <v>3430.4407704279715</v>
      </c>
      <c r="J41" s="36">
        <f t="shared" si="3"/>
        <v>13988.844797086298</v>
      </c>
      <c r="K41" s="36">
        <f t="shared" si="3"/>
        <v>2310.0941105709671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1829.3056550367871</v>
      </c>
      <c r="V41" s="268">
        <f t="shared" si="3"/>
        <v>186.82193947066446</v>
      </c>
      <c r="W41" s="268">
        <f t="shared" si="3"/>
        <v>659.57807308456893</v>
      </c>
      <c r="X41" s="268">
        <f t="shared" si="3"/>
        <v>66.580853726316121</v>
      </c>
      <c r="Y41" s="268">
        <f t="shared" si="3"/>
        <v>9325.8530583553147</v>
      </c>
      <c r="Z41" s="268">
        <f t="shared" si="3"/>
        <v>1024.3445197849944</v>
      </c>
      <c r="AA41" s="272">
        <f t="shared" si="3"/>
        <v>0</v>
      </c>
      <c r="AB41" s="275">
        <f t="shared" si="3"/>
        <v>495.35134096111722</v>
      </c>
      <c r="AC41" s="275">
        <f t="shared" si="3"/>
        <v>0</v>
      </c>
      <c r="AJ41" s="278">
        <f t="shared" ref="AJ41:AS41" si="4">AJ40*AJ39</f>
        <v>505.11048810728397</v>
      </c>
      <c r="AK41" s="278">
        <f t="shared" si="4"/>
        <v>1229.5378820546468</v>
      </c>
      <c r="AL41" s="278">
        <f t="shared" si="4"/>
        <v>2271.8954993168518</v>
      </c>
      <c r="AM41" s="278">
        <f t="shared" si="4"/>
        <v>1021.9139584891002</v>
      </c>
      <c r="AN41" s="278">
        <f t="shared" si="4"/>
        <v>10028.161005208969</v>
      </c>
      <c r="AO41" s="278">
        <f t="shared" si="4"/>
        <v>3748.4448925615952</v>
      </c>
      <c r="AP41" s="278">
        <f t="shared" si="4"/>
        <v>993.52058758099929</v>
      </c>
      <c r="AQ41" s="278">
        <f t="shared" si="4"/>
        <v>3013.1670429223382</v>
      </c>
      <c r="AR41" s="278">
        <f t="shared" si="4"/>
        <v>587.90562600227202</v>
      </c>
      <c r="AS41" s="278">
        <f t="shared" si="4"/>
        <v>1358.8983055089316</v>
      </c>
    </row>
    <row r="42" spans="1:45" ht="49.5" customHeight="1" thickTop="1" thickBot="1" x14ac:dyDescent="0.3">
      <c r="A42" s="633">
        <f>SEPTEMBER!$A$42+30</f>
        <v>43740</v>
      </c>
      <c r="B42" s="634"/>
      <c r="C42" s="634"/>
      <c r="D42" s="634"/>
      <c r="E42" s="634"/>
      <c r="F42" s="634"/>
      <c r="G42" s="634"/>
      <c r="H42" s="634"/>
      <c r="I42" s="634"/>
      <c r="J42" s="634"/>
      <c r="K42" s="63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404.28</v>
      </c>
      <c r="AK42" s="278" t="s">
        <v>197</v>
      </c>
      <c r="AL42" s="278">
        <v>934.84</v>
      </c>
      <c r="AM42" s="278">
        <v>37.78</v>
      </c>
      <c r="AN42" s="278">
        <v>624.27</v>
      </c>
      <c r="AO42" s="278">
        <v>1286.51</v>
      </c>
      <c r="AP42" s="278">
        <v>192.6</v>
      </c>
      <c r="AQ42" s="278" t="s">
        <v>197</v>
      </c>
      <c r="AR42" s="278">
        <v>41.5</v>
      </c>
      <c r="AS42" s="278">
        <v>94.91</v>
      </c>
    </row>
    <row r="43" spans="1:45" ht="38.25" customHeight="1" thickTop="1" thickBot="1" x14ac:dyDescent="0.3">
      <c r="A43" s="630" t="s">
        <v>49</v>
      </c>
      <c r="B43" s="626"/>
      <c r="C43" s="289"/>
      <c r="D43" s="626" t="s">
        <v>47</v>
      </c>
      <c r="E43" s="626"/>
      <c r="F43" s="289"/>
      <c r="G43" s="626" t="s">
        <v>48</v>
      </c>
      <c r="H43" s="626"/>
      <c r="I43" s="290"/>
      <c r="J43" s="626" t="s">
        <v>50</v>
      </c>
      <c r="K43" s="627"/>
      <c r="L43" s="44"/>
      <c r="M43" s="44"/>
      <c r="N43" s="44"/>
      <c r="O43" s="45"/>
      <c r="P43" s="45"/>
      <c r="Q43" s="45"/>
      <c r="R43" s="615" t="s">
        <v>166</v>
      </c>
      <c r="S43" s="616"/>
      <c r="T43" s="616"/>
      <c r="U43" s="617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42848.041331620181</v>
      </c>
      <c r="C44" s="12"/>
      <c r="D44" s="282" t="s">
        <v>135</v>
      </c>
      <c r="E44" s="283">
        <f>SUM(B41:H41)+P41+R41+T41+V41+X41+Z41</f>
        <v>10808.573526097154</v>
      </c>
      <c r="F44" s="12"/>
      <c r="G44" s="282" t="s">
        <v>135</v>
      </c>
      <c r="H44" s="283">
        <f>SUM(I41:N41)+O41+Q41+S41+U41+W41+Y41</f>
        <v>31544.11646456191</v>
      </c>
      <c r="I44" s="12"/>
      <c r="J44" s="282" t="s">
        <v>198</v>
      </c>
      <c r="K44" s="283">
        <v>152411.47</v>
      </c>
      <c r="L44" s="12"/>
      <c r="M44" s="12"/>
      <c r="N44" s="12"/>
      <c r="O44" s="12"/>
      <c r="P44" s="12"/>
      <c r="Q44" s="12"/>
      <c r="R44" s="319" t="s">
        <v>135</v>
      </c>
      <c r="S44" s="320"/>
      <c r="T44" s="313" t="s">
        <v>167</v>
      </c>
      <c r="U44" s="255" t="s">
        <v>168</v>
      </c>
    </row>
    <row r="45" spans="1:45" ht="24" thickBot="1" x14ac:dyDescent="0.4">
      <c r="A45" s="284" t="s">
        <v>183</v>
      </c>
      <c r="B45" s="285">
        <f>SUM(AJ41:AS41)</f>
        <v>24758.555287752988</v>
      </c>
      <c r="C45" s="12"/>
      <c r="D45" s="284" t="s">
        <v>183</v>
      </c>
      <c r="E45" s="285">
        <f>AJ41*(1-$AI$40)+AK41+AL41*0.5+AN41+AO41*(1-$AI$40)+AP41*(1-$AI$40)+AQ41*(1-$AI$40)+AR41*0.5+AS41*0.5</f>
        <v>14138.145207332334</v>
      </c>
      <c r="F45" s="24"/>
      <c r="G45" s="284" t="s">
        <v>183</v>
      </c>
      <c r="H45" s="285">
        <f>AJ41*AI40+AL41*0.5+AM41+AO41*AI40+AP41*AI40+AQ41*AI40+AR41*0.5+AS41*0.5</f>
        <v>10620.410080420656</v>
      </c>
      <c r="I45" s="12"/>
      <c r="J45" s="12"/>
      <c r="K45" s="288"/>
      <c r="L45" s="12"/>
      <c r="M45" s="12"/>
      <c r="N45" s="12"/>
      <c r="O45" s="12"/>
      <c r="P45" s="12"/>
      <c r="Q45" s="12"/>
      <c r="R45" s="317" t="s">
        <v>141</v>
      </c>
      <c r="S45" s="318"/>
      <c r="T45" s="254">
        <f>$W$39+$X$39</f>
        <v>976.68389290571179</v>
      </c>
      <c r="U45" s="256">
        <f>(T45*8.34*0.895)/27000</f>
        <v>0.27000968821541127</v>
      </c>
    </row>
    <row r="46" spans="1:45" ht="32.25" thickBot="1" x14ac:dyDescent="0.3">
      <c r="A46" s="286" t="s">
        <v>184</v>
      </c>
      <c r="B46" s="287">
        <f>SUM(AJ42:AS42)</f>
        <v>3616.6899999999996</v>
      </c>
      <c r="C46" s="12"/>
      <c r="D46" s="286" t="s">
        <v>184</v>
      </c>
      <c r="E46" s="287">
        <f>AJ42*(1-$AI$40)+AL42*0.5+AN42+AO42*(1-$AI$40)+AP42*(1-$AI$40)+AR42*0.5+AS42*0.5</f>
        <v>1335.7101221793778</v>
      </c>
      <c r="F46" s="23"/>
      <c r="G46" s="286" t="s">
        <v>184</v>
      </c>
      <c r="H46" s="287">
        <f>AJ42*AI40+AL42*0.5+AM42+AO42*AI40+AP42*AI40+AR42*0.5+AS42*0.5</f>
        <v>2280.9798778206218</v>
      </c>
      <c r="I46" s="12"/>
      <c r="J46" s="628" t="s">
        <v>199</v>
      </c>
      <c r="K46" s="629"/>
      <c r="L46" s="12"/>
      <c r="M46" s="12"/>
      <c r="N46" s="12"/>
      <c r="O46" s="12"/>
      <c r="P46" s="12"/>
      <c r="Q46" s="12"/>
      <c r="R46" s="317" t="s">
        <v>145</v>
      </c>
      <c r="S46" s="318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152411.47</v>
      </c>
      <c r="C47" s="12"/>
      <c r="D47" s="286" t="s">
        <v>187</v>
      </c>
      <c r="E47" s="287">
        <f>K44*0.5</f>
        <v>76205.735000000001</v>
      </c>
      <c r="F47" s="24"/>
      <c r="G47" s="286" t="s">
        <v>185</v>
      </c>
      <c r="H47" s="287">
        <f>K44*0.5</f>
        <v>76205.735000000001</v>
      </c>
      <c r="I47" s="12"/>
      <c r="J47" s="282" t="s">
        <v>198</v>
      </c>
      <c r="K47" s="283">
        <v>30698.769999999997</v>
      </c>
      <c r="L47" s="12"/>
      <c r="M47" s="12"/>
      <c r="N47" s="12"/>
      <c r="O47" s="12"/>
      <c r="P47" s="12"/>
      <c r="Q47" s="12"/>
      <c r="R47" s="317" t="s">
        <v>148</v>
      </c>
      <c r="S47" s="318"/>
      <c r="T47" s="254">
        <f>$G$39</f>
        <v>4835.7011370341124</v>
      </c>
      <c r="U47" s="256">
        <f>T47/40000</f>
        <v>0.12089252842585281</v>
      </c>
    </row>
    <row r="48" spans="1:45" ht="24" thickBot="1" x14ac:dyDescent="0.3">
      <c r="A48" s="286" t="s">
        <v>186</v>
      </c>
      <c r="B48" s="287">
        <f>K47</f>
        <v>30698.769999999997</v>
      </c>
      <c r="C48" s="12"/>
      <c r="D48" s="286" t="s">
        <v>186</v>
      </c>
      <c r="E48" s="287">
        <f>K47*0.5</f>
        <v>15349.384999999998</v>
      </c>
      <c r="F48" s="23"/>
      <c r="G48" s="286" t="s">
        <v>186</v>
      </c>
      <c r="H48" s="287">
        <f>K47*0.5</f>
        <v>15349.384999999998</v>
      </c>
      <c r="I48" s="12"/>
      <c r="J48" s="12"/>
      <c r="K48" s="86"/>
      <c r="L48" s="12"/>
      <c r="M48" s="12"/>
      <c r="N48" s="12"/>
      <c r="O48" s="12"/>
      <c r="P48" s="12"/>
      <c r="Q48" s="12"/>
      <c r="R48" s="317" t="s">
        <v>150</v>
      </c>
      <c r="S48" s="318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194</v>
      </c>
      <c r="B49" s="292">
        <f>AF40</f>
        <v>241.1564500057035</v>
      </c>
      <c r="C49" s="12"/>
      <c r="D49" s="291" t="s">
        <v>195</v>
      </c>
      <c r="E49" s="292">
        <f>AH40</f>
        <v>22.327081938759928</v>
      </c>
      <c r="F49" s="23"/>
      <c r="G49" s="291" t="s">
        <v>196</v>
      </c>
      <c r="H49" s="292">
        <f>AG40</f>
        <v>216.84803753553854</v>
      </c>
      <c r="I49" s="12"/>
      <c r="J49" s="12"/>
      <c r="K49" s="86"/>
      <c r="L49" s="12"/>
      <c r="M49" s="12"/>
      <c r="N49" s="12"/>
      <c r="O49" s="12"/>
      <c r="P49" s="12"/>
      <c r="Q49" s="12"/>
      <c r="R49" s="317" t="s">
        <v>152</v>
      </c>
      <c r="S49" s="318"/>
      <c r="T49" s="254">
        <f>$E$39+$K$39</f>
        <v>592.91162046144427</v>
      </c>
      <c r="U49" s="256">
        <f>(T49*8.34*1.04)/45000</f>
        <v>0.11428173847187517</v>
      </c>
    </row>
    <row r="50" spans="1:25" ht="48" customHeight="1" thickTop="1" thickBot="1" x14ac:dyDescent="0.3">
      <c r="A50" s="291" t="s">
        <v>223</v>
      </c>
      <c r="B50" s="292">
        <f>SUM(E50+H50)</f>
        <v>267.01085348112827</v>
      </c>
      <c r="C50" s="12"/>
      <c r="D50" s="291" t="s">
        <v>224</v>
      </c>
      <c r="E50" s="292">
        <f>AE40</f>
        <v>22.963601354272434</v>
      </c>
      <c r="F50" s="23"/>
      <c r="G50" s="291" t="s">
        <v>225</v>
      </c>
      <c r="H50" s="292">
        <f>AD40</f>
        <v>244.04725212685582</v>
      </c>
      <c r="I50" s="12"/>
      <c r="J50" s="12"/>
      <c r="K50" s="86"/>
      <c r="L50" s="12"/>
      <c r="M50" s="12"/>
      <c r="N50" s="12"/>
      <c r="O50" s="12"/>
      <c r="P50" s="12"/>
      <c r="Q50" s="12"/>
      <c r="R50" s="317"/>
      <c r="S50" s="318"/>
      <c r="T50" s="254"/>
      <c r="U50" s="256"/>
    </row>
    <row r="51" spans="1:25" ht="48" thickTop="1" thickBot="1" x14ac:dyDescent="0.3">
      <c r="A51" s="291" t="s">
        <v>190</v>
      </c>
      <c r="B51" s="293">
        <f>(SUM(B44:B48)/B50)</f>
        <v>952.52130504630918</v>
      </c>
      <c r="C51" s="12"/>
      <c r="D51" s="291" t="s">
        <v>188</v>
      </c>
      <c r="E51" s="399">
        <f>SUM(E44:E48)/E50</f>
        <v>5131.4925319274844</v>
      </c>
      <c r="F51" s="23"/>
      <c r="G51" s="291" t="s">
        <v>189</v>
      </c>
      <c r="H51" s="399">
        <f>SUM(H44:H48)/H50</f>
        <v>557.27169733552273</v>
      </c>
      <c r="I51" s="12"/>
      <c r="J51" s="12"/>
      <c r="K51" s="86"/>
      <c r="L51" s="12"/>
      <c r="M51" s="12"/>
      <c r="N51" s="12"/>
      <c r="O51" s="12"/>
      <c r="P51" s="12"/>
      <c r="Q51" s="12"/>
      <c r="R51" s="317" t="s">
        <v>153</v>
      </c>
      <c r="S51" s="318"/>
      <c r="T51" s="254">
        <f>$U$39+$V$39+$AB$39</f>
        <v>8382.7734828723915</v>
      </c>
      <c r="U51" s="256">
        <f>T51/2000/8</f>
        <v>0.52392334267952445</v>
      </c>
    </row>
    <row r="52" spans="1:25" ht="48" thickTop="1" thickBot="1" x14ac:dyDescent="0.3">
      <c r="A52" s="281" t="s">
        <v>191</v>
      </c>
      <c r="B52" s="294">
        <f>B51/1000</f>
        <v>0.95252130504630916</v>
      </c>
      <c r="C52" s="12"/>
      <c r="D52" s="281" t="s">
        <v>192</v>
      </c>
      <c r="E52" s="294">
        <f>E51/1000</f>
        <v>5.131492531927484</v>
      </c>
      <c r="F52" s="373">
        <f>E44/E49</f>
        <v>484.10148517139697</v>
      </c>
      <c r="G52" s="281" t="s">
        <v>193</v>
      </c>
      <c r="H52" s="294">
        <f>H51/1000</f>
        <v>0.55727169733552273</v>
      </c>
      <c r="I52" s="373">
        <f>H44/H49</f>
        <v>145.46646039806674</v>
      </c>
      <c r="J52" s="12"/>
      <c r="K52" s="86"/>
      <c r="L52" s="12"/>
      <c r="M52" s="12"/>
      <c r="N52" s="12"/>
      <c r="O52" s="12"/>
      <c r="P52" s="12"/>
      <c r="Q52" s="12"/>
      <c r="R52" s="317" t="s">
        <v>154</v>
      </c>
      <c r="S52" s="318"/>
      <c r="T52" s="254">
        <f>$C$39+$J$39+$S$39+$T$39</f>
        <v>9653.1376932203748</v>
      </c>
      <c r="U52" s="256">
        <f>(T52*8.34*1.4)/45000</f>
        <v>2.5046674601342462</v>
      </c>
    </row>
    <row r="53" spans="1:25" ht="16.5" thickTop="1" thickBot="1" x14ac:dyDescent="0.3">
      <c r="A53" s="302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7" t="s">
        <v>155</v>
      </c>
      <c r="S53" s="318"/>
      <c r="T53" s="254">
        <f>$H$39</f>
        <v>91.864838696519655</v>
      </c>
      <c r="U53" s="256">
        <f>(T53*8.34*1.135)/45000</f>
        <v>1.9324075035941898E-2</v>
      </c>
    </row>
    <row r="54" spans="1:25" ht="33" thickTop="1" thickBot="1" x14ac:dyDescent="0.3">
      <c r="A54" s="618" t="s">
        <v>51</v>
      </c>
      <c r="B54" s="619"/>
      <c r="C54" s="619"/>
      <c r="D54" s="619"/>
      <c r="E54" s="62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7" t="s">
        <v>156</v>
      </c>
      <c r="S54" s="318"/>
      <c r="T54" s="254">
        <f>$B$39+$I$39+$AC$39</f>
        <v>4176.9238924344372</v>
      </c>
      <c r="U54" s="256">
        <f>(T54*8.34*1.029*0.03)/3300</f>
        <v>0.32587069159570359</v>
      </c>
    </row>
    <row r="55" spans="1:25" ht="59.25" customHeight="1" thickBot="1" x14ac:dyDescent="0.3">
      <c r="A55" s="623" t="s">
        <v>200</v>
      </c>
      <c r="B55" s="624"/>
      <c r="C55" s="624"/>
      <c r="D55" s="624"/>
      <c r="E55" s="62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1" t="s">
        <v>158</v>
      </c>
      <c r="S55" s="632"/>
      <c r="T55" s="258">
        <f>$D$39+$Y$39+$Z$39</f>
        <v>6305.6712490399696</v>
      </c>
      <c r="U55" s="259">
        <f>(T55*1.54*8.34)/45000</f>
        <v>1.7997226500926611</v>
      </c>
      <c r="V55" s="325"/>
      <c r="W55" s="12"/>
    </row>
    <row r="56" spans="1:25" ht="15.75" thickTop="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2"/>
      <c r="T56" s="668"/>
      <c r="U56" s="668"/>
      <c r="V56" s="323"/>
      <c r="W56" s="324"/>
      <c r="X56" s="322"/>
      <c r="Y56" s="322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2"/>
      <c r="T57" s="667"/>
      <c r="U57" s="667"/>
      <c r="V57" s="323"/>
      <c r="W57" s="324"/>
      <c r="X57" s="322"/>
      <c r="Y57" s="322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2"/>
      <c r="T58" s="667"/>
      <c r="U58" s="667"/>
      <c r="V58" s="323"/>
      <c r="W58" s="324"/>
      <c r="X58" s="322"/>
      <c r="Y58" s="322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2"/>
      <c r="T59" s="667"/>
      <c r="U59" s="667"/>
      <c r="V59" s="323"/>
      <c r="W59" s="324"/>
      <c r="X59" s="322"/>
      <c r="Y59" s="322"/>
    </row>
    <row r="60" spans="1:25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322"/>
      <c r="T60" s="667"/>
      <c r="U60" s="667"/>
      <c r="V60" s="323"/>
      <c r="W60" s="324"/>
      <c r="X60" s="322"/>
      <c r="Y60" s="322"/>
    </row>
    <row r="61" spans="1:25" x14ac:dyDescent="0.25">
      <c r="S61" s="322"/>
      <c r="T61" s="667"/>
      <c r="U61" s="667"/>
      <c r="V61" s="323"/>
      <c r="W61" s="324"/>
      <c r="X61" s="322"/>
      <c r="Y61" s="322"/>
    </row>
    <row r="62" spans="1:25" x14ac:dyDescent="0.25">
      <c r="S62" s="322"/>
      <c r="T62" s="667"/>
      <c r="U62" s="667"/>
      <c r="V62" s="323"/>
      <c r="W62" s="324"/>
      <c r="X62" s="322"/>
      <c r="Y62" s="322"/>
    </row>
    <row r="63" spans="1:25" x14ac:dyDescent="0.25">
      <c r="S63" s="322"/>
      <c r="T63" s="667"/>
      <c r="U63" s="667"/>
      <c r="V63" s="323"/>
      <c r="W63" s="324"/>
      <c r="X63" s="322"/>
      <c r="Y63" s="322"/>
    </row>
    <row r="64" spans="1:25" x14ac:dyDescent="0.25">
      <c r="S64" s="322"/>
      <c r="T64" s="322"/>
      <c r="U64" s="322"/>
      <c r="V64" s="322"/>
      <c r="W64" s="322"/>
      <c r="X64" s="322"/>
      <c r="Y64" s="322"/>
    </row>
    <row r="65" spans="19:25" x14ac:dyDescent="0.25">
      <c r="S65" s="322"/>
      <c r="T65" s="322"/>
      <c r="U65" s="322"/>
      <c r="V65" s="322"/>
      <c r="W65" s="322"/>
      <c r="X65" s="322"/>
      <c r="Y65" s="322"/>
    </row>
    <row r="66" spans="19:25" x14ac:dyDescent="0.25">
      <c r="S66" s="322"/>
      <c r="T66" s="322"/>
      <c r="U66" s="322"/>
      <c r="V66" s="322"/>
      <c r="W66" s="322"/>
      <c r="X66" s="322"/>
      <c r="Y66" s="322"/>
    </row>
    <row r="67" spans="19:25" x14ac:dyDescent="0.25">
      <c r="S67" s="322"/>
      <c r="T67" s="322"/>
      <c r="U67" s="322"/>
      <c r="V67" s="322"/>
      <c r="W67" s="322"/>
      <c r="X67" s="322"/>
      <c r="Y67" s="322"/>
    </row>
  </sheetData>
  <sheetProtection algorithmName="SHA-512" hashValue="qEhGyya3ibvQbqt+nHz6yt8nT56bBF+W7OjmqoHSoXnMmsr0HNb4+1zwrilhyPUYRyjxTxATLwEocih8Sgts/Q==" saltValue="7wUNIxK2RxipdBVgMC4ShQ==" spinCount="100000" sheet="1" selectLockedCells="1" selectUnlockedCells="1"/>
  <mergeCells count="40">
    <mergeCell ref="AR4:AR5"/>
    <mergeCell ref="AS4:AS5"/>
    <mergeCell ref="AJ4:AJ5"/>
    <mergeCell ref="AK4:AK5"/>
    <mergeCell ref="AL4:AL5"/>
    <mergeCell ref="AM4:AM5"/>
    <mergeCell ref="AN4:AN5"/>
    <mergeCell ref="AO4:AO5"/>
    <mergeCell ref="O4:T5"/>
    <mergeCell ref="U4:AA5"/>
    <mergeCell ref="R43:U43"/>
    <mergeCell ref="AP4:AP5"/>
    <mergeCell ref="AQ4:AQ5"/>
    <mergeCell ref="AI4:AI5"/>
    <mergeCell ref="AB4:AB5"/>
    <mergeCell ref="AC4:AC5"/>
    <mergeCell ref="AF4:AF5"/>
    <mergeCell ref="AG4:AG5"/>
    <mergeCell ref="AH4:AH5"/>
    <mergeCell ref="AD4:AD5"/>
    <mergeCell ref="AE4:AE5"/>
    <mergeCell ref="B4:H5"/>
    <mergeCell ref="I4:N5"/>
    <mergeCell ref="G43:H43"/>
    <mergeCell ref="D43:E43"/>
    <mergeCell ref="A43:B43"/>
    <mergeCell ref="A42:K42"/>
    <mergeCell ref="J43:K43"/>
    <mergeCell ref="J46:K46"/>
    <mergeCell ref="A54:E54"/>
    <mergeCell ref="A55:E55"/>
    <mergeCell ref="R55:S55"/>
    <mergeCell ref="T62:U62"/>
    <mergeCell ref="T56:U56"/>
    <mergeCell ref="T63:U63"/>
    <mergeCell ref="T57:U57"/>
    <mergeCell ref="T58:U58"/>
    <mergeCell ref="T59:U59"/>
    <mergeCell ref="T60:U60"/>
    <mergeCell ref="T61:U61"/>
  </mergeCells>
  <pageMargins left="0.33" right="0.19" top="0.75" bottom="0.75" header="0.3" footer="0.3"/>
  <pageSetup scale="50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C70"/>
  <sheetViews>
    <sheetView zoomScale="80" zoomScaleNormal="80" workbookViewId="0">
      <selection activeCell="I53" sqref="I53"/>
    </sheetView>
  </sheetViews>
  <sheetFormatPr defaultRowHeight="15" x14ac:dyDescent="0.25"/>
  <cols>
    <col min="1" max="1" width="38.8554687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8554687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7" width="20.42578125" customWidth="1"/>
  </cols>
  <sheetData>
    <row r="1" spans="1:55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5" ht="15" customHeight="1" x14ac:dyDescent="0.25">
      <c r="A2" s="1" t="s">
        <v>2</v>
      </c>
      <c r="B2" s="5"/>
      <c r="O2" s="4"/>
      <c r="P2" s="4"/>
      <c r="Q2" s="4"/>
      <c r="R2" s="4"/>
    </row>
    <row r="3" spans="1:55" ht="15.75" thickBot="1" x14ac:dyDescent="0.3">
      <c r="A3" s="6"/>
      <c r="BB3" t="s">
        <v>169</v>
      </c>
      <c r="BC3" s="260" t="s">
        <v>206</v>
      </c>
    </row>
    <row r="4" spans="1:55" ht="30" customHeight="1" thickTop="1" x14ac:dyDescent="0.25">
      <c r="A4" s="13"/>
      <c r="B4" s="637" t="s">
        <v>3</v>
      </c>
      <c r="C4" s="638"/>
      <c r="D4" s="638"/>
      <c r="E4" s="638"/>
      <c r="F4" s="638"/>
      <c r="G4" s="638"/>
      <c r="H4" s="639"/>
      <c r="I4" s="637" t="s">
        <v>4</v>
      </c>
      <c r="J4" s="638"/>
      <c r="K4" s="638"/>
      <c r="L4" s="638"/>
      <c r="M4" s="638"/>
      <c r="N4" s="639"/>
      <c r="O4" s="643" t="s">
        <v>5</v>
      </c>
      <c r="P4" s="644"/>
      <c r="Q4" s="645"/>
      <c r="R4" s="645"/>
      <c r="S4" s="645"/>
      <c r="T4" s="646"/>
      <c r="U4" s="637" t="s">
        <v>6</v>
      </c>
      <c r="V4" s="650"/>
      <c r="W4" s="650"/>
      <c r="X4" s="650"/>
      <c r="Y4" s="650"/>
      <c r="Z4" s="650"/>
      <c r="AA4" s="651"/>
      <c r="AB4" s="655" t="s">
        <v>7</v>
      </c>
      <c r="AC4" s="657" t="s">
        <v>8</v>
      </c>
      <c r="AD4" s="621" t="s">
        <v>222</v>
      </c>
      <c r="AE4" s="621" t="s">
        <v>221</v>
      </c>
      <c r="AF4" s="621" t="s">
        <v>27</v>
      </c>
      <c r="AG4" s="621" t="s">
        <v>31</v>
      </c>
      <c r="AH4" s="621" t="s">
        <v>32</v>
      </c>
      <c r="AI4" s="621" t="s">
        <v>33</v>
      </c>
      <c r="AJ4" s="655" t="s">
        <v>173</v>
      </c>
      <c r="AK4" s="655" t="s">
        <v>174</v>
      </c>
      <c r="AL4" s="655" t="s">
        <v>175</v>
      </c>
      <c r="AM4" s="655" t="s">
        <v>176</v>
      </c>
      <c r="AN4" s="655" t="s">
        <v>177</v>
      </c>
      <c r="AO4" s="655" t="s">
        <v>178</v>
      </c>
      <c r="AP4" s="655" t="s">
        <v>179</v>
      </c>
      <c r="AQ4" s="655" t="s">
        <v>182</v>
      </c>
      <c r="AR4" s="655" t="s">
        <v>180</v>
      </c>
      <c r="AS4" s="655" t="s">
        <v>181</v>
      </c>
    </row>
    <row r="5" spans="1:55" ht="30" customHeight="1" thickBot="1" x14ac:dyDescent="0.3">
      <c r="A5" s="13"/>
      <c r="B5" s="640"/>
      <c r="C5" s="641"/>
      <c r="D5" s="641"/>
      <c r="E5" s="641"/>
      <c r="F5" s="641"/>
      <c r="G5" s="641"/>
      <c r="H5" s="642"/>
      <c r="I5" s="640"/>
      <c r="J5" s="641"/>
      <c r="K5" s="641"/>
      <c r="L5" s="641"/>
      <c r="M5" s="641"/>
      <c r="N5" s="642"/>
      <c r="O5" s="647"/>
      <c r="P5" s="648"/>
      <c r="Q5" s="648"/>
      <c r="R5" s="648"/>
      <c r="S5" s="648"/>
      <c r="T5" s="649"/>
      <c r="U5" s="652"/>
      <c r="V5" s="653"/>
      <c r="W5" s="653"/>
      <c r="X5" s="653"/>
      <c r="Y5" s="653"/>
      <c r="Z5" s="653"/>
      <c r="AA5" s="654"/>
      <c r="AB5" s="656"/>
      <c r="AC5" s="658"/>
      <c r="AD5" s="622"/>
      <c r="AE5" s="622"/>
      <c r="AF5" s="636"/>
      <c r="AG5" s="636"/>
      <c r="AH5" s="636"/>
      <c r="AI5" s="636"/>
      <c r="AJ5" s="622"/>
      <c r="AK5" s="622"/>
      <c r="AL5" s="622"/>
      <c r="AM5" s="622"/>
      <c r="AN5" s="622"/>
      <c r="AO5" s="622"/>
      <c r="AP5" s="622"/>
      <c r="AQ5" s="622"/>
      <c r="AR5" s="622"/>
      <c r="AS5" s="622"/>
    </row>
    <row r="6" spans="1:55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55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6" t="s">
        <v>23</v>
      </c>
      <c r="AD7" s="398" t="s">
        <v>28</v>
      </c>
      <c r="AE7" s="398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55" x14ac:dyDescent="0.25">
      <c r="A8" s="11">
        <v>43770</v>
      </c>
      <c r="B8" s="49"/>
      <c r="C8" s="50">
        <v>0</v>
      </c>
      <c r="D8" s="50">
        <v>0</v>
      </c>
      <c r="E8" s="50">
        <v>0</v>
      </c>
      <c r="F8" s="50">
        <v>0</v>
      </c>
      <c r="G8" s="50">
        <v>0</v>
      </c>
      <c r="H8" s="51">
        <v>0</v>
      </c>
      <c r="I8" s="49">
        <v>188.48363897800459</v>
      </c>
      <c r="J8" s="50">
        <v>419.07863591512029</v>
      </c>
      <c r="K8" s="50">
        <v>25.507875031232864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260.48523699442779</v>
      </c>
      <c r="V8" s="54">
        <v>0</v>
      </c>
      <c r="W8" s="54">
        <v>38.937879717350029</v>
      </c>
      <c r="X8" s="54">
        <v>0</v>
      </c>
      <c r="Y8" s="54">
        <v>115.40154735247282</v>
      </c>
      <c r="Z8" s="54">
        <v>0</v>
      </c>
      <c r="AA8" s="55">
        <v>0</v>
      </c>
      <c r="AB8" s="56">
        <v>42.531884241104791</v>
      </c>
      <c r="AC8" s="57">
        <v>0</v>
      </c>
      <c r="AD8" s="443">
        <v>10.30444724224143</v>
      </c>
      <c r="AE8" s="408">
        <v>0</v>
      </c>
      <c r="AF8" s="57">
        <v>9.7113698740800203</v>
      </c>
      <c r="AG8" s="58">
        <v>9.6061334958228919</v>
      </c>
      <c r="AH8" s="58">
        <v>0</v>
      </c>
      <c r="AI8" s="58">
        <v>1</v>
      </c>
      <c r="AJ8" s="57">
        <v>251.2628943045934</v>
      </c>
      <c r="AK8" s="57">
        <v>550.38978959719338</v>
      </c>
      <c r="AL8" s="57">
        <v>872.30980065663653</v>
      </c>
      <c r="AM8" s="57">
        <v>677.28689575195313</v>
      </c>
      <c r="AN8" s="57">
        <v>1152.6274108886719</v>
      </c>
      <c r="AO8" s="57">
        <v>1744.2898159027097</v>
      </c>
      <c r="AP8" s="57">
        <v>524.88885771433502</v>
      </c>
      <c r="AQ8" s="57">
        <v>1902.6962018330892</v>
      </c>
      <c r="AR8" s="57">
        <v>350.1341504732768</v>
      </c>
      <c r="AS8" s="57">
        <v>589.83712132771802</v>
      </c>
    </row>
    <row r="9" spans="1:55" x14ac:dyDescent="0.25">
      <c r="A9" s="11">
        <v>43771</v>
      </c>
      <c r="B9" s="59"/>
      <c r="C9" s="60">
        <v>0</v>
      </c>
      <c r="D9" s="60">
        <v>0</v>
      </c>
      <c r="E9" s="50">
        <v>0</v>
      </c>
      <c r="F9" s="60">
        <v>0</v>
      </c>
      <c r="G9" s="60">
        <v>0</v>
      </c>
      <c r="H9" s="61">
        <v>0</v>
      </c>
      <c r="I9" s="59">
        <v>190.77594854036965</v>
      </c>
      <c r="J9" s="60">
        <v>419.90417884190862</v>
      </c>
      <c r="K9" s="60">
        <v>25.524551250537275</v>
      </c>
      <c r="L9" s="50">
        <v>0</v>
      </c>
      <c r="M9" s="5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269.4281935797755</v>
      </c>
      <c r="V9" s="62">
        <v>0</v>
      </c>
      <c r="W9" s="62">
        <v>39.064389252662693</v>
      </c>
      <c r="X9" s="62">
        <v>0</v>
      </c>
      <c r="Y9" s="66">
        <v>122.05375698407488</v>
      </c>
      <c r="Z9" s="66">
        <v>0</v>
      </c>
      <c r="AA9" s="67">
        <v>0</v>
      </c>
      <c r="AB9" s="68">
        <v>42.53240431149883</v>
      </c>
      <c r="AC9" s="69">
        <v>0</v>
      </c>
      <c r="AD9" s="405">
        <v>10.323323630527714</v>
      </c>
      <c r="AE9" s="409">
        <v>0</v>
      </c>
      <c r="AF9" s="69">
        <v>9.8982654111252817</v>
      </c>
      <c r="AG9" s="68">
        <v>9.8060232568674852</v>
      </c>
      <c r="AH9" s="68">
        <v>0</v>
      </c>
      <c r="AI9" s="68">
        <v>1</v>
      </c>
      <c r="AJ9" s="69">
        <v>240.79003977775577</v>
      </c>
      <c r="AK9" s="69">
        <v>541.38186620076499</v>
      </c>
      <c r="AL9" s="69">
        <v>938.48216451009114</v>
      </c>
      <c r="AM9" s="69">
        <v>677.28689575195313</v>
      </c>
      <c r="AN9" s="69">
        <v>1152.6274108886719</v>
      </c>
      <c r="AO9" s="69">
        <v>1664.7752829233807</v>
      </c>
      <c r="AP9" s="69">
        <v>505.71324397722867</v>
      </c>
      <c r="AQ9" s="69">
        <v>1904.0149586359657</v>
      </c>
      <c r="AR9" s="69">
        <v>357.25374951362608</v>
      </c>
      <c r="AS9" s="69">
        <v>534.30790058771777</v>
      </c>
    </row>
    <row r="10" spans="1:55" x14ac:dyDescent="0.25">
      <c r="A10" s="11">
        <v>43772</v>
      </c>
      <c r="B10" s="59"/>
      <c r="C10" s="60">
        <v>0</v>
      </c>
      <c r="D10" s="60">
        <v>0</v>
      </c>
      <c r="E10" s="50">
        <v>0</v>
      </c>
      <c r="F10" s="60">
        <v>0</v>
      </c>
      <c r="G10" s="60">
        <v>0</v>
      </c>
      <c r="H10" s="61">
        <v>0</v>
      </c>
      <c r="I10" s="59">
        <v>192.52835457324989</v>
      </c>
      <c r="J10" s="60">
        <v>424.02016448974643</v>
      </c>
      <c r="K10" s="60">
        <v>25.553760425249688</v>
      </c>
      <c r="L10" s="50">
        <v>0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276.99181798298974</v>
      </c>
      <c r="V10" s="62">
        <v>0</v>
      </c>
      <c r="W10" s="62">
        <v>39.781694646676463</v>
      </c>
      <c r="X10" s="62">
        <v>0</v>
      </c>
      <c r="Y10" s="66">
        <v>135.04245157241829</v>
      </c>
      <c r="Z10" s="66">
        <v>0</v>
      </c>
      <c r="AA10" s="67">
        <v>0</v>
      </c>
      <c r="AB10" s="68">
        <v>42.547789120674544</v>
      </c>
      <c r="AC10" s="69">
        <v>0</v>
      </c>
      <c r="AD10" s="405">
        <v>10.422114668649515</v>
      </c>
      <c r="AE10" s="409">
        <v>0</v>
      </c>
      <c r="AF10" s="69">
        <v>9.8222823209232715</v>
      </c>
      <c r="AG10" s="68">
        <v>9.509743464073976</v>
      </c>
      <c r="AH10" s="68">
        <v>0</v>
      </c>
      <c r="AI10" s="68">
        <v>1</v>
      </c>
      <c r="AJ10" s="69">
        <v>228.6695892175039</v>
      </c>
      <c r="AK10" s="69">
        <v>507.55879955291738</v>
      </c>
      <c r="AL10" s="69">
        <v>874.2888322194417</v>
      </c>
      <c r="AM10" s="69">
        <v>677.28689575195313</v>
      </c>
      <c r="AN10" s="69">
        <v>1152.6274108886719</v>
      </c>
      <c r="AO10" s="69">
        <v>1740.4671453475951</v>
      </c>
      <c r="AP10" s="69">
        <v>467.78365508715314</v>
      </c>
      <c r="AQ10" s="69">
        <v>1904.8735628763832</v>
      </c>
      <c r="AR10" s="69">
        <v>352.03641087214157</v>
      </c>
      <c r="AS10" s="69">
        <v>509.68453032175705</v>
      </c>
    </row>
    <row r="11" spans="1:55" x14ac:dyDescent="0.25">
      <c r="A11" s="11">
        <v>43773</v>
      </c>
      <c r="B11" s="59"/>
      <c r="C11" s="60">
        <v>0</v>
      </c>
      <c r="D11" s="60">
        <v>0</v>
      </c>
      <c r="E11" s="50">
        <v>0</v>
      </c>
      <c r="F11" s="60">
        <v>0</v>
      </c>
      <c r="G11" s="60">
        <v>0</v>
      </c>
      <c r="H11" s="61">
        <v>0</v>
      </c>
      <c r="I11" s="59">
        <v>191.43981448809288</v>
      </c>
      <c r="J11" s="60">
        <v>421.43472703297903</v>
      </c>
      <c r="K11" s="60">
        <v>25.196821484963152</v>
      </c>
      <c r="L11" s="50">
        <v>0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299.81941812303234</v>
      </c>
      <c r="V11" s="62">
        <v>0</v>
      </c>
      <c r="W11" s="62">
        <v>39.87569504181544</v>
      </c>
      <c r="X11" s="62">
        <v>0</v>
      </c>
      <c r="Y11" s="66">
        <v>166.89369517167421</v>
      </c>
      <c r="Z11" s="66">
        <v>0</v>
      </c>
      <c r="AA11" s="67">
        <v>0</v>
      </c>
      <c r="AB11" s="68">
        <v>42.273356297281637</v>
      </c>
      <c r="AC11" s="69">
        <v>0</v>
      </c>
      <c r="AD11" s="405">
        <v>10.357935775056264</v>
      </c>
      <c r="AE11" s="409">
        <v>0</v>
      </c>
      <c r="AF11" s="69">
        <v>9.8235788163211559</v>
      </c>
      <c r="AG11" s="68">
        <v>9.8052124404058691</v>
      </c>
      <c r="AH11" s="68">
        <v>0</v>
      </c>
      <c r="AI11" s="68">
        <v>1</v>
      </c>
      <c r="AJ11" s="69">
        <v>225.90087310473126</v>
      </c>
      <c r="AK11" s="69">
        <v>505.4369848728179</v>
      </c>
      <c r="AL11" s="69">
        <v>891.9957819938661</v>
      </c>
      <c r="AM11" s="69">
        <v>677.28689575195313</v>
      </c>
      <c r="AN11" s="69">
        <v>1152.6274108886719</v>
      </c>
      <c r="AO11" s="69">
        <v>1714.1398224512736</v>
      </c>
      <c r="AP11" s="69">
        <v>458.29736755688975</v>
      </c>
      <c r="AQ11" s="69">
        <v>1858.2631364822387</v>
      </c>
      <c r="AR11" s="69">
        <v>349.09900482495624</v>
      </c>
      <c r="AS11" s="69">
        <v>575.13185059229545</v>
      </c>
    </row>
    <row r="12" spans="1:55" x14ac:dyDescent="0.25">
      <c r="A12" s="11">
        <v>43774</v>
      </c>
      <c r="B12" s="59"/>
      <c r="C12" s="60">
        <v>0</v>
      </c>
      <c r="D12" s="60">
        <v>0</v>
      </c>
      <c r="E12" s="50">
        <v>0</v>
      </c>
      <c r="F12" s="60">
        <v>0</v>
      </c>
      <c r="G12" s="60">
        <v>0</v>
      </c>
      <c r="H12" s="61">
        <v>0</v>
      </c>
      <c r="I12" s="59">
        <v>191.17930294672658</v>
      </c>
      <c r="J12" s="60">
        <v>420.87286307016979</v>
      </c>
      <c r="K12" s="60">
        <v>25.432807006438605</v>
      </c>
      <c r="L12" s="50">
        <v>0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289.56195443471609</v>
      </c>
      <c r="V12" s="62">
        <v>0</v>
      </c>
      <c r="W12" s="62">
        <v>39.204105810324378</v>
      </c>
      <c r="X12" s="62">
        <v>0</v>
      </c>
      <c r="Y12" s="66">
        <v>157.57493831316631</v>
      </c>
      <c r="Z12" s="66">
        <v>0</v>
      </c>
      <c r="AA12" s="67">
        <v>0</v>
      </c>
      <c r="AB12" s="68">
        <v>44.742027966181077</v>
      </c>
      <c r="AC12" s="69">
        <v>0</v>
      </c>
      <c r="AD12" s="405">
        <v>10.345704361429734</v>
      </c>
      <c r="AE12" s="409">
        <v>0</v>
      </c>
      <c r="AF12" s="69">
        <v>9.845737784769792</v>
      </c>
      <c r="AG12" s="68">
        <v>9.7330507898584244</v>
      </c>
      <c r="AH12" s="68">
        <v>0</v>
      </c>
      <c r="AI12" s="68">
        <v>1</v>
      </c>
      <c r="AJ12" s="69">
        <v>241.99269102414453</v>
      </c>
      <c r="AK12" s="69">
        <v>518.08202942212415</v>
      </c>
      <c r="AL12" s="69">
        <v>868.12516285578408</v>
      </c>
      <c r="AM12" s="69">
        <v>677.28689575195313</v>
      </c>
      <c r="AN12" s="69">
        <v>1152.6274108886719</v>
      </c>
      <c r="AO12" s="69">
        <v>1630.8970389684041</v>
      </c>
      <c r="AP12" s="69">
        <v>453.11753824551903</v>
      </c>
      <c r="AQ12" s="69">
        <v>1876.6985151926674</v>
      </c>
      <c r="AR12" s="69">
        <v>348.09895764986675</v>
      </c>
      <c r="AS12" s="69">
        <v>593.18019135793043</v>
      </c>
    </row>
    <row r="13" spans="1:55" x14ac:dyDescent="0.25">
      <c r="A13" s="11">
        <v>43775</v>
      </c>
      <c r="B13" s="59"/>
      <c r="C13" s="60">
        <v>0</v>
      </c>
      <c r="D13" s="60">
        <v>0</v>
      </c>
      <c r="E13" s="50">
        <v>0</v>
      </c>
      <c r="F13" s="60">
        <v>0</v>
      </c>
      <c r="G13" s="60">
        <v>0</v>
      </c>
      <c r="H13" s="61">
        <v>0</v>
      </c>
      <c r="I13" s="59">
        <v>190.64988766511297</v>
      </c>
      <c r="J13" s="60">
        <v>419.80966326395708</v>
      </c>
      <c r="K13" s="60">
        <v>25.461122796932894</v>
      </c>
      <c r="L13" s="50">
        <v>0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292.84260035620616</v>
      </c>
      <c r="V13" s="62">
        <v>0</v>
      </c>
      <c r="W13" s="62">
        <v>40.514544034004217</v>
      </c>
      <c r="X13" s="62">
        <v>0</v>
      </c>
      <c r="Y13" s="66">
        <v>157.82985823949173</v>
      </c>
      <c r="Z13" s="66">
        <v>0</v>
      </c>
      <c r="AA13" s="67">
        <v>0</v>
      </c>
      <c r="AB13" s="68">
        <v>46.457447205649338</v>
      </c>
      <c r="AC13" s="69">
        <v>0</v>
      </c>
      <c r="AD13" s="405">
        <v>10.325346991084782</v>
      </c>
      <c r="AE13" s="409">
        <v>0</v>
      </c>
      <c r="AF13" s="69">
        <v>10.008862334820959</v>
      </c>
      <c r="AG13" s="68">
        <v>9.8785093535229844</v>
      </c>
      <c r="AH13" s="68">
        <v>0</v>
      </c>
      <c r="AI13" s="68">
        <v>1</v>
      </c>
      <c r="AJ13" s="69">
        <v>231.31310191154481</v>
      </c>
      <c r="AK13" s="69">
        <v>519.10783138275144</v>
      </c>
      <c r="AL13" s="69">
        <v>872.18344427744546</v>
      </c>
      <c r="AM13" s="69">
        <v>677.28689575195313</v>
      </c>
      <c r="AN13" s="69">
        <v>1152.6274108886719</v>
      </c>
      <c r="AO13" s="69">
        <v>1649.6311055501301</v>
      </c>
      <c r="AP13" s="69">
        <v>467.97084341049202</v>
      </c>
      <c r="AQ13" s="69">
        <v>1837.7902743021648</v>
      </c>
      <c r="AR13" s="69">
        <v>350.22477035522462</v>
      </c>
      <c r="AS13" s="69">
        <v>571.64146318435655</v>
      </c>
    </row>
    <row r="14" spans="1:55" x14ac:dyDescent="0.25">
      <c r="A14" s="11">
        <v>43776</v>
      </c>
      <c r="B14" s="59"/>
      <c r="C14" s="60">
        <v>0</v>
      </c>
      <c r="D14" s="60">
        <v>0</v>
      </c>
      <c r="E14" s="50">
        <v>0</v>
      </c>
      <c r="F14" s="60">
        <v>0</v>
      </c>
      <c r="G14" s="60">
        <v>0</v>
      </c>
      <c r="H14" s="61">
        <v>0</v>
      </c>
      <c r="I14" s="59">
        <v>195.12269683678926</v>
      </c>
      <c r="J14" s="60">
        <v>426.22557900746642</v>
      </c>
      <c r="K14" s="60">
        <v>25.431351621945748</v>
      </c>
      <c r="L14" s="50">
        <v>0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267.81265175077465</v>
      </c>
      <c r="V14" s="62">
        <v>0</v>
      </c>
      <c r="W14" s="62">
        <v>38.507931967576361</v>
      </c>
      <c r="X14" s="62">
        <v>0</v>
      </c>
      <c r="Y14" s="66">
        <v>151.88661803404483</v>
      </c>
      <c r="Z14" s="66">
        <v>0</v>
      </c>
      <c r="AA14" s="67">
        <v>0</v>
      </c>
      <c r="AB14" s="68">
        <v>46.705281170208721</v>
      </c>
      <c r="AC14" s="69">
        <v>0</v>
      </c>
      <c r="AD14" s="405">
        <v>10.479674951234868</v>
      </c>
      <c r="AE14" s="409">
        <v>0</v>
      </c>
      <c r="AF14" s="69">
        <v>9.6215789986981228</v>
      </c>
      <c r="AG14" s="68">
        <v>9.4864337472651705</v>
      </c>
      <c r="AH14" s="68">
        <v>0</v>
      </c>
      <c r="AI14" s="68">
        <v>1</v>
      </c>
      <c r="AJ14" s="69">
        <v>239.7755952040354</v>
      </c>
      <c r="AK14" s="69">
        <v>530.45840549468994</v>
      </c>
      <c r="AL14" s="69">
        <v>872.49139219919846</v>
      </c>
      <c r="AM14" s="69">
        <v>677.28689575195313</v>
      </c>
      <c r="AN14" s="69">
        <v>1152.6274108886719</v>
      </c>
      <c r="AO14" s="69">
        <v>1797.9486868540448</v>
      </c>
      <c r="AP14" s="69">
        <v>489.36534256935113</v>
      </c>
      <c r="AQ14" s="69">
        <v>1946.3480841318762</v>
      </c>
      <c r="AR14" s="69">
        <v>353.70168830553689</v>
      </c>
      <c r="AS14" s="69">
        <v>541.50962607065856</v>
      </c>
    </row>
    <row r="15" spans="1:55" x14ac:dyDescent="0.25">
      <c r="A15" s="11">
        <v>43777</v>
      </c>
      <c r="B15" s="59"/>
      <c r="C15" s="60">
        <v>0</v>
      </c>
      <c r="D15" s="60">
        <v>0</v>
      </c>
      <c r="E15" s="50">
        <v>0</v>
      </c>
      <c r="F15" s="60">
        <v>0</v>
      </c>
      <c r="G15" s="60">
        <v>0</v>
      </c>
      <c r="H15" s="61">
        <v>0</v>
      </c>
      <c r="I15" s="59">
        <v>191.23221037387856</v>
      </c>
      <c r="J15" s="60">
        <v>421.22758938471526</v>
      </c>
      <c r="K15" s="60">
        <v>24.950250544150759</v>
      </c>
      <c r="L15" s="50">
        <v>0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257.82343741523033</v>
      </c>
      <c r="V15" s="62">
        <v>0</v>
      </c>
      <c r="W15" s="62">
        <v>38.794795950253778</v>
      </c>
      <c r="X15" s="62">
        <v>0</v>
      </c>
      <c r="Y15" s="66">
        <v>153.70536855061846</v>
      </c>
      <c r="Z15" s="66">
        <v>0</v>
      </c>
      <c r="AA15" s="67">
        <v>0</v>
      </c>
      <c r="AB15" s="68">
        <v>45.803903391625539</v>
      </c>
      <c r="AC15" s="69">
        <v>0</v>
      </c>
      <c r="AD15" s="405">
        <v>10.356059054765961</v>
      </c>
      <c r="AE15" s="409">
        <v>0</v>
      </c>
      <c r="AF15" s="69">
        <v>9.6955307248565905</v>
      </c>
      <c r="AG15" s="68">
        <v>9.565498659835578</v>
      </c>
      <c r="AH15" s="68">
        <v>0</v>
      </c>
      <c r="AI15" s="68">
        <v>1</v>
      </c>
      <c r="AJ15" s="69">
        <v>227.06699129740394</v>
      </c>
      <c r="AK15" s="69">
        <v>507.25257940292357</v>
      </c>
      <c r="AL15" s="69">
        <v>938.26511262257907</v>
      </c>
      <c r="AM15" s="69">
        <v>677.28689575195313</v>
      </c>
      <c r="AN15" s="69">
        <v>1152.6274108886719</v>
      </c>
      <c r="AO15" s="69">
        <v>1656.9049360275271</v>
      </c>
      <c r="AP15" s="69">
        <v>445.00892179807028</v>
      </c>
      <c r="AQ15" s="69">
        <v>1896.8335220336915</v>
      </c>
      <c r="AR15" s="69">
        <v>349.28003430366522</v>
      </c>
      <c r="AS15" s="69">
        <v>647.10153042475383</v>
      </c>
    </row>
    <row r="16" spans="1:55" x14ac:dyDescent="0.25">
      <c r="A16" s="11">
        <v>43778</v>
      </c>
      <c r="B16" s="59"/>
      <c r="C16" s="60">
        <v>0</v>
      </c>
      <c r="D16" s="60">
        <v>0</v>
      </c>
      <c r="E16" s="50">
        <v>0</v>
      </c>
      <c r="F16" s="60">
        <v>0</v>
      </c>
      <c r="G16" s="60">
        <v>0</v>
      </c>
      <c r="H16" s="61">
        <v>0</v>
      </c>
      <c r="I16" s="59">
        <v>190.92221535046912</v>
      </c>
      <c r="J16" s="60">
        <v>420.1763345082602</v>
      </c>
      <c r="K16" s="60">
        <v>24.778009100755114</v>
      </c>
      <c r="L16" s="50">
        <v>0</v>
      </c>
      <c r="M16" s="5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257.31839718288904</v>
      </c>
      <c r="V16" s="62">
        <v>0</v>
      </c>
      <c r="W16" s="62">
        <v>39.180554310480744</v>
      </c>
      <c r="X16" s="62">
        <v>0</v>
      </c>
      <c r="Y16" s="66">
        <v>154.18572923342387</v>
      </c>
      <c r="Z16" s="66">
        <v>0</v>
      </c>
      <c r="AA16" s="67">
        <v>0</v>
      </c>
      <c r="AB16" s="68">
        <v>46.002948392763088</v>
      </c>
      <c r="AC16" s="69">
        <v>0</v>
      </c>
      <c r="AD16" s="405">
        <v>10.328603870999334</v>
      </c>
      <c r="AE16" s="409">
        <v>0</v>
      </c>
      <c r="AF16" s="69">
        <v>9.8880569467941921</v>
      </c>
      <c r="AG16" s="68">
        <v>9.7533620477848988</v>
      </c>
      <c r="AH16" s="68">
        <v>0</v>
      </c>
      <c r="AI16" s="68">
        <v>1</v>
      </c>
      <c r="AJ16" s="69">
        <v>230.34263947804772</v>
      </c>
      <c r="AK16" s="69">
        <v>552.82224535942078</v>
      </c>
      <c r="AL16" s="69">
        <v>935.84316094716394</v>
      </c>
      <c r="AM16" s="69">
        <v>511.84633111953735</v>
      </c>
      <c r="AN16" s="69">
        <v>1152.6274108886719</v>
      </c>
      <c r="AO16" s="69">
        <v>1630.8882588704428</v>
      </c>
      <c r="AP16" s="69">
        <v>418.87103869120284</v>
      </c>
      <c r="AQ16" s="69">
        <v>1863.8089003880821</v>
      </c>
      <c r="AR16" s="69">
        <v>349.17423030535377</v>
      </c>
      <c r="AS16" s="69">
        <v>699.38566439946487</v>
      </c>
    </row>
    <row r="17" spans="1:45" x14ac:dyDescent="0.25">
      <c r="A17" s="11">
        <v>43779</v>
      </c>
      <c r="B17" s="49"/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1">
        <v>0</v>
      </c>
      <c r="I17" s="49">
        <v>191.01540069580071</v>
      </c>
      <c r="J17" s="50">
        <v>420.4927093823751</v>
      </c>
      <c r="K17" s="50">
        <v>24.774998438358409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261.21194026735452</v>
      </c>
      <c r="V17" s="66">
        <v>0</v>
      </c>
      <c r="W17" s="62">
        <v>39.283963366349589</v>
      </c>
      <c r="X17" s="62">
        <v>0</v>
      </c>
      <c r="Y17" s="66">
        <v>156.14763836065913</v>
      </c>
      <c r="Z17" s="66">
        <v>0</v>
      </c>
      <c r="AA17" s="67">
        <v>0</v>
      </c>
      <c r="AB17" s="68">
        <v>46.464586726824685</v>
      </c>
      <c r="AC17" s="69">
        <v>0</v>
      </c>
      <c r="AD17" s="405">
        <v>10.336514868158615</v>
      </c>
      <c r="AE17" s="409">
        <v>0</v>
      </c>
      <c r="AF17" s="69">
        <v>10.006872616542681</v>
      </c>
      <c r="AG17" s="68">
        <v>9.8809400675105685</v>
      </c>
      <c r="AH17" s="68">
        <v>0</v>
      </c>
      <c r="AI17" s="68">
        <v>1</v>
      </c>
      <c r="AJ17" s="69">
        <v>220.36081945101421</v>
      </c>
      <c r="AK17" s="69">
        <v>527.64518823623666</v>
      </c>
      <c r="AL17" s="69">
        <v>871.61321872075393</v>
      </c>
      <c r="AM17" s="69">
        <v>447.10871887207031</v>
      </c>
      <c r="AN17" s="69">
        <v>1152.6274108886719</v>
      </c>
      <c r="AO17" s="69">
        <v>1607.5228918075561</v>
      </c>
      <c r="AP17" s="69">
        <v>414.88424666722625</v>
      </c>
      <c r="AQ17" s="69">
        <v>1856.2282771428429</v>
      </c>
      <c r="AR17" s="69">
        <v>348.10747439066569</v>
      </c>
      <c r="AS17" s="69">
        <v>630.77356866200762</v>
      </c>
    </row>
    <row r="18" spans="1:45" x14ac:dyDescent="0.25">
      <c r="A18" s="11">
        <v>43780</v>
      </c>
      <c r="B18" s="59"/>
      <c r="C18" s="60">
        <v>0</v>
      </c>
      <c r="D18" s="60">
        <v>0</v>
      </c>
      <c r="E18" s="50">
        <v>0.54625125477711367</v>
      </c>
      <c r="F18" s="60">
        <v>0</v>
      </c>
      <c r="G18" s="60">
        <v>0</v>
      </c>
      <c r="H18" s="61">
        <v>0</v>
      </c>
      <c r="I18" s="59">
        <v>190.82868474324556</v>
      </c>
      <c r="J18" s="60">
        <v>420.46993560790992</v>
      </c>
      <c r="K18" s="60">
        <v>24.936351164182071</v>
      </c>
      <c r="L18" s="50">
        <v>1.1329650878906248E-3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256.22091946072203</v>
      </c>
      <c r="V18" s="62">
        <v>0</v>
      </c>
      <c r="W18" s="62">
        <v>38.277753678957694</v>
      </c>
      <c r="X18" s="62">
        <v>0</v>
      </c>
      <c r="Y18" s="66">
        <v>152.63590426445026</v>
      </c>
      <c r="Z18" s="66">
        <v>0</v>
      </c>
      <c r="AA18" s="67">
        <v>0</v>
      </c>
      <c r="AB18" s="68">
        <v>47.200947348277019</v>
      </c>
      <c r="AC18" s="69">
        <v>0</v>
      </c>
      <c r="AD18" s="405">
        <v>10.336477110759382</v>
      </c>
      <c r="AE18" s="409">
        <v>2.329127203623</v>
      </c>
      <c r="AF18" s="69">
        <v>9.8218956821494761</v>
      </c>
      <c r="AG18" s="68">
        <v>9.6854255827027238</v>
      </c>
      <c r="AH18" s="68">
        <v>0</v>
      </c>
      <c r="AI18" s="68">
        <v>1</v>
      </c>
      <c r="AJ18" s="69">
        <v>252.42758657137554</v>
      </c>
      <c r="AK18" s="69">
        <v>556.0181627909343</v>
      </c>
      <c r="AL18" s="69">
        <v>883.83770046234133</v>
      </c>
      <c r="AM18" s="69">
        <v>447.10871887207031</v>
      </c>
      <c r="AN18" s="69">
        <v>1334.6735101699828</v>
      </c>
      <c r="AO18" s="69">
        <v>1696.9297562917075</v>
      </c>
      <c r="AP18" s="69">
        <v>830.22426422437036</v>
      </c>
      <c r="AQ18" s="69">
        <v>1926.0810794830327</v>
      </c>
      <c r="AR18" s="69">
        <v>362.4245209217072</v>
      </c>
      <c r="AS18" s="69">
        <v>544.03985978762307</v>
      </c>
    </row>
    <row r="19" spans="1:45" x14ac:dyDescent="0.25">
      <c r="A19" s="11">
        <v>43781</v>
      </c>
      <c r="B19" s="59"/>
      <c r="C19" s="60">
        <v>0</v>
      </c>
      <c r="D19" s="60">
        <v>0</v>
      </c>
      <c r="E19" s="50">
        <v>0.54582855353752724</v>
      </c>
      <c r="F19" s="60">
        <v>0</v>
      </c>
      <c r="G19" s="60">
        <v>0</v>
      </c>
      <c r="H19" s="61">
        <v>0</v>
      </c>
      <c r="I19" s="59">
        <v>195.56388994057977</v>
      </c>
      <c r="J19" s="60">
        <v>423.56797107060726</v>
      </c>
      <c r="K19" s="60">
        <v>25.386167019605697</v>
      </c>
      <c r="L19" s="50">
        <v>1.1235237121582028E-3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259.20232542885668</v>
      </c>
      <c r="V19" s="62">
        <v>0</v>
      </c>
      <c r="W19" s="62">
        <v>37.865778545538639</v>
      </c>
      <c r="X19" s="62">
        <v>0</v>
      </c>
      <c r="Y19" s="66">
        <v>150.83728328545894</v>
      </c>
      <c r="Z19" s="66">
        <v>0</v>
      </c>
      <c r="AA19" s="67">
        <v>0</v>
      </c>
      <c r="AB19" s="68">
        <v>47.235244438383305</v>
      </c>
      <c r="AC19" s="69">
        <v>0</v>
      </c>
      <c r="AD19" s="405">
        <v>10.413050286122818</v>
      </c>
      <c r="AE19" s="409">
        <v>2.5345169589529335</v>
      </c>
      <c r="AF19" s="69">
        <v>9.829834031396425</v>
      </c>
      <c r="AG19" s="68">
        <v>9.7001650166790672</v>
      </c>
      <c r="AH19" s="68">
        <v>0</v>
      </c>
      <c r="AI19" s="68">
        <v>1</v>
      </c>
      <c r="AJ19" s="69">
        <v>239.43778586387634</v>
      </c>
      <c r="AK19" s="69">
        <v>536.25566027959189</v>
      </c>
      <c r="AL19" s="69">
        <v>935.13180516560874</v>
      </c>
      <c r="AM19" s="69">
        <v>447.10871887207031</v>
      </c>
      <c r="AN19" s="69">
        <v>1773.12724609375</v>
      </c>
      <c r="AO19" s="69">
        <v>1745.4910660425824</v>
      </c>
      <c r="AP19" s="69">
        <v>771.27905176480601</v>
      </c>
      <c r="AQ19" s="69">
        <v>1912.8121492385862</v>
      </c>
      <c r="AR19" s="69">
        <v>356.45849874814354</v>
      </c>
      <c r="AS19" s="69">
        <v>580.1869957923891</v>
      </c>
    </row>
    <row r="20" spans="1:45" x14ac:dyDescent="0.25">
      <c r="A20" s="11">
        <v>43782</v>
      </c>
      <c r="B20" s="59"/>
      <c r="C20" s="60">
        <v>0</v>
      </c>
      <c r="D20" s="60">
        <v>0</v>
      </c>
      <c r="E20" s="50">
        <v>0.55304481585820453</v>
      </c>
      <c r="F20" s="60">
        <v>0</v>
      </c>
      <c r="G20" s="60">
        <v>0</v>
      </c>
      <c r="H20" s="61">
        <v>0</v>
      </c>
      <c r="I20" s="59">
        <v>196.33969303766915</v>
      </c>
      <c r="J20" s="60">
        <v>424.76151046752949</v>
      </c>
      <c r="K20" s="60">
        <v>25.374224387606002</v>
      </c>
      <c r="L20" s="50">
        <v>4.1447639465332191E-3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263.70783048205919</v>
      </c>
      <c r="V20" s="62">
        <v>0</v>
      </c>
      <c r="W20" s="62">
        <v>39.32623501618707</v>
      </c>
      <c r="X20" s="62">
        <v>0</v>
      </c>
      <c r="Y20" s="66">
        <v>153.07433351675681</v>
      </c>
      <c r="Z20" s="66">
        <v>0</v>
      </c>
      <c r="AA20" s="67">
        <v>0</v>
      </c>
      <c r="AB20" s="68">
        <v>47.142707358466076</v>
      </c>
      <c r="AC20" s="69">
        <v>0</v>
      </c>
      <c r="AD20" s="405">
        <v>10.440655644244728</v>
      </c>
      <c r="AE20" s="409">
        <v>1.1720281710734077</v>
      </c>
      <c r="AF20" s="69">
        <v>10.037492297755348</v>
      </c>
      <c r="AG20" s="68">
        <v>9.8890350884279972</v>
      </c>
      <c r="AH20" s="68">
        <v>0</v>
      </c>
      <c r="AI20" s="68">
        <v>1</v>
      </c>
      <c r="AJ20" s="69">
        <v>220.70988527139028</v>
      </c>
      <c r="AK20" s="69">
        <v>508.69066807428993</v>
      </c>
      <c r="AL20" s="69">
        <v>869.64499727884936</v>
      </c>
      <c r="AM20" s="69">
        <v>447.10871887207031</v>
      </c>
      <c r="AN20" s="69">
        <v>1842.5755004882813</v>
      </c>
      <c r="AO20" s="69">
        <v>1613.6860524495446</v>
      </c>
      <c r="AP20" s="69">
        <v>439.06329703330994</v>
      </c>
      <c r="AQ20" s="69">
        <v>1939.6851847330731</v>
      </c>
      <c r="AR20" s="69">
        <v>343.3461676756541</v>
      </c>
      <c r="AS20" s="69">
        <v>572.06653610865283</v>
      </c>
    </row>
    <row r="21" spans="1:45" x14ac:dyDescent="0.25">
      <c r="A21" s="11">
        <v>43783</v>
      </c>
      <c r="B21" s="59"/>
      <c r="C21" s="60">
        <v>0</v>
      </c>
      <c r="D21" s="60">
        <v>0</v>
      </c>
      <c r="E21" s="50">
        <v>0.5601915294925367</v>
      </c>
      <c r="F21" s="60">
        <v>0</v>
      </c>
      <c r="G21" s="60">
        <v>0</v>
      </c>
      <c r="H21" s="61">
        <v>0</v>
      </c>
      <c r="I21" s="59">
        <v>194.18461906115226</v>
      </c>
      <c r="J21" s="60">
        <v>420.21498978932647</v>
      </c>
      <c r="K21" s="60">
        <v>25.21833107670145</v>
      </c>
      <c r="L21" s="50">
        <v>2.6907920837402483E-3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262.53973309199034</v>
      </c>
      <c r="V21" s="62">
        <v>0</v>
      </c>
      <c r="W21" s="62">
        <v>39.391550215085338</v>
      </c>
      <c r="X21" s="62">
        <v>0</v>
      </c>
      <c r="Y21" s="66">
        <v>153.38968741099046</v>
      </c>
      <c r="Z21" s="66">
        <v>0</v>
      </c>
      <c r="AA21" s="67">
        <v>0</v>
      </c>
      <c r="AB21" s="68">
        <v>45.799223086568155</v>
      </c>
      <c r="AC21" s="69">
        <v>0</v>
      </c>
      <c r="AD21" s="405">
        <v>10.329947594223913</v>
      </c>
      <c r="AE21" s="409">
        <v>0</v>
      </c>
      <c r="AF21" s="69">
        <v>9.9558262066708672</v>
      </c>
      <c r="AG21" s="68">
        <v>9.8248292461302018</v>
      </c>
      <c r="AH21" s="68">
        <v>0</v>
      </c>
      <c r="AI21" s="68">
        <v>1</v>
      </c>
      <c r="AJ21" s="69">
        <v>226.68458595275885</v>
      </c>
      <c r="AK21" s="69">
        <v>512.72409048080465</v>
      </c>
      <c r="AL21" s="69">
        <v>892.00370044708245</v>
      </c>
      <c r="AM21" s="69">
        <v>447.10871887207031</v>
      </c>
      <c r="AN21" s="69">
        <v>1842.5755004882813</v>
      </c>
      <c r="AO21" s="69">
        <v>1658.1084166844685</v>
      </c>
      <c r="AP21" s="69">
        <v>461.22633118629443</v>
      </c>
      <c r="AQ21" s="69">
        <v>2002.494813601176</v>
      </c>
      <c r="AR21" s="69">
        <v>319.70641954739898</v>
      </c>
      <c r="AS21" s="69">
        <v>587.41597763697303</v>
      </c>
    </row>
    <row r="22" spans="1:45" x14ac:dyDescent="0.25">
      <c r="A22" s="11">
        <v>43784</v>
      </c>
      <c r="B22" s="59"/>
      <c r="C22" s="60">
        <v>0</v>
      </c>
      <c r="D22" s="60">
        <v>0</v>
      </c>
      <c r="E22" s="50">
        <v>0.56003279238939241</v>
      </c>
      <c r="F22" s="60">
        <v>0</v>
      </c>
      <c r="G22" s="60">
        <v>0</v>
      </c>
      <c r="H22" s="61">
        <v>0</v>
      </c>
      <c r="I22" s="59">
        <v>245.85518344243368</v>
      </c>
      <c r="J22" s="60">
        <v>532.2028247833257</v>
      </c>
      <c r="K22" s="60">
        <v>31.758381738265427</v>
      </c>
      <c r="L22" s="50">
        <v>4.0124535560608111E-3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308.83340314229548</v>
      </c>
      <c r="V22" s="62">
        <v>0</v>
      </c>
      <c r="W22" s="62">
        <v>48.698235932985924</v>
      </c>
      <c r="X22" s="62">
        <v>0</v>
      </c>
      <c r="Y22" s="66">
        <v>181.54005700747166</v>
      </c>
      <c r="Z22" s="66">
        <v>0</v>
      </c>
      <c r="AA22" s="67">
        <v>0</v>
      </c>
      <c r="AB22" s="68">
        <v>58.744263357586576</v>
      </c>
      <c r="AC22" s="69">
        <v>0</v>
      </c>
      <c r="AD22" s="405">
        <v>13.089060920720852</v>
      </c>
      <c r="AE22" s="409">
        <v>0</v>
      </c>
      <c r="AF22" s="69">
        <v>11.963820471697385</v>
      </c>
      <c r="AG22" s="68">
        <v>11.830800605283576</v>
      </c>
      <c r="AH22" s="68">
        <v>0</v>
      </c>
      <c r="AI22" s="68">
        <v>1</v>
      </c>
      <c r="AJ22" s="69">
        <v>222.87393956979119</v>
      </c>
      <c r="AK22" s="69">
        <v>512.4038023789725</v>
      </c>
      <c r="AL22" s="69">
        <v>897.47021032969155</v>
      </c>
      <c r="AM22" s="69">
        <v>447.10871887207031</v>
      </c>
      <c r="AN22" s="69">
        <v>1842.5755004882813</v>
      </c>
      <c r="AO22" s="69">
        <v>1664.1785356521609</v>
      </c>
      <c r="AP22" s="69">
        <v>442.56908189455675</v>
      </c>
      <c r="AQ22" s="69">
        <v>2350.5114569981888</v>
      </c>
      <c r="AR22" s="69">
        <v>327.09268228212989</v>
      </c>
      <c r="AS22" s="69">
        <v>691.41433922449744</v>
      </c>
    </row>
    <row r="23" spans="1:45" x14ac:dyDescent="0.25">
      <c r="A23" s="11">
        <v>43785</v>
      </c>
      <c r="B23" s="59"/>
      <c r="C23" s="60">
        <v>0</v>
      </c>
      <c r="D23" s="60">
        <v>0</v>
      </c>
      <c r="E23" s="50">
        <v>0.56127053250869074</v>
      </c>
      <c r="F23" s="60">
        <v>0</v>
      </c>
      <c r="G23" s="60">
        <v>0</v>
      </c>
      <c r="H23" s="61">
        <v>0</v>
      </c>
      <c r="I23" s="59">
        <v>269.17216440836557</v>
      </c>
      <c r="J23" s="60">
        <v>582.31343714396132</v>
      </c>
      <c r="K23" s="60">
        <v>34.856102059284872</v>
      </c>
      <c r="L23" s="50">
        <v>6.6089630126952379E-3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350.31298217773701</v>
      </c>
      <c r="V23" s="62">
        <v>0</v>
      </c>
      <c r="W23" s="62">
        <v>56.940848203500089</v>
      </c>
      <c r="X23" s="62">
        <v>0</v>
      </c>
      <c r="Y23" s="66">
        <v>203.11729199091627</v>
      </c>
      <c r="Z23" s="66">
        <v>0</v>
      </c>
      <c r="AA23" s="67">
        <v>0</v>
      </c>
      <c r="AB23" s="68">
        <v>64.50325765609837</v>
      </c>
      <c r="AC23" s="69">
        <v>0</v>
      </c>
      <c r="AD23" s="405">
        <v>14.319192457438668</v>
      </c>
      <c r="AE23" s="409">
        <v>0</v>
      </c>
      <c r="AF23" s="69">
        <v>13.932283110088777</v>
      </c>
      <c r="AG23" s="68">
        <v>13.770607445882018</v>
      </c>
      <c r="AH23" s="68">
        <v>0</v>
      </c>
      <c r="AI23" s="68">
        <v>1</v>
      </c>
      <c r="AJ23" s="69">
        <v>218.67221600214643</v>
      </c>
      <c r="AK23" s="69">
        <v>517.69280433654785</v>
      </c>
      <c r="AL23" s="69">
        <v>965.72444661458326</v>
      </c>
      <c r="AM23" s="69">
        <v>447.10871887207031</v>
      </c>
      <c r="AN23" s="69">
        <v>1842.5755004882813</v>
      </c>
      <c r="AO23" s="69">
        <v>1603.9349130630492</v>
      </c>
      <c r="AP23" s="69">
        <v>436.16539456049594</v>
      </c>
      <c r="AQ23" s="69">
        <v>2605.8383458455401</v>
      </c>
      <c r="AR23" s="69">
        <v>319.4900828679402</v>
      </c>
      <c r="AS23" s="69">
        <v>599.15509109497066</v>
      </c>
    </row>
    <row r="24" spans="1:45" x14ac:dyDescent="0.25">
      <c r="A24" s="11">
        <v>43786</v>
      </c>
      <c r="B24" s="59"/>
      <c r="C24" s="60">
        <v>0</v>
      </c>
      <c r="D24" s="60">
        <v>0</v>
      </c>
      <c r="E24" s="50">
        <v>0.56174502273400628</v>
      </c>
      <c r="F24" s="60">
        <v>0</v>
      </c>
      <c r="G24" s="60">
        <v>0</v>
      </c>
      <c r="H24" s="61">
        <v>0</v>
      </c>
      <c r="I24" s="59">
        <v>263.33005572954784</v>
      </c>
      <c r="J24" s="60">
        <v>582.94935226440452</v>
      </c>
      <c r="K24" s="60">
        <v>35.203959125280392</v>
      </c>
      <c r="L24" s="50">
        <v>5.9291839599608879E-3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348.97087044185901</v>
      </c>
      <c r="V24" s="62">
        <v>0</v>
      </c>
      <c r="W24" s="62">
        <v>56.800500853856398</v>
      </c>
      <c r="X24" s="62">
        <v>0</v>
      </c>
      <c r="Y24" s="66">
        <v>208.71138908863048</v>
      </c>
      <c r="Z24" s="66">
        <v>0</v>
      </c>
      <c r="AA24" s="67">
        <v>0</v>
      </c>
      <c r="AB24" s="68">
        <v>64.425478876962742</v>
      </c>
      <c r="AC24" s="69">
        <v>0</v>
      </c>
      <c r="AD24" s="405">
        <v>14.333766395742776</v>
      </c>
      <c r="AE24" s="409">
        <v>0</v>
      </c>
      <c r="AF24" s="69">
        <v>14.010341002543781</v>
      </c>
      <c r="AG24" s="68">
        <v>13.870613509417984</v>
      </c>
      <c r="AH24" s="68">
        <v>0</v>
      </c>
      <c r="AI24" s="68">
        <v>1</v>
      </c>
      <c r="AJ24" s="69">
        <v>229.77652948697411</v>
      </c>
      <c r="AK24" s="69">
        <v>524.90411712328591</v>
      </c>
      <c r="AL24" s="69">
        <v>891.08694381713872</v>
      </c>
      <c r="AM24" s="69">
        <v>447.10871887207031</v>
      </c>
      <c r="AN24" s="69">
        <v>1842.5755004882813</v>
      </c>
      <c r="AO24" s="69">
        <v>1609.6025541305542</v>
      </c>
      <c r="AP24" s="69">
        <v>446.59133385022494</v>
      </c>
      <c r="AQ24" s="69">
        <v>2628.1092596689855</v>
      </c>
      <c r="AR24" s="69">
        <v>292.26993362108868</v>
      </c>
      <c r="AS24" s="69">
        <v>549.24719670613592</v>
      </c>
    </row>
    <row r="25" spans="1:45" x14ac:dyDescent="0.25">
      <c r="A25" s="11">
        <v>43787</v>
      </c>
      <c r="B25" s="59"/>
      <c r="C25" s="60">
        <v>0</v>
      </c>
      <c r="D25" s="60">
        <v>0</v>
      </c>
      <c r="E25" s="50">
        <v>0.56191086520751321</v>
      </c>
      <c r="F25" s="60">
        <v>0</v>
      </c>
      <c r="G25" s="60">
        <v>0</v>
      </c>
      <c r="H25" s="61">
        <v>0</v>
      </c>
      <c r="I25" s="59">
        <v>255.58037306467679</v>
      </c>
      <c r="J25" s="60">
        <v>583.14210421244275</v>
      </c>
      <c r="K25" s="60">
        <v>35.182224744558454</v>
      </c>
      <c r="L25" s="50">
        <v>7.326507568359274E-3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346.19455924564153</v>
      </c>
      <c r="V25" s="62">
        <v>0</v>
      </c>
      <c r="W25" s="62">
        <v>54.771821133295674</v>
      </c>
      <c r="X25" s="62">
        <v>0</v>
      </c>
      <c r="Y25" s="66">
        <v>211.14136637051914</v>
      </c>
      <c r="Z25" s="66">
        <v>0</v>
      </c>
      <c r="AA25" s="67">
        <v>0</v>
      </c>
      <c r="AB25" s="68">
        <v>64.426095612845046</v>
      </c>
      <c r="AC25" s="69">
        <v>0</v>
      </c>
      <c r="AD25" s="405">
        <v>14.340032752075583</v>
      </c>
      <c r="AE25" s="409">
        <v>0</v>
      </c>
      <c r="AF25" s="69">
        <v>13.960016391674673</v>
      </c>
      <c r="AG25" s="68">
        <v>13.803081963900935</v>
      </c>
      <c r="AH25" s="68">
        <v>0</v>
      </c>
      <c r="AI25" s="68">
        <v>1</v>
      </c>
      <c r="AJ25" s="69">
        <v>228.10306851069132</v>
      </c>
      <c r="AK25" s="69">
        <v>538.98177356719975</v>
      </c>
      <c r="AL25" s="69">
        <v>916.91050078074147</v>
      </c>
      <c r="AM25" s="69">
        <v>447.10871887207031</v>
      </c>
      <c r="AN25" s="69">
        <v>1842.5755004882813</v>
      </c>
      <c r="AO25" s="69">
        <v>1651.9356251398722</v>
      </c>
      <c r="AP25" s="69">
        <v>387.2949966748555</v>
      </c>
      <c r="AQ25" s="69">
        <v>2590.3994222005208</v>
      </c>
      <c r="AR25" s="69">
        <v>287.01548705101015</v>
      </c>
      <c r="AS25" s="69">
        <v>627.76924873987832</v>
      </c>
    </row>
    <row r="26" spans="1:45" x14ac:dyDescent="0.25">
      <c r="A26" s="11">
        <v>43788</v>
      </c>
      <c r="B26" s="59"/>
      <c r="C26" s="60">
        <v>0</v>
      </c>
      <c r="D26" s="60">
        <v>0</v>
      </c>
      <c r="E26" s="50">
        <v>0.56448096781969093</v>
      </c>
      <c r="F26" s="60">
        <v>0</v>
      </c>
      <c r="G26" s="60">
        <v>0</v>
      </c>
      <c r="H26" s="61">
        <v>0</v>
      </c>
      <c r="I26" s="59">
        <v>261.70247159004185</v>
      </c>
      <c r="J26" s="60">
        <v>584.77530015309583</v>
      </c>
      <c r="K26" s="60">
        <v>35.217858223120395</v>
      </c>
      <c r="L26" s="50">
        <v>7.4870109558104418E-3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345.44328299628199</v>
      </c>
      <c r="V26" s="62">
        <v>0</v>
      </c>
      <c r="W26" s="62">
        <v>54.42451032002775</v>
      </c>
      <c r="X26" s="62">
        <v>0</v>
      </c>
      <c r="Y26" s="66">
        <v>207.74599907398257</v>
      </c>
      <c r="Z26" s="66">
        <v>0</v>
      </c>
      <c r="AA26" s="67">
        <v>0</v>
      </c>
      <c r="AB26" s="68">
        <v>64.425375117196921</v>
      </c>
      <c r="AC26" s="69">
        <v>0</v>
      </c>
      <c r="AD26" s="405">
        <v>14.379861378212178</v>
      </c>
      <c r="AE26" s="409">
        <v>6.9212365829157838E-2</v>
      </c>
      <c r="AF26" s="69">
        <v>13.644812741544515</v>
      </c>
      <c r="AG26" s="68">
        <v>13.486063131026059</v>
      </c>
      <c r="AH26" s="68">
        <v>0</v>
      </c>
      <c r="AI26" s="68">
        <v>1</v>
      </c>
      <c r="AJ26" s="69">
        <v>213.32930632432291</v>
      </c>
      <c r="AK26" s="69">
        <v>509.98179906209322</v>
      </c>
      <c r="AL26" s="69">
        <v>901.15750153859449</v>
      </c>
      <c r="AM26" s="69">
        <v>447.26525745391848</v>
      </c>
      <c r="AN26" s="69">
        <v>1842.5755004882813</v>
      </c>
      <c r="AO26" s="69">
        <v>1734.2966337203977</v>
      </c>
      <c r="AP26" s="69">
        <v>399.92688291867586</v>
      </c>
      <c r="AQ26" s="69">
        <v>2585.3289863586419</v>
      </c>
      <c r="AR26" s="69">
        <v>291.40809690157573</v>
      </c>
      <c r="AS26" s="69">
        <v>679.96904052098591</v>
      </c>
    </row>
    <row r="27" spans="1:45" x14ac:dyDescent="0.25">
      <c r="A27" s="11">
        <v>43789</v>
      </c>
      <c r="B27" s="59"/>
      <c r="C27" s="60">
        <v>0</v>
      </c>
      <c r="D27" s="60">
        <v>0</v>
      </c>
      <c r="E27" s="50">
        <v>0.56046798576911205</v>
      </c>
      <c r="F27" s="60">
        <v>0</v>
      </c>
      <c r="G27" s="60">
        <v>0</v>
      </c>
      <c r="H27" s="61">
        <v>0</v>
      </c>
      <c r="I27" s="59">
        <v>266.36957405408185</v>
      </c>
      <c r="J27" s="60">
        <v>585.91678711573286</v>
      </c>
      <c r="K27" s="60">
        <v>35.131668001413338</v>
      </c>
      <c r="L27" s="50">
        <v>6.8825006484984561E-3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355.84303924772416</v>
      </c>
      <c r="V27" s="62">
        <v>0</v>
      </c>
      <c r="W27" s="62">
        <v>52.831485875447491</v>
      </c>
      <c r="X27" s="62">
        <v>0</v>
      </c>
      <c r="Y27" s="62">
        <v>222.71708017985031</v>
      </c>
      <c r="Z27" s="62">
        <v>0</v>
      </c>
      <c r="AA27" s="72">
        <v>0</v>
      </c>
      <c r="AB27" s="69">
        <v>65.100295713212347</v>
      </c>
      <c r="AC27" s="69">
        <v>0</v>
      </c>
      <c r="AD27" s="405">
        <v>14.408299645438891</v>
      </c>
      <c r="AE27" s="409">
        <v>1.0597959216499329E-3</v>
      </c>
      <c r="AF27" s="69">
        <v>13.718642681174771</v>
      </c>
      <c r="AG27" s="69">
        <v>13.482869204899123</v>
      </c>
      <c r="AH27" s="69">
        <v>0</v>
      </c>
      <c r="AI27" s="69">
        <v>1</v>
      </c>
      <c r="AJ27" s="69">
        <v>223.1414188146592</v>
      </c>
      <c r="AK27" s="69">
        <v>509.78018927574163</v>
      </c>
      <c r="AL27" s="69">
        <v>844.60654303232832</v>
      </c>
      <c r="AM27" s="69">
        <v>447.46426391601563</v>
      </c>
      <c r="AN27" s="69">
        <v>1842.5755004882813</v>
      </c>
      <c r="AO27" s="69">
        <v>1696.2750168482462</v>
      </c>
      <c r="AP27" s="69">
        <v>448.98292217254641</v>
      </c>
      <c r="AQ27" s="69">
        <v>2592.2344890594482</v>
      </c>
      <c r="AR27" s="69">
        <v>291.56973101298018</v>
      </c>
      <c r="AS27" s="69">
        <v>592.96355546315522</v>
      </c>
    </row>
    <row r="28" spans="1:45" x14ac:dyDescent="0.25">
      <c r="A28" s="11">
        <v>43790</v>
      </c>
      <c r="B28" s="59"/>
      <c r="C28" s="60">
        <v>0</v>
      </c>
      <c r="D28" s="60">
        <v>0</v>
      </c>
      <c r="E28" s="50">
        <v>0.55123808234929994</v>
      </c>
      <c r="F28" s="60">
        <v>0</v>
      </c>
      <c r="G28" s="60">
        <v>0</v>
      </c>
      <c r="H28" s="61">
        <v>0</v>
      </c>
      <c r="I28" s="59">
        <v>243.610815906525</v>
      </c>
      <c r="J28" s="60">
        <v>545.79718723297071</v>
      </c>
      <c r="K28" s="60">
        <v>32.534528716405106</v>
      </c>
      <c r="L28" s="50">
        <v>1.5200614929199252E-3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342.60516956117453</v>
      </c>
      <c r="V28" s="62">
        <v>0</v>
      </c>
      <c r="W28" s="62">
        <v>50.274943105379627</v>
      </c>
      <c r="X28" s="62">
        <v>0</v>
      </c>
      <c r="Y28" s="66">
        <v>209.26410798231754</v>
      </c>
      <c r="Z28" s="66">
        <v>0</v>
      </c>
      <c r="AA28" s="67">
        <v>0</v>
      </c>
      <c r="AB28" s="68">
        <v>61.513921544288152</v>
      </c>
      <c r="AC28" s="69">
        <v>0</v>
      </c>
      <c r="AD28" s="405">
        <v>13.421236351401172</v>
      </c>
      <c r="AE28" s="409">
        <v>0</v>
      </c>
      <c r="AF28" s="69">
        <v>13.109358767999533</v>
      </c>
      <c r="AG28" s="68">
        <v>12.89920804975031</v>
      </c>
      <c r="AH28" s="68">
        <v>0</v>
      </c>
      <c r="AI28" s="68">
        <v>1</v>
      </c>
      <c r="AJ28" s="69">
        <v>255.61822948455807</v>
      </c>
      <c r="AK28" s="69">
        <v>555.58890042304995</v>
      </c>
      <c r="AL28" s="69">
        <v>901.50979474385588</v>
      </c>
      <c r="AM28" s="69">
        <v>484.20679121017457</v>
      </c>
      <c r="AN28" s="69">
        <v>1842.5755004882813</v>
      </c>
      <c r="AO28" s="69">
        <v>1701.5984325408936</v>
      </c>
      <c r="AP28" s="69">
        <v>526.95868536631258</v>
      </c>
      <c r="AQ28" s="69">
        <v>2498.8762569427486</v>
      </c>
      <c r="AR28" s="69">
        <v>305.94936477343248</v>
      </c>
      <c r="AS28" s="69">
        <v>623.49094298680643</v>
      </c>
    </row>
    <row r="29" spans="1:45" x14ac:dyDescent="0.25">
      <c r="A29" s="11">
        <v>43791</v>
      </c>
      <c r="B29" s="59"/>
      <c r="C29" s="60">
        <v>0</v>
      </c>
      <c r="D29" s="60">
        <v>0</v>
      </c>
      <c r="E29" s="50">
        <v>0.54607289781173107</v>
      </c>
      <c r="F29" s="60">
        <v>0</v>
      </c>
      <c r="G29" s="60">
        <v>0</v>
      </c>
      <c r="H29" s="61">
        <v>0</v>
      </c>
      <c r="I29" s="59">
        <v>225.52322851816834</v>
      </c>
      <c r="J29" s="60">
        <v>504.63412122726504</v>
      </c>
      <c r="K29" s="60">
        <v>29.972166947523661</v>
      </c>
      <c r="L29" s="50">
        <v>3.1534194946289244E-3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314.63178329467456</v>
      </c>
      <c r="V29" s="62">
        <v>0</v>
      </c>
      <c r="W29" s="62">
        <v>45.61105004946387</v>
      </c>
      <c r="X29" s="62">
        <v>0</v>
      </c>
      <c r="Y29" s="66">
        <v>186.58761214415222</v>
      </c>
      <c r="Z29" s="66">
        <v>0</v>
      </c>
      <c r="AA29" s="67">
        <v>0</v>
      </c>
      <c r="AB29" s="68">
        <v>57.088546933069367</v>
      </c>
      <c r="AC29" s="69">
        <v>0</v>
      </c>
      <c r="AD29" s="405">
        <v>12.406911516435359</v>
      </c>
      <c r="AE29" s="409">
        <v>0</v>
      </c>
      <c r="AF29" s="69">
        <v>11.815498524904243</v>
      </c>
      <c r="AG29" s="68">
        <v>11.6080794165053</v>
      </c>
      <c r="AH29" s="68">
        <v>0</v>
      </c>
      <c r="AI29" s="68">
        <v>1</v>
      </c>
      <c r="AJ29" s="69">
        <v>256.3296756823857</v>
      </c>
      <c r="AK29" s="69">
        <v>563.83278938929232</v>
      </c>
      <c r="AL29" s="69">
        <v>870.83240788777664</v>
      </c>
      <c r="AM29" s="69">
        <v>565.82945251464844</v>
      </c>
      <c r="AN29" s="69">
        <v>1842.5755004882813</v>
      </c>
      <c r="AO29" s="69">
        <v>1712.4657605489092</v>
      </c>
      <c r="AP29" s="69">
        <v>531.74208631515512</v>
      </c>
      <c r="AQ29" s="69">
        <v>2282.3914184570313</v>
      </c>
      <c r="AR29" s="69">
        <v>338.84712408383689</v>
      </c>
      <c r="AS29" s="69">
        <v>578.4780027707418</v>
      </c>
    </row>
    <row r="30" spans="1:45" x14ac:dyDescent="0.25">
      <c r="A30" s="11">
        <v>43792</v>
      </c>
      <c r="B30" s="59"/>
      <c r="C30" s="60">
        <v>0</v>
      </c>
      <c r="D30" s="60">
        <v>0</v>
      </c>
      <c r="E30" s="50">
        <v>0.54932075738906883</v>
      </c>
      <c r="F30" s="60">
        <v>0</v>
      </c>
      <c r="G30" s="60">
        <v>0</v>
      </c>
      <c r="H30" s="61">
        <v>0</v>
      </c>
      <c r="I30" s="59">
        <v>224.79677855173748</v>
      </c>
      <c r="J30" s="60">
        <v>503.61955315272047</v>
      </c>
      <c r="K30" s="60">
        <v>29.967082013686401</v>
      </c>
      <c r="L30" s="50">
        <v>6.5237283706664363E-3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310.75715515348816</v>
      </c>
      <c r="V30" s="62">
        <v>0</v>
      </c>
      <c r="W30" s="62">
        <v>45.700644298394522</v>
      </c>
      <c r="X30" s="62">
        <v>0</v>
      </c>
      <c r="Y30" s="66">
        <v>183.31858815352106</v>
      </c>
      <c r="Z30" s="66">
        <v>0</v>
      </c>
      <c r="AA30" s="67">
        <v>0</v>
      </c>
      <c r="AB30" s="68">
        <v>56.87135345935846</v>
      </c>
      <c r="AC30" s="69">
        <v>0</v>
      </c>
      <c r="AD30" s="405">
        <v>12.384011250789305</v>
      </c>
      <c r="AE30" s="409">
        <v>0</v>
      </c>
      <c r="AF30" s="69">
        <v>11.637539473838272</v>
      </c>
      <c r="AG30" s="68">
        <v>11.431031138964205</v>
      </c>
      <c r="AH30" s="68">
        <v>0</v>
      </c>
      <c r="AI30" s="68">
        <v>1</v>
      </c>
      <c r="AJ30" s="69">
        <v>247.55293087959291</v>
      </c>
      <c r="AK30" s="69">
        <v>548.67739195823663</v>
      </c>
      <c r="AL30" s="69">
        <v>980.30390955607095</v>
      </c>
      <c r="AM30" s="69">
        <v>510.5940008799235</v>
      </c>
      <c r="AN30" s="69">
        <v>1842.5755004882813</v>
      </c>
      <c r="AO30" s="69">
        <v>1762.786147626241</v>
      </c>
      <c r="AP30" s="69">
        <v>485.91995455423984</v>
      </c>
      <c r="AQ30" s="69">
        <v>2293.9123788197835</v>
      </c>
      <c r="AR30" s="69">
        <v>366.26783806482956</v>
      </c>
      <c r="AS30" s="69">
        <v>570.29884481430031</v>
      </c>
    </row>
    <row r="31" spans="1:45" x14ac:dyDescent="0.25">
      <c r="A31" s="11">
        <v>43793</v>
      </c>
      <c r="B31" s="59"/>
      <c r="C31" s="60">
        <v>0</v>
      </c>
      <c r="D31" s="60">
        <v>0</v>
      </c>
      <c r="E31" s="50">
        <v>0.55447167903184891</v>
      </c>
      <c r="F31" s="60">
        <v>0</v>
      </c>
      <c r="G31" s="60">
        <v>0</v>
      </c>
      <c r="H31" s="61">
        <v>0</v>
      </c>
      <c r="I31" s="59">
        <v>223.06367861429854</v>
      </c>
      <c r="J31" s="60">
        <v>500.545661513011</v>
      </c>
      <c r="K31" s="60">
        <v>29.967228271563712</v>
      </c>
      <c r="L31" s="50">
        <v>9.1473817825315929E-3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304.00558920966182</v>
      </c>
      <c r="V31" s="62">
        <v>0</v>
      </c>
      <c r="W31" s="62">
        <v>45.688772980372086</v>
      </c>
      <c r="X31" s="62">
        <v>0</v>
      </c>
      <c r="Y31" s="66">
        <v>182.80655786196371</v>
      </c>
      <c r="Z31" s="66">
        <v>0</v>
      </c>
      <c r="AA31" s="67">
        <v>0</v>
      </c>
      <c r="AB31" s="68">
        <v>55.787229696908746</v>
      </c>
      <c r="AC31" s="69">
        <v>0</v>
      </c>
      <c r="AD31" s="405">
        <v>12.306775368266068</v>
      </c>
      <c r="AE31" s="409">
        <v>0</v>
      </c>
      <c r="AF31" s="69">
        <v>11.469130847520297</v>
      </c>
      <c r="AG31" s="68">
        <v>11.361500729577987</v>
      </c>
      <c r="AH31" s="68">
        <v>0</v>
      </c>
      <c r="AI31" s="68">
        <v>1</v>
      </c>
      <c r="AJ31" s="69">
        <v>233.29237353801724</v>
      </c>
      <c r="AK31" s="69">
        <v>511.68478484153746</v>
      </c>
      <c r="AL31" s="69">
        <v>906.36563669840496</v>
      </c>
      <c r="AM31" s="69">
        <v>467.14576721191406</v>
      </c>
      <c r="AN31" s="69">
        <v>1842.5755004882813</v>
      </c>
      <c r="AO31" s="69">
        <v>1764.1306855519613</v>
      </c>
      <c r="AP31" s="69">
        <v>437.97981317838031</v>
      </c>
      <c r="AQ31" s="69">
        <v>2244.2682547887166</v>
      </c>
      <c r="AR31" s="69">
        <v>365.92899427413943</v>
      </c>
      <c r="AS31" s="69">
        <v>597.77323055267323</v>
      </c>
    </row>
    <row r="32" spans="1:45" x14ac:dyDescent="0.25">
      <c r="A32" s="11">
        <v>43794</v>
      </c>
      <c r="B32" s="59"/>
      <c r="C32" s="60">
        <v>0</v>
      </c>
      <c r="D32" s="60">
        <v>0</v>
      </c>
      <c r="E32" s="50">
        <v>0.55447879681984535</v>
      </c>
      <c r="F32" s="60">
        <v>0</v>
      </c>
      <c r="G32" s="60">
        <v>0</v>
      </c>
      <c r="H32" s="61">
        <v>0</v>
      </c>
      <c r="I32" s="59">
        <v>209.92712070147203</v>
      </c>
      <c r="J32" s="60">
        <v>467.56748202641802</v>
      </c>
      <c r="K32" s="60">
        <v>27.877500671148447</v>
      </c>
      <c r="L32" s="50">
        <v>1.0591518878936553E-2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288.73266572952281</v>
      </c>
      <c r="V32" s="62">
        <v>0</v>
      </c>
      <c r="W32" s="62">
        <v>43.134552979469277</v>
      </c>
      <c r="X32" s="62">
        <v>0</v>
      </c>
      <c r="Y32" s="66">
        <v>157.65733533700305</v>
      </c>
      <c r="Z32" s="66">
        <v>0</v>
      </c>
      <c r="AA32" s="67">
        <v>0</v>
      </c>
      <c r="AB32" s="68">
        <v>51.596386549206727</v>
      </c>
      <c r="AC32" s="69">
        <v>0</v>
      </c>
      <c r="AD32" s="405">
        <v>11.494486988548756</v>
      </c>
      <c r="AE32" s="409">
        <v>1.0296983349752428E-3</v>
      </c>
      <c r="AF32" s="69">
        <v>11.033448097109803</v>
      </c>
      <c r="AG32" s="68">
        <v>10.913775801570246</v>
      </c>
      <c r="AH32" s="68">
        <v>0</v>
      </c>
      <c r="AI32" s="68">
        <v>1</v>
      </c>
      <c r="AJ32" s="69">
        <v>237.40927602450054</v>
      </c>
      <c r="AK32" s="69">
        <v>523.59154121081031</v>
      </c>
      <c r="AL32" s="69">
        <v>908.43793042500818</v>
      </c>
      <c r="AM32" s="69">
        <v>486.19771385192871</v>
      </c>
      <c r="AN32" s="69">
        <v>1842.5755004882813</v>
      </c>
      <c r="AO32" s="69">
        <v>1695.0184288024902</v>
      </c>
      <c r="AP32" s="69">
        <v>472.38742459615065</v>
      </c>
      <c r="AQ32" s="69">
        <v>2172.1112778345741</v>
      </c>
      <c r="AR32" s="69">
        <v>395.28390226364127</v>
      </c>
      <c r="AS32" s="69">
        <v>585.73222344716396</v>
      </c>
    </row>
    <row r="33" spans="1:45" x14ac:dyDescent="0.25">
      <c r="A33" s="11">
        <v>43795</v>
      </c>
      <c r="B33" s="59"/>
      <c r="C33" s="60">
        <v>0</v>
      </c>
      <c r="D33" s="60">
        <v>0</v>
      </c>
      <c r="E33" s="50">
        <v>0.52124763528505969</v>
      </c>
      <c r="F33" s="60">
        <v>0</v>
      </c>
      <c r="G33" s="60">
        <v>0</v>
      </c>
      <c r="H33" s="61">
        <v>0</v>
      </c>
      <c r="I33" s="59">
        <v>190.45182716051752</v>
      </c>
      <c r="J33" s="60">
        <v>418.97217858632416</v>
      </c>
      <c r="K33" s="60">
        <v>24.525161919991209</v>
      </c>
      <c r="L33" s="50">
        <v>5.1833152770995872E-3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272.04326304330021</v>
      </c>
      <c r="V33" s="62">
        <v>0</v>
      </c>
      <c r="W33" s="62">
        <v>37.785281618436215</v>
      </c>
      <c r="X33" s="62">
        <v>0</v>
      </c>
      <c r="Y33" s="66">
        <v>139.82832791805254</v>
      </c>
      <c r="Z33" s="66">
        <v>0</v>
      </c>
      <c r="AA33" s="67">
        <v>0</v>
      </c>
      <c r="AB33" s="68">
        <v>45.503082233005031</v>
      </c>
      <c r="AC33" s="69">
        <v>0</v>
      </c>
      <c r="AD33" s="405">
        <v>10.299922599473659</v>
      </c>
      <c r="AE33" s="409">
        <v>0</v>
      </c>
      <c r="AF33" s="69">
        <v>9.8681280483802389</v>
      </c>
      <c r="AG33" s="68">
        <v>9.76366567238016</v>
      </c>
      <c r="AH33" s="68">
        <v>0</v>
      </c>
      <c r="AI33" s="68">
        <v>1</v>
      </c>
      <c r="AJ33" s="69">
        <v>267.01794992287955</v>
      </c>
      <c r="AK33" s="69">
        <v>602.76174100240075</v>
      </c>
      <c r="AL33" s="69">
        <v>938.92215213775626</v>
      </c>
      <c r="AM33" s="69">
        <v>544.42013804117846</v>
      </c>
      <c r="AN33" s="69">
        <v>1813.927480316162</v>
      </c>
      <c r="AO33" s="69">
        <v>1709.604710006714</v>
      </c>
      <c r="AP33" s="69">
        <v>814.89290610949206</v>
      </c>
      <c r="AQ33" s="69">
        <v>1982.2117406209311</v>
      </c>
      <c r="AR33" s="69">
        <v>450.35186182657878</v>
      </c>
      <c r="AS33" s="69">
        <v>554.29335018793734</v>
      </c>
    </row>
    <row r="34" spans="1:45" x14ac:dyDescent="0.25">
      <c r="A34" s="11">
        <v>43796</v>
      </c>
      <c r="B34" s="59"/>
      <c r="C34" s="60">
        <v>0</v>
      </c>
      <c r="D34" s="60">
        <v>0</v>
      </c>
      <c r="E34" s="50">
        <v>0.52884954710801424</v>
      </c>
      <c r="F34" s="60">
        <v>0</v>
      </c>
      <c r="G34" s="60">
        <v>0</v>
      </c>
      <c r="H34" s="61">
        <v>0</v>
      </c>
      <c r="I34" s="59">
        <v>195.95491803487172</v>
      </c>
      <c r="J34" s="60">
        <v>423.83336219787583</v>
      </c>
      <c r="K34" s="60">
        <v>24.794928040107212</v>
      </c>
      <c r="L34" s="50">
        <v>5.0228118896484229E-3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268.30179333157207</v>
      </c>
      <c r="V34" s="62">
        <v>0</v>
      </c>
      <c r="W34" s="62">
        <v>36.782288209597269</v>
      </c>
      <c r="X34" s="62">
        <v>0</v>
      </c>
      <c r="Y34" s="66">
        <v>140.66386375427226</v>
      </c>
      <c r="Z34" s="66">
        <v>0</v>
      </c>
      <c r="AA34" s="67">
        <v>0</v>
      </c>
      <c r="AB34" s="68">
        <v>45.910652973916029</v>
      </c>
      <c r="AC34" s="69">
        <v>0</v>
      </c>
      <c r="AD34" s="405">
        <v>10.418799957674151</v>
      </c>
      <c r="AE34" s="409">
        <v>0</v>
      </c>
      <c r="AF34" s="69">
        <v>9.6878431551986406</v>
      </c>
      <c r="AG34" s="68">
        <v>9.5654861684450143</v>
      </c>
      <c r="AH34" s="68">
        <v>0</v>
      </c>
      <c r="AI34" s="68">
        <v>1</v>
      </c>
      <c r="AJ34" s="69">
        <v>271.86535268624618</v>
      </c>
      <c r="AK34" s="69">
        <v>652.72321248054493</v>
      </c>
      <c r="AL34" s="69">
        <v>978.62015209198</v>
      </c>
      <c r="AM34" s="69">
        <v>546.12995910644531</v>
      </c>
      <c r="AN34" s="69">
        <v>1807.8726196289063</v>
      </c>
      <c r="AO34" s="69">
        <v>1828.432041422526</v>
      </c>
      <c r="AP34" s="69">
        <v>1128.6749515533447</v>
      </c>
      <c r="AQ34" s="69">
        <v>1983.6648287455239</v>
      </c>
      <c r="AR34" s="69">
        <v>462.82709213892616</v>
      </c>
      <c r="AS34" s="69">
        <v>578.27268775304151</v>
      </c>
    </row>
    <row r="35" spans="1:45" x14ac:dyDescent="0.25">
      <c r="A35" s="11">
        <v>43797</v>
      </c>
      <c r="B35" s="59"/>
      <c r="C35" s="60">
        <v>0</v>
      </c>
      <c r="D35" s="60">
        <v>0</v>
      </c>
      <c r="E35" s="50">
        <v>0.52486828466256441</v>
      </c>
      <c r="F35" s="60">
        <v>0</v>
      </c>
      <c r="G35" s="60">
        <v>0</v>
      </c>
      <c r="H35" s="61">
        <v>0</v>
      </c>
      <c r="I35" s="59">
        <v>195.88544422785469</v>
      </c>
      <c r="J35" s="60">
        <v>423.11290613810269</v>
      </c>
      <c r="K35" s="60">
        <v>24.906870869795533</v>
      </c>
      <c r="L35" s="50">
        <v>8.9025616645811503E-3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274.37441509035011</v>
      </c>
      <c r="V35" s="62">
        <v>0</v>
      </c>
      <c r="W35" s="62">
        <v>38.15935715039565</v>
      </c>
      <c r="X35" s="62">
        <v>0</v>
      </c>
      <c r="Y35" s="66">
        <v>153.9264493703842</v>
      </c>
      <c r="Z35" s="66">
        <v>0</v>
      </c>
      <c r="AA35" s="67">
        <v>0</v>
      </c>
      <c r="AB35" s="68">
        <v>46.152613223922778</v>
      </c>
      <c r="AC35" s="69">
        <v>0</v>
      </c>
      <c r="AD35" s="405">
        <v>10.403125082521832</v>
      </c>
      <c r="AE35" s="409">
        <v>0</v>
      </c>
      <c r="AF35" s="69">
        <v>9.9381371223264345</v>
      </c>
      <c r="AG35" s="68">
        <v>9.8024911272252329</v>
      </c>
      <c r="AH35" s="68">
        <v>0</v>
      </c>
      <c r="AI35" s="68">
        <v>1</v>
      </c>
      <c r="AJ35" s="69">
        <v>269.96968687375391</v>
      </c>
      <c r="AK35" s="69">
        <v>624.52214398384069</v>
      </c>
      <c r="AL35" s="69">
        <v>978.67969284057619</v>
      </c>
      <c r="AM35" s="69">
        <v>546.12995910644531</v>
      </c>
      <c r="AN35" s="69">
        <v>1807.8726196289063</v>
      </c>
      <c r="AO35" s="69">
        <v>1755.1475367228188</v>
      </c>
      <c r="AP35" s="69">
        <v>1121.3935011545814</v>
      </c>
      <c r="AQ35" s="69">
        <v>1902.3017860412597</v>
      </c>
      <c r="AR35" s="69">
        <v>459.73420791625978</v>
      </c>
      <c r="AS35" s="69">
        <v>565.28847570419305</v>
      </c>
    </row>
    <row r="36" spans="1:45" x14ac:dyDescent="0.25">
      <c r="A36" s="11">
        <v>43798</v>
      </c>
      <c r="B36" s="59"/>
      <c r="C36" s="60">
        <v>0</v>
      </c>
      <c r="D36" s="60">
        <v>0</v>
      </c>
      <c r="E36" s="50">
        <v>0.53082354366779227</v>
      </c>
      <c r="F36" s="60">
        <v>0</v>
      </c>
      <c r="G36" s="60">
        <v>0</v>
      </c>
      <c r="H36" s="61">
        <v>0</v>
      </c>
      <c r="I36" s="59">
        <v>194.70757098992681</v>
      </c>
      <c r="J36" s="60">
        <v>421.12751127878818</v>
      </c>
      <c r="K36" s="60">
        <v>25.151324741045627</v>
      </c>
      <c r="L36" s="50">
        <v>1.2215304374694577E-2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268.32085349824575</v>
      </c>
      <c r="V36" s="62">
        <v>0</v>
      </c>
      <c r="W36" s="62">
        <v>38.763405434290604</v>
      </c>
      <c r="X36" s="62">
        <v>0</v>
      </c>
      <c r="Y36" s="66">
        <v>159.78145374457043</v>
      </c>
      <c r="Z36" s="66">
        <v>0</v>
      </c>
      <c r="AA36" s="67">
        <v>0</v>
      </c>
      <c r="AB36" s="68">
        <v>45.803427918751368</v>
      </c>
      <c r="AC36" s="69">
        <v>0</v>
      </c>
      <c r="AD36" s="405">
        <v>10.35186679818708</v>
      </c>
      <c r="AE36" s="409">
        <v>0</v>
      </c>
      <c r="AF36" s="69">
        <v>9.918999523586697</v>
      </c>
      <c r="AG36" s="68">
        <v>9.7729346579042389</v>
      </c>
      <c r="AH36" s="68">
        <v>0</v>
      </c>
      <c r="AI36" s="68">
        <v>1</v>
      </c>
      <c r="AJ36" s="69">
        <v>259.50093149344127</v>
      </c>
      <c r="AK36" s="69">
        <v>585.38422908782968</v>
      </c>
      <c r="AL36" s="69">
        <v>927.34651934305828</v>
      </c>
      <c r="AM36" s="69">
        <v>546.12995910644531</v>
      </c>
      <c r="AN36" s="69">
        <v>1807.8726196289063</v>
      </c>
      <c r="AO36" s="69">
        <v>1799.7566788991285</v>
      </c>
      <c r="AP36" s="69">
        <v>1086.6756304423016</v>
      </c>
      <c r="AQ36" s="69">
        <v>1923.1699307759609</v>
      </c>
      <c r="AR36" s="69">
        <v>439.31658878326414</v>
      </c>
      <c r="AS36" s="69">
        <v>547.77641639709475</v>
      </c>
    </row>
    <row r="37" spans="1:45" x14ac:dyDescent="0.25">
      <c r="A37" s="11">
        <v>43799</v>
      </c>
      <c r="B37" s="59"/>
      <c r="C37" s="60">
        <v>0</v>
      </c>
      <c r="D37" s="60">
        <v>0</v>
      </c>
      <c r="E37" s="60">
        <v>0.53083427498738001</v>
      </c>
      <c r="F37" s="60">
        <v>0</v>
      </c>
      <c r="G37" s="60">
        <v>0</v>
      </c>
      <c r="H37" s="61">
        <v>0</v>
      </c>
      <c r="I37" s="59">
        <v>194.55651030540471</v>
      </c>
      <c r="J37" s="60">
        <v>420.72389911015819</v>
      </c>
      <c r="K37" s="60">
        <v>25.165115189552292</v>
      </c>
      <c r="L37" s="60">
        <v>1.5428125858306578E-2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266.49939964082336</v>
      </c>
      <c r="V37" s="62">
        <v>0</v>
      </c>
      <c r="W37" s="62">
        <v>38.524060972531593</v>
      </c>
      <c r="X37" s="62">
        <v>0</v>
      </c>
      <c r="Y37" s="66">
        <v>153.12712655067429</v>
      </c>
      <c r="Z37" s="66">
        <v>0</v>
      </c>
      <c r="AA37" s="67">
        <v>0</v>
      </c>
      <c r="AB37" s="68">
        <v>45.805017897817471</v>
      </c>
      <c r="AC37" s="69">
        <v>0</v>
      </c>
      <c r="AD37" s="405">
        <v>10.343429579221146</v>
      </c>
      <c r="AE37" s="444">
        <v>0</v>
      </c>
      <c r="AF37" s="69">
        <v>9.878527801566646</v>
      </c>
      <c r="AG37" s="68">
        <v>9.7282558744835352</v>
      </c>
      <c r="AH37" s="68">
        <v>0</v>
      </c>
      <c r="AI37" s="68">
        <v>1</v>
      </c>
      <c r="AJ37" s="69">
        <v>261.29253833293916</v>
      </c>
      <c r="AK37" s="69">
        <v>606.37836743990567</v>
      </c>
      <c r="AL37" s="69">
        <v>950.3208606084188</v>
      </c>
      <c r="AM37" s="69">
        <v>546.12995910644531</v>
      </c>
      <c r="AN37" s="69">
        <v>1807.8726196289063</v>
      </c>
      <c r="AO37" s="69">
        <v>1691.7465962727863</v>
      </c>
      <c r="AP37" s="69">
        <v>1086.8635480880737</v>
      </c>
      <c r="AQ37" s="69">
        <v>1920.4743844350182</v>
      </c>
      <c r="AR37" s="69">
        <v>440.39064687093099</v>
      </c>
      <c r="AS37" s="69">
        <v>565.35898542404186</v>
      </c>
    </row>
    <row r="38" spans="1:45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405"/>
      <c r="AE38" s="444"/>
      <c r="AF38" s="85"/>
      <c r="AG38" s="83"/>
      <c r="AH38" s="83"/>
      <c r="AI38" s="83"/>
      <c r="AJ38" s="84"/>
      <c r="AK38" s="84"/>
      <c r="AL38" s="84"/>
      <c r="AM38" s="84"/>
      <c r="AN38" s="84"/>
      <c r="AO38" s="84"/>
      <c r="AP38" s="84"/>
      <c r="AQ38" s="84"/>
      <c r="AR38" s="84"/>
      <c r="AS38" s="84"/>
    </row>
    <row r="39" spans="1:45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0</v>
      </c>
      <c r="D39" s="30">
        <f t="shared" si="0"/>
        <v>0</v>
      </c>
      <c r="E39" s="30">
        <f t="shared" si="0"/>
        <v>10.967429819206391</v>
      </c>
      <c r="F39" s="30">
        <f t="shared" si="0"/>
        <v>0</v>
      </c>
      <c r="G39" s="30">
        <f t="shared" si="0"/>
        <v>0</v>
      </c>
      <c r="H39" s="31">
        <f t="shared" si="0"/>
        <v>0</v>
      </c>
      <c r="I39" s="29">
        <f t="shared" si="0"/>
        <v>6350.7540725310664</v>
      </c>
      <c r="J39" s="30">
        <f t="shared" si="0"/>
        <v>13983.490519968673</v>
      </c>
      <c r="K39" s="30">
        <f t="shared" si="0"/>
        <v>835.73872262140185</v>
      </c>
      <c r="L39" s="30">
        <f t="shared" si="0"/>
        <v>0.12502689361572114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8740.8366813553766</v>
      </c>
      <c r="V39" s="262">
        <f t="shared" si="0"/>
        <v>0</v>
      </c>
      <c r="W39" s="262">
        <f t="shared" si="0"/>
        <v>1292.8986306707066</v>
      </c>
      <c r="X39" s="262">
        <f t="shared" si="0"/>
        <v>0</v>
      </c>
      <c r="Y39" s="262">
        <f t="shared" si="0"/>
        <v>4982.5934168179811</v>
      </c>
      <c r="Z39" s="262">
        <f t="shared" si="0"/>
        <v>0</v>
      </c>
      <c r="AA39" s="270">
        <f t="shared" si="0"/>
        <v>0</v>
      </c>
      <c r="AB39" s="273">
        <f t="shared" si="0"/>
        <v>1527.096749819653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7172.4805020570766</v>
      </c>
      <c r="AK39" s="273">
        <f t="shared" si="1"/>
        <v>16262.713888708755</v>
      </c>
      <c r="AL39" s="273">
        <f t="shared" si="1"/>
        <v>27274.511476802818</v>
      </c>
      <c r="AM39" s="273">
        <f t="shared" si="1"/>
        <v>16091.763188489278</v>
      </c>
      <c r="AN39" s="273">
        <f t="shared" si="1"/>
        <v>47632.974330329896</v>
      </c>
      <c r="AO39" s="273">
        <f t="shared" si="1"/>
        <v>50932.590573120127</v>
      </c>
      <c r="AP39" s="273">
        <f t="shared" si="1"/>
        <v>17402.713113355636</v>
      </c>
      <c r="AQ39" s="273">
        <f t="shared" si="1"/>
        <v>63184.432877667736</v>
      </c>
      <c r="AR39" s="273">
        <f t="shared" si="1"/>
        <v>10722.789712619782</v>
      </c>
      <c r="AS39" s="273">
        <f t="shared" si="1"/>
        <v>17683.544448041914</v>
      </c>
    </row>
    <row r="40" spans="1:45" ht="15.75" thickBot="1" x14ac:dyDescent="0.3">
      <c r="A40" s="47" t="s">
        <v>172</v>
      </c>
      <c r="B40" s="32">
        <f>Projection!$AD$30</f>
        <v>0.82128400199999985</v>
      </c>
      <c r="C40" s="33">
        <f>Projection!$AD$28</f>
        <v>1.4863548</v>
      </c>
      <c r="D40" s="33">
        <f>Projection!$AD$31</f>
        <v>2.9540280000000001</v>
      </c>
      <c r="E40" s="33">
        <f>Projection!$AD$26</f>
        <v>4.3368000000000002</v>
      </c>
      <c r="F40" s="33">
        <f>Projection!$AD$23</f>
        <v>0</v>
      </c>
      <c r="G40" s="33">
        <f>Projection!$AD$24</f>
        <v>5.9975000000000001E-2</v>
      </c>
      <c r="H40" s="34">
        <f>Projection!$AD$29</f>
        <v>3.7390305000000001</v>
      </c>
      <c r="I40" s="32">
        <f>Projection!$AD$30</f>
        <v>0.82128400199999985</v>
      </c>
      <c r="J40" s="33">
        <f>Projection!$AD$28</f>
        <v>1.4863548</v>
      </c>
      <c r="K40" s="33">
        <f>Projection!$AD$26</f>
        <v>4.3368000000000002</v>
      </c>
      <c r="L40" s="33">
        <f>Projection!$AD$25</f>
        <v>0</v>
      </c>
      <c r="M40" s="33">
        <f>Projection!$AD$23</f>
        <v>0</v>
      </c>
      <c r="N40" s="34">
        <f>Projection!$AD$23</f>
        <v>0</v>
      </c>
      <c r="O40" s="264">
        <v>15.77</v>
      </c>
      <c r="P40" s="265">
        <v>15.77</v>
      </c>
      <c r="Q40" s="265">
        <v>15.77</v>
      </c>
      <c r="R40" s="265">
        <v>15.77</v>
      </c>
      <c r="S40" s="265">
        <f>Projection!$AD$28</f>
        <v>1.4863548</v>
      </c>
      <c r="T40" s="266">
        <f>Projection!$AD$28</f>
        <v>1.4863548</v>
      </c>
      <c r="U40" s="264">
        <f>Projection!$AD$27</f>
        <v>0.29960000000000003</v>
      </c>
      <c r="V40" s="265">
        <f>Projection!$AD$27</f>
        <v>0.29960000000000003</v>
      </c>
      <c r="W40" s="265">
        <f>Projection!$AD$22</f>
        <v>0.74349432000000004</v>
      </c>
      <c r="X40" s="265">
        <f>Projection!$AD$22</f>
        <v>0.74349432000000004</v>
      </c>
      <c r="Y40" s="265">
        <f>Projection!$AD$31</f>
        <v>2.9540280000000001</v>
      </c>
      <c r="Z40" s="265">
        <f>Projection!$AD$31</f>
        <v>2.9540280000000001</v>
      </c>
      <c r="AA40" s="271">
        <v>0</v>
      </c>
      <c r="AB40" s="274">
        <f>Projection!$AD$27</f>
        <v>0.29960000000000003</v>
      </c>
      <c r="AC40" s="274">
        <f>Projection!$AD$30</f>
        <v>0.82128400199999985</v>
      </c>
      <c r="AD40" s="400">
        <f>SUM(AD8:AD38)</f>
        <v>343.80063509164654</v>
      </c>
      <c r="AE40" s="400">
        <f>SUM(AE8:AE38)</f>
        <v>6.106974193735125</v>
      </c>
      <c r="AF40" s="277">
        <f>SUM(AF8:AF38)</f>
        <v>327.55371180805895</v>
      </c>
      <c r="AG40" s="277">
        <f>SUM(AG8:AG38)</f>
        <v>323.21482675410374</v>
      </c>
      <c r="AH40" s="277">
        <f>SUM(AH8:AH38)</f>
        <v>0</v>
      </c>
      <c r="AI40" s="277">
        <f>IF(SUM(AG40:AH40)&gt;0, AG40/(AG40+AH40),0)</f>
        <v>1</v>
      </c>
      <c r="AJ40" s="312">
        <v>6.6000000000000003E-2</v>
      </c>
      <c r="AK40" s="312">
        <f t="shared" ref="AK40:AS40" si="2">$AJ$40</f>
        <v>6.6000000000000003E-2</v>
      </c>
      <c r="AL40" s="312">
        <f t="shared" si="2"/>
        <v>6.6000000000000003E-2</v>
      </c>
      <c r="AM40" s="312">
        <f t="shared" si="2"/>
        <v>6.6000000000000003E-2</v>
      </c>
      <c r="AN40" s="312">
        <f t="shared" si="2"/>
        <v>6.6000000000000003E-2</v>
      </c>
      <c r="AO40" s="312">
        <f t="shared" si="2"/>
        <v>6.6000000000000003E-2</v>
      </c>
      <c r="AP40" s="312">
        <f t="shared" si="2"/>
        <v>6.6000000000000003E-2</v>
      </c>
      <c r="AQ40" s="312">
        <f t="shared" si="2"/>
        <v>6.6000000000000003E-2</v>
      </c>
      <c r="AR40" s="312">
        <f t="shared" si="2"/>
        <v>6.6000000000000003E-2</v>
      </c>
      <c r="AS40" s="312">
        <f t="shared" si="2"/>
        <v>6.6000000000000003E-2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0</v>
      </c>
      <c r="D41" s="36">
        <f t="shared" si="3"/>
        <v>0</v>
      </c>
      <c r="E41" s="36">
        <f t="shared" si="3"/>
        <v>47.56354963993428</v>
      </c>
      <c r="F41" s="36">
        <f t="shared" si="3"/>
        <v>0</v>
      </c>
      <c r="G41" s="36">
        <f t="shared" si="3"/>
        <v>0</v>
      </c>
      <c r="H41" s="37">
        <f t="shared" si="3"/>
        <v>0</v>
      </c>
      <c r="I41" s="35">
        <f t="shared" si="3"/>
        <v>5215.7727204061111</v>
      </c>
      <c r="J41" s="36">
        <f t="shared" si="3"/>
        <v>20784.428255109931</v>
      </c>
      <c r="K41" s="36">
        <f t="shared" si="3"/>
        <v>3624.4316922644957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2618.7546697340713</v>
      </c>
      <c r="V41" s="268">
        <f t="shared" si="3"/>
        <v>0</v>
      </c>
      <c r="W41" s="268">
        <f t="shared" si="3"/>
        <v>961.26278823944813</v>
      </c>
      <c r="X41" s="268">
        <f t="shared" si="3"/>
        <v>0</v>
      </c>
      <c r="Y41" s="268">
        <f t="shared" si="3"/>
        <v>14718.720465895987</v>
      </c>
      <c r="Z41" s="268">
        <f t="shared" si="3"/>
        <v>0</v>
      </c>
      <c r="AA41" s="272">
        <f t="shared" si="3"/>
        <v>0</v>
      </c>
      <c r="AB41" s="275">
        <f t="shared" si="3"/>
        <v>457.51818624596808</v>
      </c>
      <c r="AC41" s="275">
        <f t="shared" si="3"/>
        <v>0</v>
      </c>
      <c r="AJ41" s="278">
        <f t="shared" ref="AJ41:AS41" si="4">AJ40*AJ39</f>
        <v>473.3837131357671</v>
      </c>
      <c r="AK41" s="278">
        <f t="shared" si="4"/>
        <v>1073.3391166547779</v>
      </c>
      <c r="AL41" s="278">
        <f t="shared" si="4"/>
        <v>1800.1177574689862</v>
      </c>
      <c r="AM41" s="278">
        <f t="shared" si="4"/>
        <v>1062.0563704402923</v>
      </c>
      <c r="AN41" s="278">
        <f t="shared" si="4"/>
        <v>3143.7763058017731</v>
      </c>
      <c r="AO41" s="278">
        <f t="shared" si="4"/>
        <v>3361.5509778259284</v>
      </c>
      <c r="AP41" s="278">
        <f t="shared" si="4"/>
        <v>1148.5790654814721</v>
      </c>
      <c r="AQ41" s="278">
        <f t="shared" si="4"/>
        <v>4170.1725699260705</v>
      </c>
      <c r="AR41" s="278">
        <f t="shared" si="4"/>
        <v>707.70412103290562</v>
      </c>
      <c r="AS41" s="278">
        <f t="shared" si="4"/>
        <v>1167.1139335707664</v>
      </c>
    </row>
    <row r="42" spans="1:45" ht="49.5" customHeight="1" thickTop="1" thickBot="1" x14ac:dyDescent="0.3">
      <c r="A42" s="633">
        <f>OCTOBER!$A$42+31</f>
        <v>43771</v>
      </c>
      <c r="B42" s="634"/>
      <c r="C42" s="634"/>
      <c r="D42" s="634"/>
      <c r="E42" s="634"/>
      <c r="F42" s="634"/>
      <c r="G42" s="634"/>
      <c r="H42" s="634"/>
      <c r="I42" s="634"/>
      <c r="J42" s="634"/>
      <c r="K42" s="63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932.27</v>
      </c>
      <c r="AK42" s="278" t="s">
        <v>197</v>
      </c>
      <c r="AL42" s="278">
        <v>1813.6</v>
      </c>
      <c r="AM42" s="278">
        <v>697.44</v>
      </c>
      <c r="AN42" s="278">
        <v>1094.55</v>
      </c>
      <c r="AO42" s="278">
        <v>2933.61</v>
      </c>
      <c r="AP42" s="278">
        <v>1096.8599999999999</v>
      </c>
      <c r="AQ42" s="278" t="s">
        <v>197</v>
      </c>
      <c r="AR42" s="278">
        <v>173.23</v>
      </c>
      <c r="AS42" s="278">
        <v>401.48</v>
      </c>
    </row>
    <row r="43" spans="1:45" ht="38.25" customHeight="1" thickTop="1" thickBot="1" x14ac:dyDescent="0.3">
      <c r="A43" s="630" t="s">
        <v>49</v>
      </c>
      <c r="B43" s="626"/>
      <c r="C43" s="289"/>
      <c r="D43" s="626" t="s">
        <v>47</v>
      </c>
      <c r="E43" s="626"/>
      <c r="F43" s="289"/>
      <c r="G43" s="626" t="s">
        <v>48</v>
      </c>
      <c r="H43" s="626"/>
      <c r="I43" s="290"/>
      <c r="J43" s="626" t="s">
        <v>50</v>
      </c>
      <c r="K43" s="627"/>
      <c r="L43" s="44"/>
      <c r="M43" s="44"/>
      <c r="N43" s="44"/>
      <c r="O43" s="45"/>
      <c r="P43" s="45"/>
      <c r="Q43" s="45"/>
      <c r="R43" s="615" t="s">
        <v>166</v>
      </c>
      <c r="S43" s="616"/>
      <c r="T43" s="616"/>
      <c r="U43" s="617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48428.452327535953</v>
      </c>
      <c r="C44" s="12"/>
      <c r="D44" s="282" t="s">
        <v>135</v>
      </c>
      <c r="E44" s="283">
        <f>SUM(B41:H41)+P41+R41+T41+V41+X41+Z41</f>
        <v>47.56354963993428</v>
      </c>
      <c r="F44" s="12"/>
      <c r="G44" s="282" t="s">
        <v>135</v>
      </c>
      <c r="H44" s="283">
        <f>SUM(I41:N41)+O41+Q41+S41+U41+W41+Y41</f>
        <v>47923.370591650055</v>
      </c>
      <c r="I44" s="12"/>
      <c r="J44" s="282" t="s">
        <v>198</v>
      </c>
      <c r="K44" s="283">
        <v>152536.09</v>
      </c>
      <c r="L44" s="12"/>
      <c r="M44" s="12"/>
      <c r="N44" s="12"/>
      <c r="O44" s="12"/>
      <c r="P44" s="12"/>
      <c r="Q44" s="12"/>
      <c r="R44" s="319" t="s">
        <v>135</v>
      </c>
      <c r="S44" s="320"/>
      <c r="T44" s="313" t="s">
        <v>167</v>
      </c>
      <c r="U44" s="255" t="s">
        <v>168</v>
      </c>
    </row>
    <row r="45" spans="1:45" ht="24" thickBot="1" x14ac:dyDescent="0.4">
      <c r="A45" s="284" t="s">
        <v>183</v>
      </c>
      <c r="B45" s="285">
        <f>SUM(AJ41:AS41)</f>
        <v>18107.793931338736</v>
      </c>
      <c r="C45" s="12"/>
      <c r="D45" s="284" t="s">
        <v>183</v>
      </c>
      <c r="E45" s="285">
        <f>AJ41*(1-$AI$40)+AK41+AL41*0.5+AN41+AO41*(1-$AI$40)+AP41*(1-$AI$40)+AQ41*(1-$AI$40)+AR41*0.5+AS41*0.5</f>
        <v>6054.5833284928804</v>
      </c>
      <c r="F45" s="24"/>
      <c r="G45" s="284" t="s">
        <v>183</v>
      </c>
      <c r="H45" s="285">
        <f>AJ41*AI40+AL41*0.5+AM41+AO41*AI40+AP41*AI40+AQ41*AI40+AR41*0.5+AS41*0.5</f>
        <v>12053.21060284586</v>
      </c>
      <c r="I45" s="12"/>
      <c r="J45" s="12"/>
      <c r="K45" s="288"/>
      <c r="L45" s="12"/>
      <c r="M45" s="12"/>
      <c r="N45" s="12"/>
      <c r="O45" s="12"/>
      <c r="P45" s="12"/>
      <c r="Q45" s="12"/>
      <c r="R45" s="317" t="s">
        <v>141</v>
      </c>
      <c r="S45" s="318"/>
      <c r="T45" s="254">
        <f>$W$39+$X$39</f>
        <v>1292.8986306707066</v>
      </c>
      <c r="U45" s="256">
        <f>(T45*8.34*0.895)/27000</f>
        <v>0.35742900921908727</v>
      </c>
    </row>
    <row r="46" spans="1:45" ht="32.25" thickBot="1" x14ac:dyDescent="0.3">
      <c r="A46" s="286" t="s">
        <v>184</v>
      </c>
      <c r="B46" s="287">
        <f>SUM(AJ42:AS42)</f>
        <v>9143.0399999999991</v>
      </c>
      <c r="C46" s="12"/>
      <c r="D46" s="286" t="s">
        <v>184</v>
      </c>
      <c r="E46" s="287">
        <f>AJ42*(1-$AI$40)+AL42*0.5+AN42+AO42*(1-$AI$40)+AP42*(1-$AI$40)+AR42*0.5+AS42*0.5</f>
        <v>2288.7049999999999</v>
      </c>
      <c r="F46" s="23"/>
      <c r="G46" s="286" t="s">
        <v>184</v>
      </c>
      <c r="H46" s="287">
        <f>AJ42*AI40+AL42*0.5+AM42+AO42*AI40+AP42*AI40+AR42*0.5+AS42*0.5</f>
        <v>6854.335</v>
      </c>
      <c r="I46" s="12"/>
      <c r="J46" s="628" t="s">
        <v>199</v>
      </c>
      <c r="K46" s="629"/>
      <c r="L46" s="12"/>
      <c r="M46" s="12"/>
      <c r="N46" s="12"/>
      <c r="O46" s="12"/>
      <c r="P46" s="12"/>
      <c r="Q46" s="12"/>
      <c r="R46" s="317" t="s">
        <v>145</v>
      </c>
      <c r="S46" s="318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152536.09</v>
      </c>
      <c r="C47" s="12"/>
      <c r="D47" s="286" t="s">
        <v>187</v>
      </c>
      <c r="E47" s="287">
        <f>K44*0.5</f>
        <v>76268.044999999998</v>
      </c>
      <c r="F47" s="24"/>
      <c r="G47" s="286" t="s">
        <v>185</v>
      </c>
      <c r="H47" s="287">
        <f>K44*0.5</f>
        <v>76268.044999999998</v>
      </c>
      <c r="I47" s="12"/>
      <c r="J47" s="282" t="s">
        <v>198</v>
      </c>
      <c r="K47" s="283">
        <v>49925.010000000017</v>
      </c>
      <c r="L47" s="12"/>
      <c r="M47" s="12"/>
      <c r="N47" s="12"/>
      <c r="O47" s="12"/>
      <c r="P47" s="12"/>
      <c r="Q47" s="12"/>
      <c r="R47" s="317" t="s">
        <v>148</v>
      </c>
      <c r="S47" s="318"/>
      <c r="T47" s="254">
        <f>$G$39</f>
        <v>0</v>
      </c>
      <c r="U47" s="256">
        <f>T47/40000</f>
        <v>0</v>
      </c>
    </row>
    <row r="48" spans="1:45" ht="24" thickBot="1" x14ac:dyDescent="0.3">
      <c r="A48" s="286" t="s">
        <v>186</v>
      </c>
      <c r="B48" s="287">
        <f>K47</f>
        <v>49925.010000000017</v>
      </c>
      <c r="C48" s="12"/>
      <c r="D48" s="286" t="s">
        <v>186</v>
      </c>
      <c r="E48" s="287">
        <f>K47*0.5</f>
        <v>24962.505000000008</v>
      </c>
      <c r="F48" s="23"/>
      <c r="G48" s="286" t="s">
        <v>186</v>
      </c>
      <c r="H48" s="287">
        <f>K47*0.5</f>
        <v>24962.505000000008</v>
      </c>
      <c r="I48" s="12"/>
      <c r="J48" s="12"/>
      <c r="K48" s="86"/>
      <c r="L48" s="12"/>
      <c r="M48" s="12"/>
      <c r="N48" s="12"/>
      <c r="O48" s="12"/>
      <c r="P48" s="12"/>
      <c r="Q48" s="12"/>
      <c r="R48" s="317" t="s">
        <v>150</v>
      </c>
      <c r="S48" s="318"/>
      <c r="T48" s="254">
        <f>$L$39</f>
        <v>0.12502689361572114</v>
      </c>
      <c r="U48" s="256">
        <f>T48*9.34*0.107</f>
        <v>0.12494937694167939</v>
      </c>
    </row>
    <row r="49" spans="1:25" ht="48" thickTop="1" thickBot="1" x14ac:dyDescent="0.3">
      <c r="A49" s="291" t="s">
        <v>194</v>
      </c>
      <c r="B49" s="292">
        <f>AF40</f>
        <v>327.55371180805895</v>
      </c>
      <c r="C49" s="12"/>
      <c r="D49" s="291" t="s">
        <v>195</v>
      </c>
      <c r="E49" s="292">
        <f>AH40</f>
        <v>0</v>
      </c>
      <c r="F49" s="23"/>
      <c r="G49" s="291" t="s">
        <v>196</v>
      </c>
      <c r="H49" s="292">
        <f>AG40</f>
        <v>323.21482675410374</v>
      </c>
      <c r="I49" s="12"/>
      <c r="J49" s="12"/>
      <c r="K49" s="86"/>
      <c r="L49" s="12"/>
      <c r="M49" s="12"/>
      <c r="N49" s="12"/>
      <c r="O49" s="12"/>
      <c r="P49" s="12"/>
      <c r="Q49" s="12"/>
      <c r="R49" s="317" t="s">
        <v>152</v>
      </c>
      <c r="S49" s="318"/>
      <c r="T49" s="254">
        <f>$E$39+$K$39</f>
        <v>846.70615244060821</v>
      </c>
      <c r="U49" s="256">
        <f>(T49*8.34*1.04)/45000</f>
        <v>0.16319978852908576</v>
      </c>
    </row>
    <row r="50" spans="1:25" ht="48" customHeight="1" thickTop="1" thickBot="1" x14ac:dyDescent="0.3">
      <c r="A50" s="291" t="s">
        <v>223</v>
      </c>
      <c r="B50" s="292">
        <f>SUM(E50+H50)</f>
        <v>349.90760928538168</v>
      </c>
      <c r="C50" s="12"/>
      <c r="D50" s="291" t="s">
        <v>224</v>
      </c>
      <c r="E50" s="292">
        <f>AE40</f>
        <v>6.106974193735125</v>
      </c>
      <c r="F50" s="23"/>
      <c r="G50" s="291" t="s">
        <v>225</v>
      </c>
      <c r="H50" s="292">
        <f>AD40</f>
        <v>343.80063509164654</v>
      </c>
      <c r="I50" s="12"/>
      <c r="J50" s="12"/>
      <c r="K50" s="86"/>
      <c r="L50" s="12"/>
      <c r="M50" s="12"/>
      <c r="N50" s="12"/>
      <c r="O50" s="12"/>
      <c r="P50" s="12"/>
      <c r="Q50" s="12"/>
      <c r="R50" s="317"/>
      <c r="S50" s="318"/>
      <c r="T50" s="254"/>
      <c r="U50" s="256"/>
    </row>
    <row r="51" spans="1:25" ht="48" thickTop="1" thickBot="1" x14ac:dyDescent="0.3">
      <c r="A51" s="291" t="s">
        <v>190</v>
      </c>
      <c r="B51" s="293">
        <f>(SUM(B44:B48)/B50)</f>
        <v>794.89664950963015</v>
      </c>
      <c r="C51" s="12"/>
      <c r="D51" s="291" t="s">
        <v>188</v>
      </c>
      <c r="E51" s="399">
        <f>SUM(E44:E48)/E50</f>
        <v>17950.198969333876</v>
      </c>
      <c r="F51" s="23"/>
      <c r="G51" s="291" t="s">
        <v>189</v>
      </c>
      <c r="H51" s="399">
        <f>SUM(H44:H48)/H50</f>
        <v>488.83407719620982</v>
      </c>
      <c r="I51" s="12"/>
      <c r="J51" s="12"/>
      <c r="K51" s="86"/>
      <c r="L51" s="12"/>
      <c r="M51" s="12"/>
      <c r="N51" s="12"/>
      <c r="O51" s="12"/>
      <c r="P51" s="12"/>
      <c r="Q51" s="12"/>
      <c r="R51" s="317" t="s">
        <v>153</v>
      </c>
      <c r="S51" s="318"/>
      <c r="T51" s="254">
        <f>$U$39+$V$39+$AB$39</f>
        <v>10267.93343117503</v>
      </c>
      <c r="U51" s="256">
        <f>T51/2000/8</f>
        <v>0.64174583944843933</v>
      </c>
    </row>
    <row r="52" spans="1:25" ht="48" thickTop="1" thickBot="1" x14ac:dyDescent="0.3">
      <c r="A52" s="281" t="s">
        <v>191</v>
      </c>
      <c r="B52" s="294">
        <f>B51/1000</f>
        <v>0.79489664950963013</v>
      </c>
      <c r="C52" s="12"/>
      <c r="D52" s="281" t="s">
        <v>192</v>
      </c>
      <c r="E52" s="294">
        <f>E51/1000</f>
        <v>17.950198969333876</v>
      </c>
      <c r="F52" s="12"/>
      <c r="G52" s="281" t="s">
        <v>193</v>
      </c>
      <c r="H52" s="294">
        <f>H51/1000</f>
        <v>0.4888340771962098</v>
      </c>
      <c r="I52" s="373">
        <f>H44/H50</f>
        <v>139.3929088550845</v>
      </c>
      <c r="J52" s="12"/>
      <c r="K52" s="86"/>
      <c r="L52" s="12"/>
      <c r="M52" s="12"/>
      <c r="N52" s="12"/>
      <c r="O52" s="12"/>
      <c r="P52" s="12"/>
      <c r="Q52" s="12"/>
      <c r="R52" s="317" t="s">
        <v>154</v>
      </c>
      <c r="S52" s="318"/>
      <c r="T52" s="254">
        <f>$C$39+$J$39+$S$39+$T$39</f>
        <v>13983.490519968673</v>
      </c>
      <c r="U52" s="256">
        <f>(T52*8.34*1.4)/45000</f>
        <v>3.6282496735812049</v>
      </c>
    </row>
    <row r="53" spans="1:25" ht="16.5" thickTop="1" thickBot="1" x14ac:dyDescent="0.3">
      <c r="A53" s="302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7" t="s">
        <v>155</v>
      </c>
      <c r="S53" s="318"/>
      <c r="T53" s="254">
        <f>$H$39</f>
        <v>0</v>
      </c>
      <c r="U53" s="256">
        <f>(T53*8.34*1.135)/45000</f>
        <v>0</v>
      </c>
    </row>
    <row r="54" spans="1:25" ht="33" thickTop="1" thickBot="1" x14ac:dyDescent="0.3">
      <c r="A54" s="618" t="s">
        <v>51</v>
      </c>
      <c r="B54" s="619"/>
      <c r="C54" s="619"/>
      <c r="D54" s="619"/>
      <c r="E54" s="62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7" t="s">
        <v>156</v>
      </c>
      <c r="S54" s="318"/>
      <c r="T54" s="254">
        <f>$B$39+$I$39+$AC$39</f>
        <v>6350.7540725310664</v>
      </c>
      <c r="U54" s="256">
        <f>(T54*8.34*1.029*0.03)/3300</f>
        <v>0.49546620313537681</v>
      </c>
    </row>
    <row r="55" spans="1:25" ht="66.75" customHeight="1" thickBot="1" x14ac:dyDescent="0.3">
      <c r="A55" s="623" t="s">
        <v>200</v>
      </c>
      <c r="B55" s="624"/>
      <c r="C55" s="624"/>
      <c r="D55" s="624"/>
      <c r="E55" s="62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1" t="s">
        <v>158</v>
      </c>
      <c r="S55" s="632"/>
      <c r="T55" s="258">
        <f>$D$39+$Y$39+$Z$39</f>
        <v>4982.5934168179811</v>
      </c>
      <c r="U55" s="259">
        <f>(T55*1.54*8.34)/45000</f>
        <v>1.4220985957387426</v>
      </c>
      <c r="V55" s="325"/>
      <c r="W55" s="12"/>
    </row>
    <row r="56" spans="1:25" ht="15.75" thickTop="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2"/>
      <c r="T56" s="667"/>
      <c r="U56" s="667"/>
      <c r="V56" s="323"/>
      <c r="W56" s="324"/>
      <c r="X56" s="322"/>
      <c r="Y56" s="322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2"/>
      <c r="T57" s="667"/>
      <c r="U57" s="667"/>
      <c r="V57" s="323"/>
      <c r="W57" s="324"/>
      <c r="X57" s="322"/>
      <c r="Y57" s="322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2"/>
      <c r="T58" s="667"/>
      <c r="U58" s="667"/>
      <c r="V58" s="323"/>
      <c r="W58" s="324"/>
      <c r="X58" s="322"/>
      <c r="Y58" s="322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2"/>
      <c r="T59" s="667"/>
      <c r="U59" s="667"/>
      <c r="V59" s="323"/>
      <c r="W59" s="324"/>
      <c r="X59" s="322"/>
      <c r="Y59" s="322"/>
    </row>
    <row r="60" spans="1:25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322"/>
      <c r="T60" s="667"/>
      <c r="U60" s="667"/>
      <c r="V60" s="323"/>
      <c r="W60" s="324"/>
      <c r="X60" s="322"/>
      <c r="Y60" s="322"/>
    </row>
    <row r="61" spans="1:25" x14ac:dyDescent="0.25">
      <c r="S61" s="322"/>
      <c r="T61" s="667"/>
      <c r="U61" s="667"/>
      <c r="V61" s="323"/>
      <c r="W61" s="324"/>
      <c r="X61" s="322"/>
      <c r="Y61" s="328"/>
    </row>
    <row r="62" spans="1:25" x14ac:dyDescent="0.25">
      <c r="S62" s="322"/>
      <c r="T62" s="667"/>
      <c r="U62" s="667"/>
      <c r="V62" s="323"/>
      <c r="W62" s="324"/>
      <c r="X62" s="322"/>
      <c r="Y62" s="328"/>
    </row>
    <row r="63" spans="1:25" x14ac:dyDescent="0.25">
      <c r="S63" s="322"/>
      <c r="T63" s="667"/>
      <c r="U63" s="667"/>
      <c r="V63" s="323"/>
      <c r="W63" s="324"/>
      <c r="X63" s="322"/>
      <c r="Y63" s="328"/>
    </row>
    <row r="64" spans="1:25" x14ac:dyDescent="0.25">
      <c r="S64" s="322"/>
      <c r="T64" s="322"/>
      <c r="U64" s="322"/>
      <c r="V64" s="322"/>
      <c r="W64" s="322"/>
      <c r="X64" s="322"/>
      <c r="Y64" s="328"/>
    </row>
    <row r="65" spans="19:25" x14ac:dyDescent="0.25">
      <c r="S65" s="322"/>
      <c r="T65" s="322"/>
      <c r="U65" s="322"/>
      <c r="V65" s="322"/>
      <c r="W65" s="322"/>
      <c r="X65" s="322"/>
      <c r="Y65" s="328"/>
    </row>
    <row r="66" spans="19:25" x14ac:dyDescent="0.25">
      <c r="S66" s="12"/>
      <c r="T66" s="12"/>
      <c r="U66" s="12"/>
      <c r="V66" s="12"/>
      <c r="W66" s="12"/>
      <c r="X66" s="12"/>
    </row>
    <row r="67" spans="19:25" x14ac:dyDescent="0.25">
      <c r="S67" s="12"/>
      <c r="T67" s="12"/>
      <c r="U67" s="12"/>
      <c r="V67" s="12"/>
      <c r="W67" s="12"/>
      <c r="X67" s="12"/>
    </row>
    <row r="68" spans="19:25" x14ac:dyDescent="0.25">
      <c r="S68" s="12"/>
      <c r="T68" s="12"/>
      <c r="U68" s="12"/>
      <c r="V68" s="12"/>
      <c r="W68" s="12"/>
      <c r="X68" s="12"/>
    </row>
    <row r="69" spans="19:25" x14ac:dyDescent="0.25">
      <c r="S69" s="12"/>
      <c r="T69" s="12"/>
      <c r="U69" s="12"/>
      <c r="V69" s="12"/>
      <c r="W69" s="12"/>
      <c r="X69" s="12"/>
    </row>
    <row r="70" spans="19:25" x14ac:dyDescent="0.25">
      <c r="S70" s="12"/>
      <c r="T70" s="12"/>
      <c r="U70" s="12"/>
      <c r="V70" s="12"/>
      <c r="W70" s="12"/>
      <c r="X70" s="12"/>
    </row>
  </sheetData>
  <sheetProtection algorithmName="SHA-512" hashValue="I41A0ImERCf+iJOXKKvxds4QDrGIdhIPCBPV1D/lQ6nc1ZNmjCwRHqKV7d/i1NkR+9BXzOvJVt5uzaD9UdW5wg==" saltValue="2hRf/okc6F2hoIDKBLbJ6g==" spinCount="100000" sheet="1" selectLockedCells="1" selectUnlockedCells="1"/>
  <mergeCells count="40">
    <mergeCell ref="AQ4:AQ5"/>
    <mergeCell ref="AR4:AR5"/>
    <mergeCell ref="AS4:AS5"/>
    <mergeCell ref="U4:AA5"/>
    <mergeCell ref="AB4:AB5"/>
    <mergeCell ref="AC4:AC5"/>
    <mergeCell ref="AI4:AI5"/>
    <mergeCell ref="AO4:AO5"/>
    <mergeCell ref="AJ4:AJ5"/>
    <mergeCell ref="AK4:AK5"/>
    <mergeCell ref="AL4:AL5"/>
    <mergeCell ref="AM4:AM5"/>
    <mergeCell ref="AP4:AP5"/>
    <mergeCell ref="AN4:AN5"/>
    <mergeCell ref="AD4:AD5"/>
    <mergeCell ref="AE4:AE5"/>
    <mergeCell ref="T62:U62"/>
    <mergeCell ref="T63:U63"/>
    <mergeCell ref="T57:U57"/>
    <mergeCell ref="T58:U58"/>
    <mergeCell ref="T59:U59"/>
    <mergeCell ref="T60:U60"/>
    <mergeCell ref="T61:U61"/>
    <mergeCell ref="T56:U56"/>
    <mergeCell ref="AF4:AF5"/>
    <mergeCell ref="AG4:AG5"/>
    <mergeCell ref="AH4:AH5"/>
    <mergeCell ref="O4:T5"/>
    <mergeCell ref="J46:K46"/>
    <mergeCell ref="A54:E54"/>
    <mergeCell ref="A55:E55"/>
    <mergeCell ref="R55:S55"/>
    <mergeCell ref="A43:B43"/>
    <mergeCell ref="D43:E43"/>
    <mergeCell ref="G43:H43"/>
    <mergeCell ref="B4:H5"/>
    <mergeCell ref="I4:N5"/>
    <mergeCell ref="A42:K42"/>
    <mergeCell ref="J43:K43"/>
    <mergeCell ref="R43:U43"/>
  </mergeCells>
  <pageMargins left="0.33" right="0.19" top="0.75" bottom="0.75" header="0.3" footer="0.3"/>
  <pageSetup scale="56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BC66"/>
  <sheetViews>
    <sheetView topLeftCell="D43" zoomScale="80" zoomScaleNormal="80" workbookViewId="0">
      <selection activeCell="F52" sqref="F52"/>
    </sheetView>
  </sheetViews>
  <sheetFormatPr defaultRowHeight="15" x14ac:dyDescent="0.25"/>
  <cols>
    <col min="1" max="1" width="38.85546875" customWidth="1"/>
    <col min="2" max="2" width="19.8554687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9.5703125" bestFit="1" customWidth="1"/>
    <col min="9" max="9" width="15" bestFit="1" customWidth="1"/>
    <col min="10" max="10" width="16.42578125" bestFit="1" customWidth="1"/>
    <col min="11" max="11" width="19.8554687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55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55" ht="15" customHeight="1" x14ac:dyDescent="0.25">
      <c r="A2" s="1" t="s">
        <v>2</v>
      </c>
      <c r="B2" s="5"/>
      <c r="O2" s="4"/>
      <c r="P2" s="4"/>
      <c r="Q2" s="4"/>
      <c r="R2" s="4"/>
    </row>
    <row r="3" spans="1:55" ht="15.75" thickBot="1" x14ac:dyDescent="0.3">
      <c r="A3" s="6"/>
      <c r="BB3" t="s">
        <v>169</v>
      </c>
      <c r="BC3" s="260" t="s">
        <v>206</v>
      </c>
    </row>
    <row r="4" spans="1:55" ht="30" customHeight="1" thickTop="1" x14ac:dyDescent="0.25">
      <c r="A4" s="13"/>
      <c r="B4" s="637" t="s">
        <v>3</v>
      </c>
      <c r="C4" s="638"/>
      <c r="D4" s="638"/>
      <c r="E4" s="638"/>
      <c r="F4" s="638"/>
      <c r="G4" s="638"/>
      <c r="H4" s="639"/>
      <c r="I4" s="637" t="s">
        <v>4</v>
      </c>
      <c r="J4" s="638"/>
      <c r="K4" s="638"/>
      <c r="L4" s="638"/>
      <c r="M4" s="638"/>
      <c r="N4" s="639"/>
      <c r="O4" s="643" t="s">
        <v>5</v>
      </c>
      <c r="P4" s="644"/>
      <c r="Q4" s="645"/>
      <c r="R4" s="645"/>
      <c r="S4" s="645"/>
      <c r="T4" s="646"/>
      <c r="U4" s="637" t="s">
        <v>6</v>
      </c>
      <c r="V4" s="650"/>
      <c r="W4" s="650"/>
      <c r="X4" s="650"/>
      <c r="Y4" s="650"/>
      <c r="Z4" s="650"/>
      <c r="AA4" s="651"/>
      <c r="AB4" s="655" t="s">
        <v>7</v>
      </c>
      <c r="AC4" s="657" t="s">
        <v>8</v>
      </c>
      <c r="AD4" s="621" t="s">
        <v>222</v>
      </c>
      <c r="AE4" s="621" t="s">
        <v>221</v>
      </c>
      <c r="AF4" s="621" t="s">
        <v>27</v>
      </c>
      <c r="AG4" s="621" t="s">
        <v>31</v>
      </c>
      <c r="AH4" s="621" t="s">
        <v>32</v>
      </c>
      <c r="AI4" s="621" t="s">
        <v>33</v>
      </c>
      <c r="AJ4" s="655" t="s">
        <v>173</v>
      </c>
      <c r="AK4" s="655" t="s">
        <v>174</v>
      </c>
      <c r="AL4" s="655" t="s">
        <v>175</v>
      </c>
      <c r="AM4" s="655" t="s">
        <v>176</v>
      </c>
      <c r="AN4" s="655" t="s">
        <v>177</v>
      </c>
      <c r="AO4" s="655" t="s">
        <v>178</v>
      </c>
      <c r="AP4" s="655" t="s">
        <v>179</v>
      </c>
      <c r="AQ4" s="655" t="s">
        <v>182</v>
      </c>
      <c r="AR4" s="655" t="s">
        <v>180</v>
      </c>
      <c r="AS4" s="655" t="s">
        <v>181</v>
      </c>
    </row>
    <row r="5" spans="1:55" ht="30" customHeight="1" thickBot="1" x14ac:dyDescent="0.3">
      <c r="A5" s="13"/>
      <c r="B5" s="640"/>
      <c r="C5" s="641"/>
      <c r="D5" s="641"/>
      <c r="E5" s="641"/>
      <c r="F5" s="641"/>
      <c r="G5" s="641"/>
      <c r="H5" s="642"/>
      <c r="I5" s="640"/>
      <c r="J5" s="641"/>
      <c r="K5" s="641"/>
      <c r="L5" s="641"/>
      <c r="M5" s="641"/>
      <c r="N5" s="642"/>
      <c r="O5" s="647"/>
      <c r="P5" s="648"/>
      <c r="Q5" s="648"/>
      <c r="R5" s="648"/>
      <c r="S5" s="648"/>
      <c r="T5" s="649"/>
      <c r="U5" s="652"/>
      <c r="V5" s="653"/>
      <c r="W5" s="653"/>
      <c r="X5" s="653"/>
      <c r="Y5" s="653"/>
      <c r="Z5" s="653"/>
      <c r="AA5" s="654"/>
      <c r="AB5" s="656"/>
      <c r="AC5" s="658"/>
      <c r="AD5" s="622"/>
      <c r="AE5" s="622"/>
      <c r="AF5" s="636"/>
      <c r="AG5" s="636"/>
      <c r="AH5" s="636"/>
      <c r="AI5" s="636"/>
      <c r="AJ5" s="622"/>
      <c r="AK5" s="622"/>
      <c r="AL5" s="622"/>
      <c r="AM5" s="622"/>
      <c r="AN5" s="622"/>
      <c r="AO5" s="622"/>
      <c r="AP5" s="622"/>
      <c r="AQ5" s="622"/>
      <c r="AR5" s="622"/>
      <c r="AS5" s="622"/>
    </row>
    <row r="6" spans="1:55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55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2" t="s">
        <v>23</v>
      </c>
      <c r="AD7" s="398" t="s">
        <v>28</v>
      </c>
      <c r="AE7" s="398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55" s="371" customFormat="1" ht="15" customHeight="1" x14ac:dyDescent="0.25">
      <c r="A8" s="445">
        <v>43800</v>
      </c>
      <c r="B8" s="365"/>
      <c r="C8" s="366">
        <v>0</v>
      </c>
      <c r="D8" s="366">
        <v>0</v>
      </c>
      <c r="E8" s="366">
        <v>0</v>
      </c>
      <c r="F8" s="366">
        <v>0</v>
      </c>
      <c r="G8" s="366">
        <v>0</v>
      </c>
      <c r="H8" s="367">
        <v>0</v>
      </c>
      <c r="I8" s="365">
        <v>196.29911306699128</v>
      </c>
      <c r="J8" s="366">
        <v>424.26462427775078</v>
      </c>
      <c r="K8" s="366">
        <v>25.327427428960846</v>
      </c>
      <c r="L8" s="368">
        <v>0</v>
      </c>
      <c r="M8" s="366">
        <v>0</v>
      </c>
      <c r="N8" s="367">
        <v>0</v>
      </c>
      <c r="O8" s="365">
        <v>0</v>
      </c>
      <c r="P8" s="366">
        <v>0</v>
      </c>
      <c r="Q8" s="366">
        <v>0</v>
      </c>
      <c r="R8" s="366">
        <v>0</v>
      </c>
      <c r="S8" s="366">
        <v>0</v>
      </c>
      <c r="T8" s="367">
        <v>0</v>
      </c>
      <c r="U8" s="365">
        <v>261.98810022142089</v>
      </c>
      <c r="V8" s="366">
        <v>0</v>
      </c>
      <c r="W8" s="366">
        <v>37.243275547027586</v>
      </c>
      <c r="X8" s="366">
        <v>0</v>
      </c>
      <c r="Y8" s="366">
        <v>149.72276449998225</v>
      </c>
      <c r="Z8" s="366">
        <v>0</v>
      </c>
      <c r="AA8" s="367">
        <v>0</v>
      </c>
      <c r="AB8" s="369">
        <v>46.543121041192087</v>
      </c>
      <c r="AC8" s="370">
        <v>0</v>
      </c>
      <c r="AD8" s="409">
        <v>10.430622245494016</v>
      </c>
      <c r="AE8" s="409">
        <v>0</v>
      </c>
      <c r="AF8" s="370">
        <v>9.6993253827094978</v>
      </c>
      <c r="AG8" s="370">
        <v>9.5352515230062327</v>
      </c>
      <c r="AH8" s="370">
        <v>0</v>
      </c>
      <c r="AI8" s="370">
        <v>1</v>
      </c>
      <c r="AJ8" s="370">
        <v>257.45642801920576</v>
      </c>
      <c r="AK8" s="370">
        <v>597.07729609807325</v>
      </c>
      <c r="AL8" s="370">
        <v>973.0247261683146</v>
      </c>
      <c r="AM8" s="370">
        <v>546.12995910644531</v>
      </c>
      <c r="AN8" s="370">
        <v>1807.8726196289063</v>
      </c>
      <c r="AO8" s="370">
        <v>1839.4429100036623</v>
      </c>
      <c r="AP8" s="370">
        <v>1082.9429812749229</v>
      </c>
      <c r="AQ8" s="370">
        <v>1929.6065329233807</v>
      </c>
      <c r="AR8" s="370">
        <v>449.96884743372601</v>
      </c>
      <c r="AS8" s="370">
        <v>537.66115964253743</v>
      </c>
    </row>
    <row r="9" spans="1:55" x14ac:dyDescent="0.25">
      <c r="A9" s="446">
        <v>43801</v>
      </c>
      <c r="B9" s="59"/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1">
        <v>0</v>
      </c>
      <c r="I9" s="59">
        <v>196.08941109180446</v>
      </c>
      <c r="J9" s="60">
        <v>424.15380353927679</v>
      </c>
      <c r="K9" s="60">
        <v>25.317657222350437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0">
        <v>0</v>
      </c>
      <c r="R9" s="63">
        <v>0</v>
      </c>
      <c r="S9" s="60">
        <v>0</v>
      </c>
      <c r="T9" s="64">
        <v>0</v>
      </c>
      <c r="U9" s="65">
        <v>275.18595513237716</v>
      </c>
      <c r="V9" s="62">
        <v>0</v>
      </c>
      <c r="W9" s="62">
        <v>39.848054122924765</v>
      </c>
      <c r="X9" s="62">
        <v>0</v>
      </c>
      <c r="Y9" s="66">
        <v>158.33457767963424</v>
      </c>
      <c r="Z9" s="66">
        <v>0</v>
      </c>
      <c r="AA9" s="67">
        <v>0</v>
      </c>
      <c r="AB9" s="68">
        <v>46.483988224136453</v>
      </c>
      <c r="AC9" s="69">
        <v>0</v>
      </c>
      <c r="AD9" s="409">
        <v>10.427145866691982</v>
      </c>
      <c r="AE9" s="409">
        <v>0</v>
      </c>
      <c r="AF9" s="69">
        <v>10.229548522498879</v>
      </c>
      <c r="AG9" s="68">
        <v>10.000301062536204</v>
      </c>
      <c r="AH9" s="68">
        <v>0</v>
      </c>
      <c r="AI9" s="68">
        <v>1</v>
      </c>
      <c r="AJ9" s="69">
        <v>241.86617739200591</v>
      </c>
      <c r="AK9" s="69">
        <v>561.16339710553484</v>
      </c>
      <c r="AL9" s="69">
        <v>964.04480571746831</v>
      </c>
      <c r="AM9" s="69">
        <v>520.90516726175952</v>
      </c>
      <c r="AN9" s="69">
        <v>1557.8719513575236</v>
      </c>
      <c r="AO9" s="69">
        <v>1730.7116879781088</v>
      </c>
      <c r="AP9" s="69">
        <v>993.81013329823804</v>
      </c>
      <c r="AQ9" s="69">
        <v>1946.9580533345543</v>
      </c>
      <c r="AR9" s="69">
        <v>429.89006703694662</v>
      </c>
      <c r="AS9" s="69">
        <v>611.90128873189281</v>
      </c>
    </row>
    <row r="10" spans="1:55" x14ac:dyDescent="0.25">
      <c r="A10" s="446">
        <v>43802</v>
      </c>
      <c r="B10" s="59"/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1">
        <v>0</v>
      </c>
      <c r="I10" s="59">
        <v>196.12999161879259</v>
      </c>
      <c r="J10" s="60">
        <v>424.16921402613332</v>
      </c>
      <c r="K10" s="60">
        <v>25.520787994066936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268.98333315319587</v>
      </c>
      <c r="V10" s="62">
        <v>0</v>
      </c>
      <c r="W10" s="62">
        <v>38.346439019838961</v>
      </c>
      <c r="X10" s="62">
        <v>0</v>
      </c>
      <c r="Y10" s="66">
        <v>154.37179564634943</v>
      </c>
      <c r="Z10" s="66">
        <v>0</v>
      </c>
      <c r="AA10" s="67">
        <v>0</v>
      </c>
      <c r="AB10" s="68">
        <v>46.465724465582646</v>
      </c>
      <c r="AC10" s="69">
        <v>0</v>
      </c>
      <c r="AD10" s="409">
        <v>10.42629009881456</v>
      </c>
      <c r="AE10" s="409">
        <v>0</v>
      </c>
      <c r="AF10" s="69">
        <v>9.980751435624228</v>
      </c>
      <c r="AG10" s="68">
        <v>9.7416052441261378</v>
      </c>
      <c r="AH10" s="68">
        <v>0</v>
      </c>
      <c r="AI10" s="68">
        <v>1</v>
      </c>
      <c r="AJ10" s="69">
        <v>238.15229182243348</v>
      </c>
      <c r="AK10" s="69">
        <v>540.5388489246368</v>
      </c>
      <c r="AL10" s="69">
        <v>918.85681896209712</v>
      </c>
      <c r="AM10" s="69">
        <v>482.84825134277344</v>
      </c>
      <c r="AN10" s="69">
        <v>1180.6308288574219</v>
      </c>
      <c r="AO10" s="69">
        <v>1656.4105836232504</v>
      </c>
      <c r="AP10" s="69">
        <v>592.21702133814506</v>
      </c>
      <c r="AQ10" s="69">
        <v>1928.6765819549562</v>
      </c>
      <c r="AR10" s="69">
        <v>438.17190392812097</v>
      </c>
      <c r="AS10" s="69">
        <v>623.25314947764093</v>
      </c>
    </row>
    <row r="11" spans="1:55" x14ac:dyDescent="0.25">
      <c r="A11" s="446">
        <v>43803</v>
      </c>
      <c r="B11" s="59"/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1">
        <v>0</v>
      </c>
      <c r="I11" s="59">
        <v>188.35894742012053</v>
      </c>
      <c r="J11" s="60">
        <v>423.74398514429714</v>
      </c>
      <c r="K11" s="60">
        <v>25.548538295428035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279.02037529415793</v>
      </c>
      <c r="V11" s="62">
        <v>0</v>
      </c>
      <c r="W11" s="62">
        <v>39.839952488740252</v>
      </c>
      <c r="X11" s="62">
        <v>0</v>
      </c>
      <c r="Y11" s="66">
        <v>157.27434775829281</v>
      </c>
      <c r="Z11" s="66">
        <v>0</v>
      </c>
      <c r="AA11" s="67">
        <v>0</v>
      </c>
      <c r="AB11" s="68">
        <v>46.469627888998005</v>
      </c>
      <c r="AC11" s="69">
        <v>0</v>
      </c>
      <c r="AD11" s="409">
        <v>10.418851851212322</v>
      </c>
      <c r="AE11" s="409">
        <v>0</v>
      </c>
      <c r="AF11" s="69">
        <v>10.222242005003803</v>
      </c>
      <c r="AG11" s="68">
        <v>10.000301706924532</v>
      </c>
      <c r="AH11" s="68">
        <v>0</v>
      </c>
      <c r="AI11" s="68">
        <v>1</v>
      </c>
      <c r="AJ11" s="69">
        <v>235.71101448535924</v>
      </c>
      <c r="AK11" s="69">
        <v>536.81136391957614</v>
      </c>
      <c r="AL11" s="69">
        <v>940.73057867685952</v>
      </c>
      <c r="AM11" s="69">
        <v>482.84825134277344</v>
      </c>
      <c r="AN11" s="69">
        <v>1180.6308288574219</v>
      </c>
      <c r="AO11" s="69">
        <v>1649.3622359593708</v>
      </c>
      <c r="AP11" s="69">
        <v>590.69474201202388</v>
      </c>
      <c r="AQ11" s="69">
        <v>1926.1076213836677</v>
      </c>
      <c r="AR11" s="69">
        <v>345.75864874521892</v>
      </c>
      <c r="AS11" s="69">
        <v>663.02829701105748</v>
      </c>
    </row>
    <row r="12" spans="1:55" x14ac:dyDescent="0.25">
      <c r="A12" s="446">
        <v>43804</v>
      </c>
      <c r="B12" s="59"/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1">
        <v>0</v>
      </c>
      <c r="I12" s="59">
        <v>192.33145078818026</v>
      </c>
      <c r="J12" s="60">
        <v>423.76547339757326</v>
      </c>
      <c r="K12" s="60">
        <v>25.545577645301847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276.28829916847991</v>
      </c>
      <c r="V12" s="62">
        <v>0</v>
      </c>
      <c r="W12" s="62">
        <v>39.69686570167547</v>
      </c>
      <c r="X12" s="62">
        <v>0</v>
      </c>
      <c r="Y12" s="66">
        <v>158.6668328523638</v>
      </c>
      <c r="Z12" s="66">
        <v>0</v>
      </c>
      <c r="AA12" s="67">
        <v>0</v>
      </c>
      <c r="AB12" s="68">
        <v>46.468334494697402</v>
      </c>
      <c r="AC12" s="69">
        <v>0</v>
      </c>
      <c r="AD12" s="409">
        <v>10.419837527846459</v>
      </c>
      <c r="AE12" s="409">
        <v>0</v>
      </c>
      <c r="AF12" s="69">
        <v>10.089835203687358</v>
      </c>
      <c r="AG12" s="68">
        <v>9.868795755842541</v>
      </c>
      <c r="AH12" s="68">
        <v>0</v>
      </c>
      <c r="AI12" s="68">
        <v>1</v>
      </c>
      <c r="AJ12" s="69">
        <v>251.59124660491941</v>
      </c>
      <c r="AK12" s="69">
        <v>596.09854167302456</v>
      </c>
      <c r="AL12" s="69">
        <v>1475.8628241856895</v>
      </c>
      <c r="AM12" s="69">
        <v>482.84825134277344</v>
      </c>
      <c r="AN12" s="69">
        <v>1180.6308288574219</v>
      </c>
      <c r="AO12" s="69">
        <v>1698.7271230061849</v>
      </c>
      <c r="AP12" s="69">
        <v>611.81215594609591</v>
      </c>
      <c r="AQ12" s="69">
        <v>1929.0678185145059</v>
      </c>
      <c r="AR12" s="69">
        <v>341.50816885630292</v>
      </c>
      <c r="AS12" s="69">
        <v>573.88324820200603</v>
      </c>
    </row>
    <row r="13" spans="1:55" x14ac:dyDescent="0.25">
      <c r="A13" s="446">
        <v>43805</v>
      </c>
      <c r="B13" s="59"/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1">
        <v>0</v>
      </c>
      <c r="I13" s="59">
        <v>192.68048380215961</v>
      </c>
      <c r="J13" s="60">
        <v>424.46375675201421</v>
      </c>
      <c r="K13" s="60">
        <v>25.508700841665277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271.64325206544885</v>
      </c>
      <c r="V13" s="62">
        <v>0</v>
      </c>
      <c r="W13" s="62">
        <v>39.060414286454538</v>
      </c>
      <c r="X13" s="62">
        <v>0</v>
      </c>
      <c r="Y13" s="66">
        <v>157.4233564615248</v>
      </c>
      <c r="Z13" s="66">
        <v>0</v>
      </c>
      <c r="AA13" s="67">
        <v>0</v>
      </c>
      <c r="AB13" s="68">
        <v>46.467501982053712</v>
      </c>
      <c r="AC13" s="69">
        <v>0</v>
      </c>
      <c r="AD13" s="409">
        <v>10.435473566463559</v>
      </c>
      <c r="AE13" s="409">
        <v>0</v>
      </c>
      <c r="AF13" s="69">
        <v>9.9143661714262574</v>
      </c>
      <c r="AG13" s="68">
        <v>9.6760260780684</v>
      </c>
      <c r="AH13" s="68">
        <v>0</v>
      </c>
      <c r="AI13" s="68">
        <v>1</v>
      </c>
      <c r="AJ13" s="69">
        <v>259.91094341278074</v>
      </c>
      <c r="AK13" s="69">
        <v>582.67494300206511</v>
      </c>
      <c r="AL13" s="69">
        <v>2810.0712928771973</v>
      </c>
      <c r="AM13" s="69">
        <v>482.84825134277344</v>
      </c>
      <c r="AN13" s="69">
        <v>1180.6308288574219</v>
      </c>
      <c r="AO13" s="69">
        <v>1701.0235734303792</v>
      </c>
      <c r="AP13" s="69">
        <v>615.75041166941321</v>
      </c>
      <c r="AQ13" s="69">
        <v>1953.484676742554</v>
      </c>
      <c r="AR13" s="69">
        <v>348.47503757476807</v>
      </c>
      <c r="AS13" s="69">
        <v>593.64621260960894</v>
      </c>
    </row>
    <row r="14" spans="1:55" x14ac:dyDescent="0.25">
      <c r="A14" s="446">
        <v>43806</v>
      </c>
      <c r="B14" s="59"/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1">
        <v>0</v>
      </c>
      <c r="I14" s="59">
        <v>193.97996644973767</v>
      </c>
      <c r="J14" s="60">
        <v>427.56234601338724</v>
      </c>
      <c r="K14" s="60">
        <v>25.595843465129551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275.05760245853179</v>
      </c>
      <c r="V14" s="62">
        <v>0</v>
      </c>
      <c r="W14" s="62">
        <v>39.047700866063416</v>
      </c>
      <c r="X14" s="62">
        <v>0</v>
      </c>
      <c r="Y14" s="66">
        <v>160.56298119227117</v>
      </c>
      <c r="Z14" s="66">
        <v>0</v>
      </c>
      <c r="AA14" s="67">
        <v>0</v>
      </c>
      <c r="AB14" s="68">
        <v>47.161695358488579</v>
      </c>
      <c r="AC14" s="69">
        <v>0</v>
      </c>
      <c r="AD14" s="409">
        <v>10.508887745522914</v>
      </c>
      <c r="AE14" s="409">
        <v>0</v>
      </c>
      <c r="AF14" s="69">
        <v>10.081311557359157</v>
      </c>
      <c r="AG14" s="68">
        <v>9.8347595658469036</v>
      </c>
      <c r="AH14" s="68">
        <v>0</v>
      </c>
      <c r="AI14" s="68">
        <v>1</v>
      </c>
      <c r="AJ14" s="69">
        <v>245.304608519872</v>
      </c>
      <c r="AK14" s="69">
        <v>560.16701679229732</v>
      </c>
      <c r="AL14" s="69">
        <v>2774.8877044677733</v>
      </c>
      <c r="AM14" s="69">
        <v>482.84825134277344</v>
      </c>
      <c r="AN14" s="69">
        <v>1180.6308288574219</v>
      </c>
      <c r="AO14" s="69">
        <v>1607.2203409194944</v>
      </c>
      <c r="AP14" s="69">
        <v>589.01203425725305</v>
      </c>
      <c r="AQ14" s="69">
        <v>1920.752689361572</v>
      </c>
      <c r="AR14" s="69">
        <v>346.47926171620685</v>
      </c>
      <c r="AS14" s="69">
        <v>649.99421542485561</v>
      </c>
    </row>
    <row r="15" spans="1:55" x14ac:dyDescent="0.25">
      <c r="A15" s="446">
        <v>43807</v>
      </c>
      <c r="B15" s="59"/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1">
        <v>0</v>
      </c>
      <c r="I15" s="59">
        <v>192.51649513244621</v>
      </c>
      <c r="J15" s="60">
        <v>424.35503266652438</v>
      </c>
      <c r="K15" s="60">
        <v>25.319893759489126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273.14928641849349</v>
      </c>
      <c r="V15" s="62">
        <v>0</v>
      </c>
      <c r="W15" s="62">
        <v>38.207695821921007</v>
      </c>
      <c r="X15" s="62">
        <v>0</v>
      </c>
      <c r="Y15" s="66">
        <v>158.18084405263264</v>
      </c>
      <c r="Z15" s="66">
        <v>0</v>
      </c>
      <c r="AA15" s="67">
        <v>0</v>
      </c>
      <c r="AB15" s="68">
        <v>46.977884999910899</v>
      </c>
      <c r="AC15" s="69">
        <v>0</v>
      </c>
      <c r="AD15" s="409">
        <v>10.431037642791569</v>
      </c>
      <c r="AE15" s="409">
        <v>0</v>
      </c>
      <c r="AF15" s="69">
        <v>9.9710252814822606</v>
      </c>
      <c r="AG15" s="68">
        <v>9.7351839177153376</v>
      </c>
      <c r="AH15" s="68">
        <v>0</v>
      </c>
      <c r="AI15" s="68">
        <v>1</v>
      </c>
      <c r="AJ15" s="69">
        <v>246.01477867762245</v>
      </c>
      <c r="AK15" s="69">
        <v>561.28467357953389</v>
      </c>
      <c r="AL15" s="69">
        <v>2749.794751485189</v>
      </c>
      <c r="AM15" s="69">
        <v>482.84825134277344</v>
      </c>
      <c r="AN15" s="69">
        <v>1180.6308288574219</v>
      </c>
      <c r="AO15" s="69">
        <v>1633.1408524831136</v>
      </c>
      <c r="AP15" s="69">
        <v>580.68956104914355</v>
      </c>
      <c r="AQ15" s="69">
        <v>1907.855296071371</v>
      </c>
      <c r="AR15" s="69">
        <v>347.73020896911623</v>
      </c>
      <c r="AS15" s="69">
        <v>630.3244113286338</v>
      </c>
    </row>
    <row r="16" spans="1:55" x14ac:dyDescent="0.25">
      <c r="A16" s="446">
        <v>43808</v>
      </c>
      <c r="B16" s="49"/>
      <c r="C16" s="50">
        <v>41.49094365437832</v>
      </c>
      <c r="D16" s="50">
        <v>473.99310088157614</v>
      </c>
      <c r="E16" s="50">
        <v>10.953075078626476</v>
      </c>
      <c r="F16" s="50">
        <v>0</v>
      </c>
      <c r="G16" s="50">
        <v>2689.033891979851</v>
      </c>
      <c r="H16" s="51">
        <v>0</v>
      </c>
      <c r="I16" s="49">
        <v>181.73709847927066</v>
      </c>
      <c r="J16" s="50">
        <v>424.15842555364003</v>
      </c>
      <c r="K16" s="50">
        <v>25.178284867604592</v>
      </c>
      <c r="L16" s="50">
        <v>0</v>
      </c>
      <c r="M16" s="50">
        <v>0</v>
      </c>
      <c r="N16" s="51">
        <v>0</v>
      </c>
      <c r="O16" s="49">
        <v>0</v>
      </c>
      <c r="P16" s="50">
        <v>0</v>
      </c>
      <c r="Q16" s="50">
        <v>0</v>
      </c>
      <c r="R16" s="70">
        <v>0</v>
      </c>
      <c r="S16" s="50">
        <v>0</v>
      </c>
      <c r="T16" s="52">
        <v>0</v>
      </c>
      <c r="U16" s="71">
        <v>271.09788970947562</v>
      </c>
      <c r="V16" s="66">
        <v>0</v>
      </c>
      <c r="W16" s="62">
        <v>38.065593449274687</v>
      </c>
      <c r="X16" s="62">
        <v>0</v>
      </c>
      <c r="Y16" s="66">
        <v>156.5888189713159</v>
      </c>
      <c r="Z16" s="66">
        <v>0</v>
      </c>
      <c r="AA16" s="67">
        <v>0</v>
      </c>
      <c r="AB16" s="68">
        <v>65.978126915296428</v>
      </c>
      <c r="AC16" s="69">
        <v>0</v>
      </c>
      <c r="AD16" s="409">
        <v>10.432360908161602</v>
      </c>
      <c r="AE16" s="409">
        <v>3.937260449823762</v>
      </c>
      <c r="AF16" s="69">
        <v>9.9422064635488745</v>
      </c>
      <c r="AG16" s="68">
        <v>9.7139698587871308</v>
      </c>
      <c r="AH16" s="68">
        <v>0</v>
      </c>
      <c r="AI16" s="68">
        <v>1</v>
      </c>
      <c r="AJ16" s="69">
        <v>261.94231370290117</v>
      </c>
      <c r="AK16" s="69">
        <v>829.70211281776437</v>
      </c>
      <c r="AL16" s="69">
        <v>2735.3614327748614</v>
      </c>
      <c r="AM16" s="69">
        <v>482.84825134277344</v>
      </c>
      <c r="AN16" s="69">
        <v>1180.6308288574219</v>
      </c>
      <c r="AO16" s="69">
        <v>1675.0379206339519</v>
      </c>
      <c r="AP16" s="69">
        <v>597.12845916748051</v>
      </c>
      <c r="AQ16" s="69">
        <v>1936.8153483072911</v>
      </c>
      <c r="AR16" s="69">
        <v>365.12817309697465</v>
      </c>
      <c r="AS16" s="69">
        <v>586.54605182011915</v>
      </c>
    </row>
    <row r="17" spans="1:45" x14ac:dyDescent="0.25">
      <c r="A17" s="446">
        <v>43809</v>
      </c>
      <c r="B17" s="59"/>
      <c r="C17" s="60">
        <v>68.391016379992195</v>
      </c>
      <c r="D17" s="60">
        <v>765.38460178375203</v>
      </c>
      <c r="E17" s="60">
        <v>17.607298247019425</v>
      </c>
      <c r="F17" s="60">
        <v>0</v>
      </c>
      <c r="G17" s="60">
        <v>4576.3996193329531</v>
      </c>
      <c r="H17" s="61">
        <v>15.800470040241867</v>
      </c>
      <c r="I17" s="59">
        <v>162.44505431652055</v>
      </c>
      <c r="J17" s="60">
        <v>385.08147853215536</v>
      </c>
      <c r="K17" s="60">
        <v>22.736933445930504</v>
      </c>
      <c r="L17" s="50">
        <v>0</v>
      </c>
      <c r="M17" s="60">
        <v>0</v>
      </c>
      <c r="N17" s="61">
        <v>0</v>
      </c>
      <c r="O17" s="59">
        <v>0</v>
      </c>
      <c r="P17" s="60">
        <v>0</v>
      </c>
      <c r="Q17" s="60">
        <v>0</v>
      </c>
      <c r="R17" s="63">
        <v>0</v>
      </c>
      <c r="S17" s="60">
        <v>0</v>
      </c>
      <c r="T17" s="64">
        <v>0</v>
      </c>
      <c r="U17" s="65">
        <v>253.69341014196402</v>
      </c>
      <c r="V17" s="62">
        <v>51.756240018508137</v>
      </c>
      <c r="W17" s="62">
        <v>33.04112735438656</v>
      </c>
      <c r="X17" s="62">
        <v>6.7407526150512984</v>
      </c>
      <c r="Y17" s="66">
        <v>136.53359242332306</v>
      </c>
      <c r="Z17" s="66">
        <v>27.854351345178248</v>
      </c>
      <c r="AA17" s="67">
        <v>0</v>
      </c>
      <c r="AB17" s="68">
        <v>75.096449727481811</v>
      </c>
      <c r="AC17" s="69">
        <v>0</v>
      </c>
      <c r="AD17" s="409">
        <v>9.4736660031618847</v>
      </c>
      <c r="AE17" s="409">
        <v>6.4537340788728894</v>
      </c>
      <c r="AF17" s="69">
        <v>10.222629491819299</v>
      </c>
      <c r="AG17" s="68">
        <v>8.4027313101168133</v>
      </c>
      <c r="AH17" s="68">
        <v>1.7142494093720348</v>
      </c>
      <c r="AI17" s="68">
        <v>0.83055721297661567</v>
      </c>
      <c r="AJ17" s="69">
        <v>270.05587979952492</v>
      </c>
      <c r="AK17" s="69">
        <v>988.33290084203088</v>
      </c>
      <c r="AL17" s="69">
        <v>2716.7437192281086</v>
      </c>
      <c r="AM17" s="69">
        <v>482.84825134277344</v>
      </c>
      <c r="AN17" s="69">
        <v>1180.6308288574219</v>
      </c>
      <c r="AO17" s="69">
        <v>1909.0606747945146</v>
      </c>
      <c r="AP17" s="69">
        <v>641.04147489865625</v>
      </c>
      <c r="AQ17" s="69">
        <v>2149.2987710952757</v>
      </c>
      <c r="AR17" s="69">
        <v>370.71023901303607</v>
      </c>
      <c r="AS17" s="69">
        <v>553.75557711919146</v>
      </c>
    </row>
    <row r="18" spans="1:45" x14ac:dyDescent="0.25">
      <c r="A18" s="446">
        <v>43810</v>
      </c>
      <c r="B18" s="59"/>
      <c r="C18" s="60">
        <v>68.904574239253961</v>
      </c>
      <c r="D18" s="60">
        <v>785.75272490183704</v>
      </c>
      <c r="E18" s="60">
        <v>17.768338821331639</v>
      </c>
      <c r="F18" s="60">
        <v>0</v>
      </c>
      <c r="G18" s="60">
        <v>3341.7078191200872</v>
      </c>
      <c r="H18" s="61">
        <v>27.016666882236823</v>
      </c>
      <c r="I18" s="59">
        <v>124.21620765527078</v>
      </c>
      <c r="J18" s="60">
        <v>262.90221800804107</v>
      </c>
      <c r="K18" s="60">
        <v>15.599863421916954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172.23349050608039</v>
      </c>
      <c r="V18" s="62">
        <v>171.05496255364534</v>
      </c>
      <c r="W18" s="62">
        <v>25.345293118815174</v>
      </c>
      <c r="X18" s="62">
        <v>25.171864964305765</v>
      </c>
      <c r="Y18" s="66">
        <v>84.427342138745658</v>
      </c>
      <c r="Z18" s="66">
        <v>83.849638102393939</v>
      </c>
      <c r="AA18" s="67">
        <v>0</v>
      </c>
      <c r="AB18" s="68">
        <v>62.596086986859518</v>
      </c>
      <c r="AC18" s="69">
        <v>0</v>
      </c>
      <c r="AD18" s="409">
        <v>6.8573084599546874</v>
      </c>
      <c r="AE18" s="409">
        <v>6.4585321502127453</v>
      </c>
      <c r="AF18" s="69">
        <v>12.255822071101949</v>
      </c>
      <c r="AG18" s="68">
        <v>6.0760826743461012</v>
      </c>
      <c r="AH18" s="68">
        <v>6.0345063627241151</v>
      </c>
      <c r="AI18" s="68">
        <v>0.50171652722649251</v>
      </c>
      <c r="AJ18" s="69">
        <v>258.92982212702429</v>
      </c>
      <c r="AK18" s="69">
        <v>966.30270306269347</v>
      </c>
      <c r="AL18" s="69">
        <v>2795.2732359568276</v>
      </c>
      <c r="AM18" s="69">
        <v>482.84825134277344</v>
      </c>
      <c r="AN18" s="69">
        <v>1180.6308288574219</v>
      </c>
      <c r="AO18" s="69">
        <v>2242.7143459320068</v>
      </c>
      <c r="AP18" s="69">
        <v>630.66918013890586</v>
      </c>
      <c r="AQ18" s="69">
        <v>2566.3029633204146</v>
      </c>
      <c r="AR18" s="69">
        <v>383.45928158760069</v>
      </c>
      <c r="AS18" s="69">
        <v>592.55384238560998</v>
      </c>
    </row>
    <row r="19" spans="1:45" x14ac:dyDescent="0.25">
      <c r="A19" s="446">
        <v>43811</v>
      </c>
      <c r="B19" s="59"/>
      <c r="C19" s="60">
        <v>69.259679118792306</v>
      </c>
      <c r="D19" s="60">
        <v>891.55381526947122</v>
      </c>
      <c r="E19" s="60">
        <v>17.746841744581875</v>
      </c>
      <c r="F19" s="60">
        <v>0</v>
      </c>
      <c r="G19" s="60">
        <v>3905.4505296548245</v>
      </c>
      <c r="H19" s="61">
        <v>2.6212536970774325</v>
      </c>
      <c r="I19" s="59">
        <v>204.2914611657462</v>
      </c>
      <c r="J19" s="60">
        <v>453.5749470551807</v>
      </c>
      <c r="K19" s="60">
        <v>27.199782477815859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319.04038568702413</v>
      </c>
      <c r="V19" s="62">
        <v>34.262676094964561</v>
      </c>
      <c r="W19" s="62">
        <v>47.951216148270987</v>
      </c>
      <c r="X19" s="62">
        <v>5.1496207406781096</v>
      </c>
      <c r="Y19" s="66">
        <v>154.37627991786937</v>
      </c>
      <c r="Z19" s="66">
        <v>16.578918258832417</v>
      </c>
      <c r="AA19" s="67">
        <v>0</v>
      </c>
      <c r="AB19" s="68">
        <v>87.234786298540143</v>
      </c>
      <c r="AC19" s="69">
        <v>0</v>
      </c>
      <c r="AD19" s="409">
        <v>12.220534162856746</v>
      </c>
      <c r="AE19" s="409">
        <v>6.4693411568670234</v>
      </c>
      <c r="AF19" s="69">
        <v>12.757072613967784</v>
      </c>
      <c r="AG19" s="68">
        <v>11.364085487772833</v>
      </c>
      <c r="AH19" s="68">
        <v>1.220422233832837</v>
      </c>
      <c r="AI19" s="68">
        <v>0.9030218534700758</v>
      </c>
      <c r="AJ19" s="69">
        <v>256.47100966771444</v>
      </c>
      <c r="AK19" s="69">
        <v>959.24511534372959</v>
      </c>
      <c r="AL19" s="69">
        <v>2902.3453628540037</v>
      </c>
      <c r="AM19" s="69">
        <v>482.84825134277344</v>
      </c>
      <c r="AN19" s="69">
        <v>1180.6308288574219</v>
      </c>
      <c r="AO19" s="69">
        <v>1815.1567410786947</v>
      </c>
      <c r="AP19" s="69">
        <v>620.48971420923885</v>
      </c>
      <c r="AQ19" s="69">
        <v>2401.7385162989299</v>
      </c>
      <c r="AR19" s="69">
        <v>378.47872118949886</v>
      </c>
      <c r="AS19" s="69">
        <v>633.01075894037888</v>
      </c>
    </row>
    <row r="20" spans="1:45" x14ac:dyDescent="0.25">
      <c r="A20" s="446">
        <v>43812</v>
      </c>
      <c r="B20" s="59"/>
      <c r="C20" s="60">
        <v>69.641538337866493</v>
      </c>
      <c r="D20" s="60">
        <v>936.56064065297255</v>
      </c>
      <c r="E20" s="60">
        <v>17.769141409794528</v>
      </c>
      <c r="F20" s="60">
        <v>0</v>
      </c>
      <c r="G20" s="60">
        <v>3726.4710319836968</v>
      </c>
      <c r="H20" s="61">
        <v>16.843581617871916</v>
      </c>
      <c r="I20" s="59">
        <v>161.15413261254645</v>
      </c>
      <c r="J20" s="60">
        <v>367.45699439048707</v>
      </c>
      <c r="K20" s="60">
        <v>21.301220997174603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248.30734455253454</v>
      </c>
      <c r="V20" s="62">
        <v>103.49487169120566</v>
      </c>
      <c r="W20" s="62">
        <v>37.254691554641717</v>
      </c>
      <c r="X20" s="62">
        <v>15.527811025047392</v>
      </c>
      <c r="Y20" s="66">
        <v>132.21745566532738</v>
      </c>
      <c r="Z20" s="66">
        <v>55.108432793560134</v>
      </c>
      <c r="AA20" s="67">
        <v>0</v>
      </c>
      <c r="AB20" s="68">
        <v>75.125579412778166</v>
      </c>
      <c r="AC20" s="69">
        <v>0</v>
      </c>
      <c r="AD20" s="409">
        <v>9.5690878562394381</v>
      </c>
      <c r="AE20" s="409">
        <v>6.4570849073737868</v>
      </c>
      <c r="AF20" s="69">
        <v>12.869980463385573</v>
      </c>
      <c r="AG20" s="68">
        <v>8.9782211149040254</v>
      </c>
      <c r="AH20" s="68">
        <v>3.7421359564564716</v>
      </c>
      <c r="AI20" s="68">
        <v>0.70581517991489573</v>
      </c>
      <c r="AJ20" s="69">
        <v>266.59470044771831</v>
      </c>
      <c r="AK20" s="69">
        <v>974.22734317779521</v>
      </c>
      <c r="AL20" s="69">
        <v>2888.2483367919926</v>
      </c>
      <c r="AM20" s="69">
        <v>482.84825134277344</v>
      </c>
      <c r="AN20" s="69">
        <v>1180.6308288574219</v>
      </c>
      <c r="AO20" s="69">
        <v>2044.0059421539304</v>
      </c>
      <c r="AP20" s="69">
        <v>631.26361481348681</v>
      </c>
      <c r="AQ20" s="69">
        <v>2141.9480079015098</v>
      </c>
      <c r="AR20" s="69">
        <v>381.53622450828556</v>
      </c>
      <c r="AS20" s="69">
        <v>609.79015938440944</v>
      </c>
    </row>
    <row r="21" spans="1:45" x14ac:dyDescent="0.25">
      <c r="A21" s="446">
        <v>43813</v>
      </c>
      <c r="B21" s="59"/>
      <c r="C21" s="60">
        <v>69.251045000553091</v>
      </c>
      <c r="D21" s="60">
        <v>949.75020980834938</v>
      </c>
      <c r="E21" s="60">
        <v>17.93216358770924</v>
      </c>
      <c r="F21" s="60">
        <v>0</v>
      </c>
      <c r="G21" s="60">
        <v>4643.3672791957952</v>
      </c>
      <c r="H21" s="61">
        <v>25.842967114845926</v>
      </c>
      <c r="I21" s="59">
        <v>121.50081154505401</v>
      </c>
      <c r="J21" s="60">
        <v>254.78654863039617</v>
      </c>
      <c r="K21" s="60">
        <v>14.811243765552849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174.75208603101387</v>
      </c>
      <c r="V21" s="62">
        <v>174.69603904528029</v>
      </c>
      <c r="W21" s="62">
        <v>26.381581569943247</v>
      </c>
      <c r="X21" s="62">
        <v>26.373120394117183</v>
      </c>
      <c r="Y21" s="66">
        <v>93.250600444039506</v>
      </c>
      <c r="Z21" s="66">
        <v>93.220692846416867</v>
      </c>
      <c r="AA21" s="67">
        <v>0</v>
      </c>
      <c r="AB21" s="68">
        <v>63.108973630269773</v>
      </c>
      <c r="AC21" s="69">
        <v>0</v>
      </c>
      <c r="AD21" s="409">
        <v>6.8666503528676026</v>
      </c>
      <c r="AE21" s="409">
        <v>6.4568548988264407</v>
      </c>
      <c r="AF21" s="69">
        <v>12.981918020380895</v>
      </c>
      <c r="AG21" s="68">
        <v>6.4127946189205254</v>
      </c>
      <c r="AH21" s="68">
        <v>6.4107378892031166</v>
      </c>
      <c r="AI21" s="68">
        <v>0.50008019357053546</v>
      </c>
      <c r="AJ21" s="69">
        <v>270.28710045814512</v>
      </c>
      <c r="AK21" s="69">
        <v>977.68597316741943</v>
      </c>
      <c r="AL21" s="69">
        <v>3006.7577028910323</v>
      </c>
      <c r="AM21" s="69">
        <v>482.84825134277344</v>
      </c>
      <c r="AN21" s="69">
        <v>1180.6308288574219</v>
      </c>
      <c r="AO21" s="69">
        <v>2510.0471150716148</v>
      </c>
      <c r="AP21" s="69">
        <v>652.07085622151692</v>
      </c>
      <c r="AQ21" s="69">
        <v>2126.0421250661216</v>
      </c>
      <c r="AR21" s="69">
        <v>409.5002945582072</v>
      </c>
      <c r="AS21" s="69">
        <v>530.19860219955444</v>
      </c>
    </row>
    <row r="22" spans="1:45" x14ac:dyDescent="0.25">
      <c r="A22" s="446">
        <v>43814</v>
      </c>
      <c r="B22" s="59"/>
      <c r="C22" s="60">
        <v>69.115531798203691</v>
      </c>
      <c r="D22" s="60">
        <v>968.95709603627552</v>
      </c>
      <c r="E22" s="60">
        <v>17.790601221720344</v>
      </c>
      <c r="F22" s="60">
        <v>0</v>
      </c>
      <c r="G22" s="60">
        <v>4622.4804041544621</v>
      </c>
      <c r="H22" s="61">
        <v>25.965943795442595</v>
      </c>
      <c r="I22" s="59">
        <v>121.14030592441557</v>
      </c>
      <c r="J22" s="60">
        <v>254.22138633728014</v>
      </c>
      <c r="K22" s="60">
        <v>14.790504522124925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171.98425737757583</v>
      </c>
      <c r="V22" s="62">
        <v>165.90185049104088</v>
      </c>
      <c r="W22" s="62">
        <v>25.964605893218206</v>
      </c>
      <c r="X22" s="62">
        <v>25.046339883880144</v>
      </c>
      <c r="Y22" s="66">
        <v>90.99662471436298</v>
      </c>
      <c r="Z22" s="66">
        <v>87.778431925944176</v>
      </c>
      <c r="AA22" s="67">
        <v>0</v>
      </c>
      <c r="AB22" s="68">
        <v>63.108296966553141</v>
      </c>
      <c r="AC22" s="69">
        <v>0</v>
      </c>
      <c r="AD22" s="409">
        <v>6.851322317364712</v>
      </c>
      <c r="AE22" s="409">
        <v>6.4667829094347349</v>
      </c>
      <c r="AF22" s="69">
        <v>12.516311264038084</v>
      </c>
      <c r="AG22" s="68">
        <v>6.2956225595521778</v>
      </c>
      <c r="AH22" s="68">
        <v>6.0729711460150817</v>
      </c>
      <c r="AI22" s="68">
        <v>0.50900067618183942</v>
      </c>
      <c r="AJ22" s="69">
        <v>275.84168596267705</v>
      </c>
      <c r="AK22" s="69">
        <v>1002.6030590057374</v>
      </c>
      <c r="AL22" s="69">
        <v>2775.9402032216394</v>
      </c>
      <c r="AM22" s="69">
        <v>482.84825134277344</v>
      </c>
      <c r="AN22" s="69">
        <v>1180.6308288574219</v>
      </c>
      <c r="AO22" s="69">
        <v>2598.1645222981765</v>
      </c>
      <c r="AP22" s="69">
        <v>684.74427995681765</v>
      </c>
      <c r="AQ22" s="69">
        <v>2100.2132380167641</v>
      </c>
      <c r="AR22" s="69">
        <v>415.82723207473748</v>
      </c>
      <c r="AS22" s="69">
        <v>564.32026122411105</v>
      </c>
    </row>
    <row r="23" spans="1:45" x14ac:dyDescent="0.25">
      <c r="A23" s="446">
        <v>43815</v>
      </c>
      <c r="B23" s="59"/>
      <c r="C23" s="60">
        <v>61.084977718194423</v>
      </c>
      <c r="D23" s="60">
        <v>906.80517972310508</v>
      </c>
      <c r="E23" s="60">
        <v>15.608516029020162</v>
      </c>
      <c r="F23" s="60">
        <v>0</v>
      </c>
      <c r="G23" s="60">
        <v>4352.3704840977962</v>
      </c>
      <c r="H23" s="61">
        <v>22.641238454977682</v>
      </c>
      <c r="I23" s="59">
        <v>137.81831479867304</v>
      </c>
      <c r="J23" s="60">
        <v>287.86163563728383</v>
      </c>
      <c r="K23" s="60">
        <v>17.118514839808167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193.84043579451767</v>
      </c>
      <c r="V23" s="62">
        <v>149.9257563449996</v>
      </c>
      <c r="W23" s="62">
        <v>29.399037631142527</v>
      </c>
      <c r="X23" s="62">
        <v>22.738666133296057</v>
      </c>
      <c r="Y23" s="66">
        <v>108.79202734003377</v>
      </c>
      <c r="Z23" s="66">
        <v>84.145121302506624</v>
      </c>
      <c r="AA23" s="67">
        <v>0</v>
      </c>
      <c r="AB23" s="68">
        <v>62.506120936075597</v>
      </c>
      <c r="AC23" s="69">
        <v>0</v>
      </c>
      <c r="AD23" s="409">
        <v>7.7598206845415483</v>
      </c>
      <c r="AE23" s="409">
        <v>5.6454824759132309</v>
      </c>
      <c r="AF23" s="69">
        <v>12.807223957777012</v>
      </c>
      <c r="AG23" s="68">
        <v>7.038506501435613</v>
      </c>
      <c r="AH23" s="68">
        <v>5.4439281795959342</v>
      </c>
      <c r="AI23" s="68">
        <v>0.56387288868664454</v>
      </c>
      <c r="AJ23" s="69">
        <v>285.38779493967689</v>
      </c>
      <c r="AK23" s="69">
        <v>1014.3271693229676</v>
      </c>
      <c r="AL23" s="69">
        <v>2855.7728418986003</v>
      </c>
      <c r="AM23" s="69">
        <v>482.84825134277344</v>
      </c>
      <c r="AN23" s="69">
        <v>1180.6308288574219</v>
      </c>
      <c r="AO23" s="69">
        <v>2569.1039702097569</v>
      </c>
      <c r="AP23" s="69">
        <v>673.92366333007817</v>
      </c>
      <c r="AQ23" s="69">
        <v>2232.4053375244139</v>
      </c>
      <c r="AR23" s="69">
        <v>436.82239661216732</v>
      </c>
      <c r="AS23" s="69">
        <v>580.93330583572401</v>
      </c>
    </row>
    <row r="24" spans="1:45" x14ac:dyDescent="0.25">
      <c r="A24" s="446">
        <v>43816</v>
      </c>
      <c r="B24" s="59"/>
      <c r="C24" s="60">
        <v>16.400899334748598</v>
      </c>
      <c r="D24" s="60">
        <v>255.43388830820743</v>
      </c>
      <c r="E24" s="60">
        <v>4.7080444365739815</v>
      </c>
      <c r="F24" s="60">
        <v>0</v>
      </c>
      <c r="G24" s="60">
        <v>1949.257384045919</v>
      </c>
      <c r="H24" s="61">
        <v>6.5975414961576533</v>
      </c>
      <c r="I24" s="59">
        <v>168.40804372628509</v>
      </c>
      <c r="J24" s="60">
        <v>359.64837478001914</v>
      </c>
      <c r="K24" s="60">
        <v>21.555598582824071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254.15934590963866</v>
      </c>
      <c r="V24" s="62">
        <v>41.057453582667172</v>
      </c>
      <c r="W24" s="62">
        <v>37.60763771463197</v>
      </c>
      <c r="X24" s="62">
        <v>6.075219600113507</v>
      </c>
      <c r="Y24" s="66">
        <v>139.35846570938855</v>
      </c>
      <c r="Z24" s="66">
        <v>22.512269681592489</v>
      </c>
      <c r="AA24" s="67">
        <v>0</v>
      </c>
      <c r="AB24" s="68">
        <v>50.989710752169337</v>
      </c>
      <c r="AC24" s="69">
        <v>0</v>
      </c>
      <c r="AD24" s="409">
        <v>9.6923832551266269</v>
      </c>
      <c r="AE24" s="409">
        <v>1.5581452819981971</v>
      </c>
      <c r="AF24" s="69">
        <v>10.781377915541327</v>
      </c>
      <c r="AG24" s="68">
        <v>9.2556218552908618</v>
      </c>
      <c r="AH24" s="68">
        <v>1.4951732872236387</v>
      </c>
      <c r="AI24" s="68">
        <v>0.86092439978593682</v>
      </c>
      <c r="AJ24" s="69">
        <v>287.31268033981326</v>
      </c>
      <c r="AK24" s="69">
        <v>1009.5358748753865</v>
      </c>
      <c r="AL24" s="69">
        <v>2830.3522705078121</v>
      </c>
      <c r="AM24" s="69">
        <v>481.53867263793944</v>
      </c>
      <c r="AN24" s="69">
        <v>3089.0071794509886</v>
      </c>
      <c r="AO24" s="69">
        <v>1959.9692635854087</v>
      </c>
      <c r="AP24" s="69">
        <v>675.90209935506198</v>
      </c>
      <c r="AQ24" s="69">
        <v>2002.9056609471641</v>
      </c>
      <c r="AR24" s="69">
        <v>391.22865494092309</v>
      </c>
      <c r="AS24" s="69">
        <v>661.43031190236411</v>
      </c>
    </row>
    <row r="25" spans="1:45" x14ac:dyDescent="0.25">
      <c r="A25" s="446">
        <v>43817</v>
      </c>
      <c r="B25" s="59"/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1">
        <v>0</v>
      </c>
      <c r="I25" s="59">
        <v>177.92438956896453</v>
      </c>
      <c r="J25" s="60">
        <v>383.35364262262965</v>
      </c>
      <c r="K25" s="60">
        <v>23.204358366131761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281.57263861762209</v>
      </c>
      <c r="V25" s="62">
        <v>0</v>
      </c>
      <c r="W25" s="62">
        <v>38.928342779477504</v>
      </c>
      <c r="X25" s="62">
        <v>0</v>
      </c>
      <c r="Y25" s="66">
        <v>147.57817951043427</v>
      </c>
      <c r="Z25" s="66">
        <v>0</v>
      </c>
      <c r="AA25" s="67">
        <v>0</v>
      </c>
      <c r="AB25" s="68">
        <v>46.458748316764918</v>
      </c>
      <c r="AC25" s="69">
        <v>0</v>
      </c>
      <c r="AD25" s="409">
        <v>10.3281120014362</v>
      </c>
      <c r="AE25" s="409">
        <v>0</v>
      </c>
      <c r="AF25" s="69">
        <v>10.160893934965118</v>
      </c>
      <c r="AG25" s="68">
        <v>9.999311171487971</v>
      </c>
      <c r="AH25" s="68">
        <v>0</v>
      </c>
      <c r="AI25" s="68">
        <v>1</v>
      </c>
      <c r="AJ25" s="69">
        <v>265.23536839485166</v>
      </c>
      <c r="AK25" s="69">
        <v>951.89935487111404</v>
      </c>
      <c r="AL25" s="69">
        <v>2799.450507736206</v>
      </c>
      <c r="AM25" s="69">
        <v>480.9385986328125</v>
      </c>
      <c r="AN25" s="69">
        <v>3704.1353759765625</v>
      </c>
      <c r="AO25" s="69">
        <v>1626.6140331904094</v>
      </c>
      <c r="AP25" s="69">
        <v>610.03341013590477</v>
      </c>
      <c r="AQ25" s="69">
        <v>1950.6636135101321</v>
      </c>
      <c r="AR25" s="69">
        <v>345.33906251589457</v>
      </c>
      <c r="AS25" s="69">
        <v>634.91718982060763</v>
      </c>
    </row>
    <row r="26" spans="1:45" x14ac:dyDescent="0.25">
      <c r="A26" s="446">
        <v>43818</v>
      </c>
      <c r="B26" s="59"/>
      <c r="C26" s="60">
        <v>22.747812626759206</v>
      </c>
      <c r="D26" s="60">
        <v>328.14525176087983</v>
      </c>
      <c r="E26" s="60">
        <v>6.0524665504694068</v>
      </c>
      <c r="F26" s="60">
        <v>0</v>
      </c>
      <c r="G26" s="60">
        <v>1674.4053032557176</v>
      </c>
      <c r="H26" s="61">
        <v>0</v>
      </c>
      <c r="I26" s="59">
        <v>179.47466750144952</v>
      </c>
      <c r="J26" s="60">
        <v>382.17639580964965</v>
      </c>
      <c r="K26" s="60">
        <v>23.422868730624533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282.56072307162799</v>
      </c>
      <c r="V26" s="62">
        <v>0</v>
      </c>
      <c r="W26" s="62">
        <v>39.773344782988318</v>
      </c>
      <c r="X26" s="62">
        <v>0</v>
      </c>
      <c r="Y26" s="62">
        <v>143.12962527275124</v>
      </c>
      <c r="Z26" s="62">
        <v>0</v>
      </c>
      <c r="AA26" s="72">
        <v>0</v>
      </c>
      <c r="AB26" s="69">
        <v>57.563466954231664</v>
      </c>
      <c r="AC26" s="69">
        <v>0</v>
      </c>
      <c r="AD26" s="409">
        <v>10.42006539180311</v>
      </c>
      <c r="AE26" s="409">
        <v>2.1524179293688777</v>
      </c>
      <c r="AF26" s="69">
        <v>9.9828163282738842</v>
      </c>
      <c r="AG26" s="69">
        <v>9.827072336405239</v>
      </c>
      <c r="AH26" s="69">
        <v>0</v>
      </c>
      <c r="AI26" s="69">
        <v>1</v>
      </c>
      <c r="AJ26" s="69">
        <v>262.08182234764104</v>
      </c>
      <c r="AK26" s="69">
        <v>941.77877709070822</v>
      </c>
      <c r="AL26" s="69">
        <v>2703.5411286671956</v>
      </c>
      <c r="AM26" s="69">
        <v>480.9385986328125</v>
      </c>
      <c r="AN26" s="69">
        <v>3704.1353759765625</v>
      </c>
      <c r="AO26" s="69">
        <v>1669.4774753570555</v>
      </c>
      <c r="AP26" s="69">
        <v>595.63802506128945</v>
      </c>
      <c r="AQ26" s="69">
        <v>1936.4506534576415</v>
      </c>
      <c r="AR26" s="69">
        <v>342.45988287925718</v>
      </c>
      <c r="AS26" s="69">
        <v>599.2650877952575</v>
      </c>
    </row>
    <row r="27" spans="1:45" x14ac:dyDescent="0.25">
      <c r="A27" s="446">
        <v>43819</v>
      </c>
      <c r="B27" s="59"/>
      <c r="C27" s="60">
        <v>63.852730802694794</v>
      </c>
      <c r="D27" s="60">
        <v>892.35399208068918</v>
      </c>
      <c r="E27" s="60">
        <v>16.37068030436831</v>
      </c>
      <c r="F27" s="60">
        <v>0</v>
      </c>
      <c r="G27" s="60">
        <v>4052.2256844202702</v>
      </c>
      <c r="H27" s="61">
        <v>15.895648210247384</v>
      </c>
      <c r="I27" s="59">
        <v>178.16268618106835</v>
      </c>
      <c r="J27" s="60">
        <v>433.54994908968609</v>
      </c>
      <c r="K27" s="60">
        <v>25.943022981286052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286.38770098368605</v>
      </c>
      <c r="V27" s="62">
        <v>87.361256872811936</v>
      </c>
      <c r="W27" s="62">
        <v>44.961110311379912</v>
      </c>
      <c r="X27" s="62">
        <v>13.715180832514323</v>
      </c>
      <c r="Y27" s="66">
        <v>167.25688171966993</v>
      </c>
      <c r="Z27" s="66">
        <v>51.020945932625658</v>
      </c>
      <c r="AA27" s="67">
        <v>0</v>
      </c>
      <c r="AB27" s="68">
        <v>82.448030800289871</v>
      </c>
      <c r="AC27" s="69">
        <v>0</v>
      </c>
      <c r="AD27" s="409">
        <v>11.686149247065105</v>
      </c>
      <c r="AE27" s="409">
        <v>5.9647473300450358</v>
      </c>
      <c r="AF27" s="69">
        <v>14.167726071675618</v>
      </c>
      <c r="AG27" s="68">
        <v>10.85331238547826</v>
      </c>
      <c r="AH27" s="68">
        <v>3.310753248033683</v>
      </c>
      <c r="AI27" s="68">
        <v>0.76625685493856399</v>
      </c>
      <c r="AJ27" s="69">
        <v>266.74366714159646</v>
      </c>
      <c r="AK27" s="69">
        <v>975.25535767873123</v>
      </c>
      <c r="AL27" s="69">
        <v>2791.4107135772701</v>
      </c>
      <c r="AM27" s="69">
        <v>480.9385986328125</v>
      </c>
      <c r="AN27" s="69">
        <v>3704.1353759765625</v>
      </c>
      <c r="AO27" s="69">
        <v>2237.292860921224</v>
      </c>
      <c r="AP27" s="69">
        <v>616.76078443527229</v>
      </c>
      <c r="AQ27" s="69">
        <v>2354.664462661744</v>
      </c>
      <c r="AR27" s="69">
        <v>365.52286343574531</v>
      </c>
      <c r="AS27" s="69">
        <v>570.10044056574509</v>
      </c>
    </row>
    <row r="28" spans="1:45" x14ac:dyDescent="0.25">
      <c r="A28" s="446">
        <v>43820</v>
      </c>
      <c r="B28" s="59"/>
      <c r="C28" s="60">
        <v>63.987927047411766</v>
      </c>
      <c r="D28" s="60">
        <v>944.9665061314887</v>
      </c>
      <c r="E28" s="60">
        <v>16.316561828553628</v>
      </c>
      <c r="F28" s="60">
        <v>0</v>
      </c>
      <c r="G28" s="60">
        <v>3593.3830329736115</v>
      </c>
      <c r="H28" s="61">
        <v>23.992316830158238</v>
      </c>
      <c r="I28" s="59">
        <v>162.75051426092799</v>
      </c>
      <c r="J28" s="60">
        <v>514.67067886988298</v>
      </c>
      <c r="K28" s="60">
        <v>31.041416304310172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325.94027448902011</v>
      </c>
      <c r="V28" s="62">
        <v>144.93362749275832</v>
      </c>
      <c r="W28" s="62">
        <v>51.76867223541074</v>
      </c>
      <c r="X28" s="62">
        <v>23.019620601732278</v>
      </c>
      <c r="Y28" s="66">
        <v>207.80364067675498</v>
      </c>
      <c r="Z28" s="66">
        <v>92.402620377919504</v>
      </c>
      <c r="AA28" s="67">
        <v>0</v>
      </c>
      <c r="AB28" s="68">
        <v>92.656961139043176</v>
      </c>
      <c r="AC28" s="69">
        <v>0</v>
      </c>
      <c r="AD28" s="409">
        <v>13.86645210202285</v>
      </c>
      <c r="AE28" s="409">
        <v>5.9694347000423225</v>
      </c>
      <c r="AF28" s="69">
        <v>19.372742762168258</v>
      </c>
      <c r="AG28" s="68">
        <v>13.284099972795101</v>
      </c>
      <c r="AH28" s="68">
        <v>5.9069496706167373</v>
      </c>
      <c r="AI28" s="68">
        <v>0.69220288726393064</v>
      </c>
      <c r="AJ28" s="69">
        <v>251.09814098676048</v>
      </c>
      <c r="AK28" s="69">
        <v>960.78851432800309</v>
      </c>
      <c r="AL28" s="69">
        <v>2729.3434379577639</v>
      </c>
      <c r="AM28" s="69">
        <v>480.9385986328125</v>
      </c>
      <c r="AN28" s="69">
        <v>3704.1353759765625</v>
      </c>
      <c r="AO28" s="69">
        <v>2509.7139901479086</v>
      </c>
      <c r="AP28" s="69">
        <v>579.69448890686056</v>
      </c>
      <c r="AQ28" s="69">
        <v>2559.4746908187867</v>
      </c>
      <c r="AR28" s="69">
        <v>367.49834446907045</v>
      </c>
      <c r="AS28" s="69">
        <v>625.23371896743777</v>
      </c>
    </row>
    <row r="29" spans="1:45" x14ac:dyDescent="0.25">
      <c r="A29" s="446">
        <v>43821</v>
      </c>
      <c r="B29" s="59"/>
      <c r="C29" s="60">
        <v>62.868779802322379</v>
      </c>
      <c r="D29" s="60">
        <v>937.95334472656009</v>
      </c>
      <c r="E29" s="60">
        <v>16.438785183926413</v>
      </c>
      <c r="F29" s="60">
        <v>0</v>
      </c>
      <c r="G29" s="60">
        <v>3263.7796319802646</v>
      </c>
      <c r="H29" s="61">
        <v>24.063409046332058</v>
      </c>
      <c r="I29" s="59">
        <v>142.24267086188019</v>
      </c>
      <c r="J29" s="60">
        <v>384.3736054420479</v>
      </c>
      <c r="K29" s="60">
        <v>22.741966888308564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258.3076235762569</v>
      </c>
      <c r="V29" s="62">
        <v>154.96237266415042</v>
      </c>
      <c r="W29" s="62">
        <v>39.103613505592151</v>
      </c>
      <c r="X29" s="62">
        <v>23.458807156652039</v>
      </c>
      <c r="Y29" s="66">
        <v>157.46360640441713</v>
      </c>
      <c r="Z29" s="66">
        <v>94.464629881428223</v>
      </c>
      <c r="AA29" s="67">
        <v>0</v>
      </c>
      <c r="AB29" s="68">
        <v>77.58700389862129</v>
      </c>
      <c r="AC29" s="69">
        <v>0</v>
      </c>
      <c r="AD29" s="409">
        <v>10.358981916646211</v>
      </c>
      <c r="AE29" s="409">
        <v>5.9695543350705664</v>
      </c>
      <c r="AF29" s="69">
        <v>16.175730874803318</v>
      </c>
      <c r="AG29" s="68">
        <v>9.9997786907726116</v>
      </c>
      <c r="AH29" s="68">
        <v>5.999007735755308</v>
      </c>
      <c r="AI29" s="68">
        <v>0.62503357593372022</v>
      </c>
      <c r="AJ29" s="69">
        <v>242.34956752459212</v>
      </c>
      <c r="AK29" s="69">
        <v>936.65935888290392</v>
      </c>
      <c r="AL29" s="69">
        <v>2716.8274319966636</v>
      </c>
      <c r="AM29" s="69">
        <v>480.9385986328125</v>
      </c>
      <c r="AN29" s="69">
        <v>3704.1353759765625</v>
      </c>
      <c r="AO29" s="69">
        <v>2485.8632681528725</v>
      </c>
      <c r="AP29" s="69">
        <v>558.03226213455196</v>
      </c>
      <c r="AQ29" s="69">
        <v>2135.4681916554764</v>
      </c>
      <c r="AR29" s="69">
        <v>342.32031248410544</v>
      </c>
      <c r="AS29" s="69">
        <v>657.29714015324907</v>
      </c>
    </row>
    <row r="30" spans="1:45" x14ac:dyDescent="0.25">
      <c r="A30" s="446">
        <v>43822</v>
      </c>
      <c r="B30" s="59"/>
      <c r="C30" s="60">
        <v>62.86004019578305</v>
      </c>
      <c r="D30" s="60">
        <v>946.15231666564887</v>
      </c>
      <c r="E30" s="60">
        <v>16.511017288764275</v>
      </c>
      <c r="F30" s="60">
        <v>0</v>
      </c>
      <c r="G30" s="60">
        <v>3239.0922079086304</v>
      </c>
      <c r="H30" s="61">
        <v>24.030021243294041</v>
      </c>
      <c r="I30" s="59">
        <v>144.16034841537487</v>
      </c>
      <c r="J30" s="60">
        <v>384.30995532671636</v>
      </c>
      <c r="K30" s="60">
        <v>22.775606561700517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263.57634547500379</v>
      </c>
      <c r="V30" s="62">
        <v>158.11789698121697</v>
      </c>
      <c r="W30" s="62">
        <v>40.024325682947108</v>
      </c>
      <c r="X30" s="62">
        <v>24.010357202858614</v>
      </c>
      <c r="Y30" s="66">
        <v>153.05398179176785</v>
      </c>
      <c r="Z30" s="66">
        <v>91.816182070142801</v>
      </c>
      <c r="AA30" s="67">
        <v>0</v>
      </c>
      <c r="AB30" s="68">
        <v>77.768735461764848</v>
      </c>
      <c r="AC30" s="69">
        <v>0</v>
      </c>
      <c r="AD30" s="409">
        <v>10.357582448942257</v>
      </c>
      <c r="AE30" s="409">
        <v>5.9778578268465621</v>
      </c>
      <c r="AF30" s="69">
        <v>15.730968601836079</v>
      </c>
      <c r="AG30" s="68">
        <v>9.7186498429855774</v>
      </c>
      <c r="AH30" s="68">
        <v>5.8301607904167776</v>
      </c>
      <c r="AI30" s="68">
        <v>0.62504136632211105</v>
      </c>
      <c r="AJ30" s="69">
        <v>238.83438105583195</v>
      </c>
      <c r="AK30" s="69">
        <v>935.5231918970743</v>
      </c>
      <c r="AL30" s="69">
        <v>2979.9414588928225</v>
      </c>
      <c r="AM30" s="69">
        <v>480.9385986328125</v>
      </c>
      <c r="AN30" s="69">
        <v>3704.1353759765625</v>
      </c>
      <c r="AO30" s="69">
        <v>2497.2285293579107</v>
      </c>
      <c r="AP30" s="69">
        <v>572.20240780512484</v>
      </c>
      <c r="AQ30" s="69">
        <v>2126.8256586074826</v>
      </c>
      <c r="AR30" s="69">
        <v>341.68936845461531</v>
      </c>
      <c r="AS30" s="69">
        <v>651.3439252853392</v>
      </c>
    </row>
    <row r="31" spans="1:45" x14ac:dyDescent="0.25">
      <c r="A31" s="446">
        <v>43823</v>
      </c>
      <c r="B31" s="59"/>
      <c r="C31" s="60">
        <v>62.445971139272146</v>
      </c>
      <c r="D31" s="60">
        <v>953.40188102722163</v>
      </c>
      <c r="E31" s="60">
        <v>16.651720069348777</v>
      </c>
      <c r="F31" s="60">
        <v>0</v>
      </c>
      <c r="G31" s="60">
        <v>3422.9475037336406</v>
      </c>
      <c r="H31" s="61">
        <v>23.862027768294002</v>
      </c>
      <c r="I31" s="59">
        <v>144.0438318252566</v>
      </c>
      <c r="J31" s="60">
        <v>384.39667598406527</v>
      </c>
      <c r="K31" s="60">
        <v>22.800083965063138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262.17615384757744</v>
      </c>
      <c r="V31" s="62">
        <v>151.07951958212249</v>
      </c>
      <c r="W31" s="62">
        <v>39.919362224069303</v>
      </c>
      <c r="X31" s="62">
        <v>23.003610276254904</v>
      </c>
      <c r="Y31" s="66">
        <v>156.13974726859223</v>
      </c>
      <c r="Z31" s="66">
        <v>89.97583364781255</v>
      </c>
      <c r="AA31" s="67">
        <v>0</v>
      </c>
      <c r="AB31" s="68">
        <v>76.275626214344527</v>
      </c>
      <c r="AC31" s="69">
        <v>0</v>
      </c>
      <c r="AD31" s="409">
        <v>10.359078547409032</v>
      </c>
      <c r="AE31" s="409">
        <v>5.9521016133810862</v>
      </c>
      <c r="AF31" s="69">
        <v>15.806881342993837</v>
      </c>
      <c r="AG31" s="68">
        <v>9.9094045338060734</v>
      </c>
      <c r="AH31" s="68">
        <v>5.7103136739991562</v>
      </c>
      <c r="AI31" s="68">
        <v>0.63441634490270815</v>
      </c>
      <c r="AJ31" s="69">
        <v>249.03192222913106</v>
      </c>
      <c r="AK31" s="69">
        <v>942.4595827738442</v>
      </c>
      <c r="AL31" s="69">
        <v>2751.1794891357417</v>
      </c>
      <c r="AM31" s="69">
        <v>480.9385986328125</v>
      </c>
      <c r="AN31" s="69">
        <v>3704.1353759765625</v>
      </c>
      <c r="AO31" s="69">
        <v>2489.9413005828856</v>
      </c>
      <c r="AP31" s="69">
        <v>587.04331871668512</v>
      </c>
      <c r="AQ31" s="69">
        <v>2117.817245356242</v>
      </c>
      <c r="AR31" s="69">
        <v>357.75202795664472</v>
      </c>
      <c r="AS31" s="69">
        <v>600.27368135452264</v>
      </c>
    </row>
    <row r="32" spans="1:45" x14ac:dyDescent="0.25">
      <c r="A32" s="446">
        <v>43824</v>
      </c>
      <c r="B32" s="59"/>
      <c r="C32" s="60">
        <v>63.156969809532413</v>
      </c>
      <c r="D32" s="60">
        <v>963.13573958078905</v>
      </c>
      <c r="E32" s="60">
        <v>16.75937703947222</v>
      </c>
      <c r="F32" s="60">
        <v>0</v>
      </c>
      <c r="G32" s="60">
        <v>3896.9716786225672</v>
      </c>
      <c r="H32" s="61">
        <v>23.968060386180877</v>
      </c>
      <c r="I32" s="59">
        <v>143.93185412089045</v>
      </c>
      <c r="J32" s="60">
        <v>384.28456889788322</v>
      </c>
      <c r="K32" s="60">
        <v>22.783001103997304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262.33394653707023</v>
      </c>
      <c r="V32" s="62">
        <v>157.4120329627454</v>
      </c>
      <c r="W32" s="62">
        <v>39.666323142087499</v>
      </c>
      <c r="X32" s="62">
        <v>23.801557702982443</v>
      </c>
      <c r="Y32" s="66">
        <v>154.45088943218573</v>
      </c>
      <c r="Z32" s="66">
        <v>92.677401530987126</v>
      </c>
      <c r="AA32" s="67">
        <v>0</v>
      </c>
      <c r="AB32" s="68">
        <v>76.35214005576124</v>
      </c>
      <c r="AC32" s="69">
        <v>0</v>
      </c>
      <c r="AD32" s="409">
        <v>10.356422532759314</v>
      </c>
      <c r="AE32" s="409">
        <v>5.9850945698636071</v>
      </c>
      <c r="AF32" s="69">
        <v>16.037550347381167</v>
      </c>
      <c r="AG32" s="68">
        <v>9.915172588118498</v>
      </c>
      <c r="AH32" s="68">
        <v>5.9495444446861461</v>
      </c>
      <c r="AI32" s="68">
        <v>0.62498263080369887</v>
      </c>
      <c r="AJ32" s="69">
        <v>253.32699488004044</v>
      </c>
      <c r="AK32" s="69">
        <v>944.2675417264303</v>
      </c>
      <c r="AL32" s="69">
        <v>2829.7911516825357</v>
      </c>
      <c r="AM32" s="69">
        <v>480.9385986328125</v>
      </c>
      <c r="AN32" s="69">
        <v>3704.1353759765625</v>
      </c>
      <c r="AO32" s="69">
        <v>2482.2381369272866</v>
      </c>
      <c r="AP32" s="69">
        <v>597.57243938446038</v>
      </c>
      <c r="AQ32" s="69">
        <v>2171.5740442911779</v>
      </c>
      <c r="AR32" s="69">
        <v>366.30491995811468</v>
      </c>
      <c r="AS32" s="69">
        <v>530.12594712575276</v>
      </c>
    </row>
    <row r="33" spans="1:45" x14ac:dyDescent="0.25">
      <c r="A33" s="446">
        <v>43825</v>
      </c>
      <c r="B33" s="59"/>
      <c r="C33" s="60">
        <v>62.865500942866277</v>
      </c>
      <c r="D33" s="60">
        <v>964.16859105427864</v>
      </c>
      <c r="E33" s="60">
        <v>16.646499517063265</v>
      </c>
      <c r="F33" s="60">
        <v>0</v>
      </c>
      <c r="G33" s="60">
        <v>4278.5822906176309</v>
      </c>
      <c r="H33" s="61">
        <v>24.08531111876168</v>
      </c>
      <c r="I33" s="59">
        <v>144.27515209515909</v>
      </c>
      <c r="J33" s="60">
        <v>384.40814921061246</v>
      </c>
      <c r="K33" s="60">
        <v>22.739598358670943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260.6523007360301</v>
      </c>
      <c r="V33" s="62">
        <v>156.33399555743722</v>
      </c>
      <c r="W33" s="62">
        <v>40.054384027062241</v>
      </c>
      <c r="X33" s="62">
        <v>24.023812093199965</v>
      </c>
      <c r="Y33" s="66">
        <v>150.08929066753097</v>
      </c>
      <c r="Z33" s="66">
        <v>90.020530930204231</v>
      </c>
      <c r="AA33" s="67">
        <v>0</v>
      </c>
      <c r="AB33" s="68">
        <v>76.355329492356148</v>
      </c>
      <c r="AC33" s="69">
        <v>0</v>
      </c>
      <c r="AD33" s="409">
        <v>10.359748250977479</v>
      </c>
      <c r="AE33" s="409">
        <v>5.9923413005683761</v>
      </c>
      <c r="AF33" s="69">
        <v>15.941417706675002</v>
      </c>
      <c r="AG33" s="68">
        <v>9.8555655907387507</v>
      </c>
      <c r="AH33" s="68">
        <v>5.9111695654624379</v>
      </c>
      <c r="AI33" s="68">
        <v>0.6250860113460126</v>
      </c>
      <c r="AJ33" s="69">
        <v>259.15683326721188</v>
      </c>
      <c r="AK33" s="69">
        <v>955.42018349965417</v>
      </c>
      <c r="AL33" s="69">
        <v>2708.280687967936</v>
      </c>
      <c r="AM33" s="69">
        <v>480.9385986328125</v>
      </c>
      <c r="AN33" s="69">
        <v>3704.1353759765625</v>
      </c>
      <c r="AO33" s="69">
        <v>2530.780758158367</v>
      </c>
      <c r="AP33" s="69">
        <v>617.65837326049802</v>
      </c>
      <c r="AQ33" s="69">
        <v>2180.3538352966311</v>
      </c>
      <c r="AR33" s="69">
        <v>384.72905028661091</v>
      </c>
      <c r="AS33" s="69">
        <v>570.81401996612556</v>
      </c>
    </row>
    <row r="34" spans="1:45" x14ac:dyDescent="0.25">
      <c r="A34" s="446">
        <v>43826</v>
      </c>
      <c r="B34" s="59"/>
      <c r="C34" s="60">
        <v>64.058305398623318</v>
      </c>
      <c r="D34" s="60">
        <v>968.8381418228131</v>
      </c>
      <c r="E34" s="60">
        <v>16.989639288187004</v>
      </c>
      <c r="F34" s="60">
        <v>0</v>
      </c>
      <c r="G34" s="60">
        <v>4425.2612319866857</v>
      </c>
      <c r="H34" s="61">
        <v>24.108104591568299</v>
      </c>
      <c r="I34" s="59">
        <v>144.20555024941783</v>
      </c>
      <c r="J34" s="60">
        <v>384.46028671264651</v>
      </c>
      <c r="K34" s="60">
        <v>22.694864996274351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253.95862630653414</v>
      </c>
      <c r="V34" s="62">
        <v>147.0856519654605</v>
      </c>
      <c r="W34" s="62">
        <v>39.032559390347707</v>
      </c>
      <c r="X34" s="62">
        <v>22.60655418288556</v>
      </c>
      <c r="Y34" s="66">
        <v>147.53237039390805</v>
      </c>
      <c r="Z34" s="66">
        <v>85.446575298471956</v>
      </c>
      <c r="AA34" s="67">
        <v>0</v>
      </c>
      <c r="AB34" s="68">
        <v>77.547729905445181</v>
      </c>
      <c r="AC34" s="69">
        <v>0</v>
      </c>
      <c r="AD34" s="409">
        <v>10.35994832593266</v>
      </c>
      <c r="AE34" s="409">
        <v>6.020510499584887</v>
      </c>
      <c r="AF34" s="69">
        <v>15.435944898592103</v>
      </c>
      <c r="AG34" s="68">
        <v>9.6620953297590564</v>
      </c>
      <c r="AH34" s="68">
        <v>5.5960122780577386</v>
      </c>
      <c r="AI34" s="68">
        <v>0.63324336006184168</v>
      </c>
      <c r="AJ34" s="69">
        <v>264.7466244061788</v>
      </c>
      <c r="AK34" s="69">
        <v>973.64299570719425</v>
      </c>
      <c r="AL34" s="69">
        <v>2707.092041015625</v>
      </c>
      <c r="AM34" s="69">
        <v>480.9385986328125</v>
      </c>
      <c r="AN34" s="69">
        <v>3704.1353759765625</v>
      </c>
      <c r="AO34" s="69">
        <v>2569.7696203867604</v>
      </c>
      <c r="AP34" s="69">
        <v>587.73775320053096</v>
      </c>
      <c r="AQ34" s="69">
        <v>2171.4053035736079</v>
      </c>
      <c r="AR34" s="69">
        <v>401.92250447273256</v>
      </c>
      <c r="AS34" s="69">
        <v>618.27024240493779</v>
      </c>
    </row>
    <row r="35" spans="1:45" x14ac:dyDescent="0.25">
      <c r="A35" s="446">
        <v>43827</v>
      </c>
      <c r="B35" s="59"/>
      <c r="C35" s="60">
        <v>63.879129449526665</v>
      </c>
      <c r="D35" s="60">
        <v>973.21539147694864</v>
      </c>
      <c r="E35" s="60">
        <v>16.750105932851611</v>
      </c>
      <c r="F35" s="60">
        <v>0</v>
      </c>
      <c r="G35" s="60">
        <v>4605.174971071875</v>
      </c>
      <c r="H35" s="61">
        <v>24.212870775659898</v>
      </c>
      <c r="I35" s="59">
        <v>145.68682789007849</v>
      </c>
      <c r="J35" s="60">
        <v>388.81011923154188</v>
      </c>
      <c r="K35" s="60">
        <v>22.964108464121892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254.17798886834396</v>
      </c>
      <c r="V35" s="62">
        <v>151.98632086642402</v>
      </c>
      <c r="W35" s="62">
        <v>39.661922462270411</v>
      </c>
      <c r="X35" s="62">
        <v>23.715938977911293</v>
      </c>
      <c r="Y35" s="66">
        <v>150.00723774245313</v>
      </c>
      <c r="Z35" s="66">
        <v>89.697177435846385</v>
      </c>
      <c r="AA35" s="67">
        <v>0</v>
      </c>
      <c r="AB35" s="68">
        <v>77.567040443420467</v>
      </c>
      <c r="AC35" s="69">
        <v>0</v>
      </c>
      <c r="AD35" s="409">
        <v>10.478455417321424</v>
      </c>
      <c r="AE35" s="409">
        <v>6.0484604602132963</v>
      </c>
      <c r="AF35" s="69">
        <v>15.87393125428094</v>
      </c>
      <c r="AG35" s="68">
        <v>9.8245735451377723</v>
      </c>
      <c r="AH35" s="68">
        <v>5.8746266498336333</v>
      </c>
      <c r="AI35" s="68">
        <v>0.62580089578605858</v>
      </c>
      <c r="AJ35" s="69">
        <v>292.63850744565332</v>
      </c>
      <c r="AK35" s="69">
        <v>1028.0726999600727</v>
      </c>
      <c r="AL35" s="69">
        <v>2763.8396451314293</v>
      </c>
      <c r="AM35" s="69">
        <v>480.9385986328125</v>
      </c>
      <c r="AN35" s="69">
        <v>3704.1353759765625</v>
      </c>
      <c r="AO35" s="69">
        <v>2547.7030208587644</v>
      </c>
      <c r="AP35" s="69">
        <v>678.90436352094014</v>
      </c>
      <c r="AQ35" s="69">
        <v>2156.4997973124182</v>
      </c>
      <c r="AR35" s="69">
        <v>435.78129579226169</v>
      </c>
      <c r="AS35" s="69">
        <v>586.64305089314769</v>
      </c>
    </row>
    <row r="36" spans="1:45" x14ac:dyDescent="0.25">
      <c r="A36" s="446">
        <v>43828</v>
      </c>
      <c r="B36" s="59"/>
      <c r="C36" s="60">
        <v>63.680728010336807</v>
      </c>
      <c r="D36" s="60">
        <v>961.21987349192204</v>
      </c>
      <c r="E36" s="60">
        <v>16.61977125902969</v>
      </c>
      <c r="F36" s="60">
        <v>0</v>
      </c>
      <c r="G36" s="60">
        <v>4656.0456544876097</v>
      </c>
      <c r="H36" s="61">
        <v>24.228887142737694</v>
      </c>
      <c r="I36" s="59">
        <v>150.34746724764491</v>
      </c>
      <c r="J36" s="60">
        <v>389.51105383237228</v>
      </c>
      <c r="K36" s="60">
        <v>23.023639928301257</v>
      </c>
      <c r="L36" s="5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251.44328959809138</v>
      </c>
      <c r="V36" s="62">
        <v>150.80028818952132</v>
      </c>
      <c r="W36" s="62">
        <v>40.481956455895791</v>
      </c>
      <c r="X36" s="62">
        <v>24.278598604808725</v>
      </c>
      <c r="Y36" s="66">
        <v>151.77837150161866</v>
      </c>
      <c r="Z36" s="66">
        <v>91.027373209939341</v>
      </c>
      <c r="AA36" s="67">
        <v>0</v>
      </c>
      <c r="AB36" s="68">
        <v>77.910652314290388</v>
      </c>
      <c r="AC36" s="69">
        <v>0</v>
      </c>
      <c r="AD36" s="409">
        <v>10.497096469539535</v>
      </c>
      <c r="AE36" s="409">
        <v>6.0387082020471476</v>
      </c>
      <c r="AF36" s="69">
        <v>16.081014835172226</v>
      </c>
      <c r="AG36" s="68">
        <v>9.9043858084855216</v>
      </c>
      <c r="AH36" s="68">
        <v>5.940044121468409</v>
      </c>
      <c r="AI36" s="68">
        <v>0.62510206124622114</v>
      </c>
      <c r="AJ36" s="69">
        <v>289.64445068041493</v>
      </c>
      <c r="AK36" s="69">
        <v>1028.4864184061687</v>
      </c>
      <c r="AL36" s="69">
        <v>2781.7260281880699</v>
      </c>
      <c r="AM36" s="69">
        <v>480.9385986328125</v>
      </c>
      <c r="AN36" s="69">
        <v>3704.1353759765625</v>
      </c>
      <c r="AO36" s="69">
        <v>2668.3701337178545</v>
      </c>
      <c r="AP36" s="69">
        <v>1102.3164124806722</v>
      </c>
      <c r="AQ36" s="69">
        <v>2157.7385012308755</v>
      </c>
      <c r="AR36" s="69">
        <v>438.75447649955743</v>
      </c>
      <c r="AS36" s="69">
        <v>554.43698631922405</v>
      </c>
    </row>
    <row r="37" spans="1:45" x14ac:dyDescent="0.25">
      <c r="A37" s="446">
        <v>43829</v>
      </c>
      <c r="B37" s="65"/>
      <c r="C37" s="383">
        <v>64.058484431107971</v>
      </c>
      <c r="D37" s="383">
        <v>946.78829689025667</v>
      </c>
      <c r="E37" s="383">
        <v>16.358767534295684</v>
      </c>
      <c r="F37" s="383">
        <v>0</v>
      </c>
      <c r="G37" s="383">
        <v>4561.3653057098345</v>
      </c>
      <c r="H37" s="393">
        <v>24.124460116028757</v>
      </c>
      <c r="I37" s="382">
        <v>151.49537353515615</v>
      </c>
      <c r="J37" s="383">
        <v>387.73540447553108</v>
      </c>
      <c r="K37" s="383">
        <v>22.907921240727148</v>
      </c>
      <c r="L37" s="50">
        <v>0</v>
      </c>
      <c r="M37" s="383">
        <v>0</v>
      </c>
      <c r="N37" s="393">
        <v>0</v>
      </c>
      <c r="O37" s="382">
        <v>0</v>
      </c>
      <c r="P37" s="383">
        <v>0</v>
      </c>
      <c r="Q37" s="383">
        <v>0</v>
      </c>
      <c r="R37" s="394">
        <v>0</v>
      </c>
      <c r="S37" s="383">
        <v>0</v>
      </c>
      <c r="T37" s="395">
        <v>0</v>
      </c>
      <c r="U37" s="396">
        <v>246.60760952836333</v>
      </c>
      <c r="V37" s="81">
        <v>144.28391424610405</v>
      </c>
      <c r="W37" s="81">
        <v>39.914025821648728</v>
      </c>
      <c r="X37" s="81">
        <v>23.352693332868093</v>
      </c>
      <c r="Y37" s="80">
        <v>149.90212759552034</v>
      </c>
      <c r="Z37" s="80">
        <v>87.703967305246636</v>
      </c>
      <c r="AA37" s="82">
        <v>0</v>
      </c>
      <c r="AB37" s="397">
        <v>77.757766702438957</v>
      </c>
      <c r="AC37" s="391">
        <v>0</v>
      </c>
      <c r="AD37" s="409">
        <v>10.449077897499746</v>
      </c>
      <c r="AE37" s="409">
        <v>6.0314183463333304</v>
      </c>
      <c r="AF37" s="391">
        <v>15.782319113281039</v>
      </c>
      <c r="AG37" s="397">
        <v>9.7945036240243653</v>
      </c>
      <c r="AH37" s="397">
        <v>5.7305179011897058</v>
      </c>
      <c r="AI37" s="397">
        <v>0.63088502699446736</v>
      </c>
      <c r="AJ37" s="391">
        <v>285.53980375925704</v>
      </c>
      <c r="AK37" s="391">
        <v>1030.0988952000935</v>
      </c>
      <c r="AL37" s="391">
        <v>2816.8335168202716</v>
      </c>
      <c r="AM37" s="391">
        <v>480.9385986328125</v>
      </c>
      <c r="AN37" s="391">
        <v>3704.1353759765625</v>
      </c>
      <c r="AO37" s="391">
        <v>2579.7797723134354</v>
      </c>
      <c r="AP37" s="391">
        <v>920.03110423088094</v>
      </c>
      <c r="AQ37" s="391">
        <v>2113.0699946085606</v>
      </c>
      <c r="AR37" s="391">
        <v>427.5868337313334</v>
      </c>
      <c r="AS37" s="391">
        <v>606.3426772435505</v>
      </c>
    </row>
    <row r="38" spans="1:45" ht="15.75" thickBot="1" x14ac:dyDescent="0.3">
      <c r="A38" s="446">
        <v>43830</v>
      </c>
      <c r="B38" s="73"/>
      <c r="C38" s="74">
        <v>63.911269903183019</v>
      </c>
      <c r="D38" s="74">
        <v>944.06009654998513</v>
      </c>
      <c r="E38" s="74">
        <v>16.271386148532194</v>
      </c>
      <c r="F38" s="74">
        <v>0</v>
      </c>
      <c r="G38" s="74">
        <v>4511.5361956278421</v>
      </c>
      <c r="H38" s="75">
        <v>24.100756420691795</v>
      </c>
      <c r="I38" s="76">
        <v>151.12116935253164</v>
      </c>
      <c r="J38" s="74">
        <v>387.55900309880633</v>
      </c>
      <c r="K38" s="74">
        <v>22.940767114361154</v>
      </c>
      <c r="L38" s="50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249.20122423661579</v>
      </c>
      <c r="V38" s="80">
        <v>149.46857173218356</v>
      </c>
      <c r="W38" s="81">
        <v>39.754188323635539</v>
      </c>
      <c r="X38" s="81">
        <v>23.844191645961338</v>
      </c>
      <c r="Y38" s="80">
        <v>151.66311190226565</v>
      </c>
      <c r="Z38" s="80">
        <v>90.96612101297687</v>
      </c>
      <c r="AA38" s="82">
        <v>0</v>
      </c>
      <c r="AB38" s="83">
        <v>77.767316791746083</v>
      </c>
      <c r="AC38" s="84">
        <v>0</v>
      </c>
      <c r="AD38" s="409">
        <v>10.444565812382248</v>
      </c>
      <c r="AE38" s="409">
        <v>6.0138597380012468</v>
      </c>
      <c r="AF38" s="85">
        <v>16.116065216726721</v>
      </c>
      <c r="AG38" s="83">
        <v>9.9187258606638444</v>
      </c>
      <c r="AH38" s="83">
        <v>5.9491593283218913</v>
      </c>
      <c r="AI38" s="83">
        <v>0.62508177633832773</v>
      </c>
      <c r="AJ38" s="84">
        <v>276.14535648028055</v>
      </c>
      <c r="AK38" s="84">
        <v>1009.4147267977397</v>
      </c>
      <c r="AL38" s="84">
        <v>2810.0824017842606</v>
      </c>
      <c r="AM38" s="84">
        <v>480.9385986328125</v>
      </c>
      <c r="AN38" s="84">
        <v>3704.1353759765625</v>
      </c>
      <c r="AO38" s="84">
        <v>2559.3043469746913</v>
      </c>
      <c r="AP38" s="84">
        <v>991.5062527338664</v>
      </c>
      <c r="AQ38" s="84">
        <v>2116.5548973083496</v>
      </c>
      <c r="AR38" s="84">
        <v>401.97460776964829</v>
      </c>
      <c r="AS38" s="84">
        <v>640.05164022445683</v>
      </c>
    </row>
    <row r="39" spans="1:45" ht="15.75" thickTop="1" x14ac:dyDescent="0.25">
      <c r="A39" s="46" t="s">
        <v>171</v>
      </c>
      <c r="B39" s="29">
        <f t="shared" ref="B39:AC39" si="0">SUM(B8:B38)</f>
        <v>0</v>
      </c>
      <c r="C39" s="30">
        <f t="shared" si="0"/>
        <v>1317.913855141403</v>
      </c>
      <c r="D39" s="30">
        <f t="shared" si="0"/>
        <v>18658.59068062502</v>
      </c>
      <c r="E39" s="30">
        <f t="shared" si="0"/>
        <v>342.62079852124015</v>
      </c>
      <c r="F39" s="30">
        <f t="shared" si="0"/>
        <v>0</v>
      </c>
      <c r="G39" s="30">
        <f t="shared" si="0"/>
        <v>83987.309135961565</v>
      </c>
      <c r="H39" s="31">
        <f t="shared" si="0"/>
        <v>424.00153674880664</v>
      </c>
      <c r="I39" s="29">
        <f t="shared" si="0"/>
        <v>5090.9197926998158</v>
      </c>
      <c r="J39" s="30">
        <f t="shared" si="0"/>
        <v>12019.769733345513</v>
      </c>
      <c r="K39" s="30">
        <f t="shared" si="0"/>
        <v>715.95959857702326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7979.3212954937744</v>
      </c>
      <c r="V39" s="262">
        <f t="shared" si="0"/>
        <v>2645.9752989352482</v>
      </c>
      <c r="W39" s="262">
        <f t="shared" si="0"/>
        <v>1185.3453134337842</v>
      </c>
      <c r="X39" s="262">
        <f t="shared" si="0"/>
        <v>405.65431796711908</v>
      </c>
      <c r="Y39" s="262">
        <f t="shared" si="0"/>
        <v>4538.9277693473268</v>
      </c>
      <c r="Z39" s="262">
        <f t="shared" si="0"/>
        <v>1518.2672148900263</v>
      </c>
      <c r="AA39" s="270">
        <f t="shared" si="0"/>
        <v>0</v>
      </c>
      <c r="AB39" s="273">
        <f t="shared" si="0"/>
        <v>2030.7985585716024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8105.4039169788357</v>
      </c>
      <c r="AK39" s="273">
        <f t="shared" si="1"/>
        <v>26871.545931530003</v>
      </c>
      <c r="AL39" s="273">
        <f t="shared" si="1"/>
        <v>78003.408249219268</v>
      </c>
      <c r="AM39" s="273">
        <f t="shared" si="1"/>
        <v>15041.589698664347</v>
      </c>
      <c r="AN39" s="273">
        <f t="shared" si="1"/>
        <v>74841.478618113208</v>
      </c>
      <c r="AO39" s="273">
        <f t="shared" si="1"/>
        <v>66293.377050209048</v>
      </c>
      <c r="AP39" s="273">
        <f t="shared" si="1"/>
        <v>21079.293778944018</v>
      </c>
      <c r="AQ39" s="273">
        <f t="shared" si="1"/>
        <v>65348.740128453566</v>
      </c>
      <c r="AR39" s="273">
        <f t="shared" si="1"/>
        <v>11900.308912547431</v>
      </c>
      <c r="AS39" s="273">
        <f t="shared" si="1"/>
        <v>18641.346601359048</v>
      </c>
    </row>
    <row r="40" spans="1:45" ht="15.75" thickBot="1" x14ac:dyDescent="0.3">
      <c r="A40" s="47" t="s">
        <v>172</v>
      </c>
      <c r="B40" s="32">
        <f>Projection!$AD$30</f>
        <v>0.82128400199999985</v>
      </c>
      <c r="C40" s="33">
        <f>Projection!$AD$28</f>
        <v>1.4863548</v>
      </c>
      <c r="D40" s="33">
        <f>Projection!$AD$31</f>
        <v>2.9540280000000001</v>
      </c>
      <c r="E40" s="33">
        <f>Projection!$AD$26</f>
        <v>4.3368000000000002</v>
      </c>
      <c r="F40" s="33">
        <f>Projection!$AC$23</f>
        <v>0</v>
      </c>
      <c r="G40" s="33">
        <f>Projection!$AD$24</f>
        <v>5.9975000000000001E-2</v>
      </c>
      <c r="H40" s="34">
        <f>Projection!$AD$29</f>
        <v>3.7390305000000001</v>
      </c>
      <c r="I40" s="32">
        <f>Projection!$AD$30</f>
        <v>0.82128400199999985</v>
      </c>
      <c r="J40" s="33">
        <f>Projection!$AD$28</f>
        <v>1.4863548</v>
      </c>
      <c r="K40" s="33">
        <f>Projection!$AD$26</f>
        <v>4.3368000000000002</v>
      </c>
      <c r="L40" s="33">
        <f>Projection!$AD$25</f>
        <v>0</v>
      </c>
      <c r="M40" s="33">
        <f>Projection!$AC$23</f>
        <v>0</v>
      </c>
      <c r="N40" s="34">
        <f>Projection!$AC$23</f>
        <v>0</v>
      </c>
      <c r="O40" s="264">
        <v>15.77</v>
      </c>
      <c r="P40" s="265">
        <v>15.77</v>
      </c>
      <c r="Q40" s="265">
        <v>15.77</v>
      </c>
      <c r="R40" s="265">
        <v>15.77</v>
      </c>
      <c r="S40" s="265">
        <f>Projection!$AD$28</f>
        <v>1.4863548</v>
      </c>
      <c r="T40" s="266">
        <f>Projection!$AD$28</f>
        <v>1.4863548</v>
      </c>
      <c r="U40" s="264">
        <f>Projection!$AD$27</f>
        <v>0.29960000000000003</v>
      </c>
      <c r="V40" s="265">
        <f>Projection!$AD$27</f>
        <v>0.29960000000000003</v>
      </c>
      <c r="W40" s="265">
        <f>Projection!$AD$22</f>
        <v>0.74349432000000004</v>
      </c>
      <c r="X40" s="265">
        <f>Projection!$AD$22</f>
        <v>0.74349432000000004</v>
      </c>
      <c r="Y40" s="265">
        <f>Projection!$AD$31</f>
        <v>2.9540280000000001</v>
      </c>
      <c r="Z40" s="265">
        <f>Projection!$AD$31</f>
        <v>2.9540280000000001</v>
      </c>
      <c r="AA40" s="271">
        <v>0</v>
      </c>
      <c r="AB40" s="274">
        <f>Projection!$AD$27</f>
        <v>0.29960000000000003</v>
      </c>
      <c r="AC40" s="274">
        <f>Projection!$AD$30</f>
        <v>0.82128400199999985</v>
      </c>
      <c r="AD40" s="400">
        <f>SUM(AD8:AD38)</f>
        <v>313.5430169068494</v>
      </c>
      <c r="AE40" s="400">
        <f>SUM(AE8:AE38)</f>
        <v>124.01972516068913</v>
      </c>
      <c r="AF40" s="277">
        <f>SUM(AF8:AF38)</f>
        <v>399.98895111017754</v>
      </c>
      <c r="AG40" s="277">
        <f>SUM(AG8:AG38)</f>
        <v>294.39651211585107</v>
      </c>
      <c r="AH40" s="277">
        <f>SUM(AH8:AH38)</f>
        <v>99.842383872264847</v>
      </c>
      <c r="AI40" s="277">
        <f>IF(SUM(AG40:AH40)&gt;0, AG40/(AG40+AH40),0)</f>
        <v>0.74674649079964306</v>
      </c>
      <c r="AJ40" s="312">
        <v>6.7000000000000004E-2</v>
      </c>
      <c r="AK40" s="312">
        <f t="shared" ref="AK40:AS40" si="2">$AJ$40</f>
        <v>6.7000000000000004E-2</v>
      </c>
      <c r="AL40" s="312">
        <f t="shared" si="2"/>
        <v>6.7000000000000004E-2</v>
      </c>
      <c r="AM40" s="312">
        <f t="shared" si="2"/>
        <v>6.7000000000000004E-2</v>
      </c>
      <c r="AN40" s="312">
        <f t="shared" si="2"/>
        <v>6.7000000000000004E-2</v>
      </c>
      <c r="AO40" s="312">
        <f t="shared" si="2"/>
        <v>6.7000000000000004E-2</v>
      </c>
      <c r="AP40" s="312">
        <f t="shared" si="2"/>
        <v>6.7000000000000004E-2</v>
      </c>
      <c r="AQ40" s="312">
        <f t="shared" si="2"/>
        <v>6.7000000000000004E-2</v>
      </c>
      <c r="AR40" s="312">
        <f t="shared" si="2"/>
        <v>6.7000000000000004E-2</v>
      </c>
      <c r="AS40" s="312">
        <f t="shared" si="2"/>
        <v>6.7000000000000004E-2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1958.8875845759289</v>
      </c>
      <c r="D41" s="36">
        <f t="shared" si="3"/>
        <v>55117.99931110537</v>
      </c>
      <c r="E41" s="36">
        <f t="shared" si="3"/>
        <v>1485.8778790269143</v>
      </c>
      <c r="F41" s="36">
        <f t="shared" si="3"/>
        <v>0</v>
      </c>
      <c r="G41" s="36">
        <f t="shared" si="3"/>
        <v>5037.138865429295</v>
      </c>
      <c r="H41" s="37">
        <f t="shared" si="3"/>
        <v>1585.3546779506589</v>
      </c>
      <c r="I41" s="35">
        <f t="shared" si="3"/>
        <v>4181.0909812095142</v>
      </c>
      <c r="J41" s="36">
        <f t="shared" si="3"/>
        <v>17865.642438052822</v>
      </c>
      <c r="K41" s="36">
        <f t="shared" si="3"/>
        <v>3104.9735871088346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2390.6046601299349</v>
      </c>
      <c r="V41" s="268">
        <f t="shared" si="3"/>
        <v>792.73419956100042</v>
      </c>
      <c r="W41" s="268">
        <f t="shared" si="3"/>
        <v>881.29750777663833</v>
      </c>
      <c r="X41" s="268">
        <f t="shared" si="3"/>
        <v>301.60168129202702</v>
      </c>
      <c r="Y41" s="268">
        <f t="shared" si="3"/>
        <v>13408.119720629546</v>
      </c>
      <c r="Z41" s="268">
        <f t="shared" si="3"/>
        <v>4485.0038642671543</v>
      </c>
      <c r="AA41" s="272">
        <f t="shared" si="3"/>
        <v>0</v>
      </c>
      <c r="AB41" s="275">
        <f t="shared" si="3"/>
        <v>608.42724814805217</v>
      </c>
      <c r="AC41" s="275">
        <f t="shared" si="3"/>
        <v>0</v>
      </c>
      <c r="AJ41" s="278">
        <f t="shared" ref="AJ41:AS41" si="4">AJ40*AJ39</f>
        <v>543.06206243758197</v>
      </c>
      <c r="AK41" s="278">
        <f t="shared" si="4"/>
        <v>1800.3935774125102</v>
      </c>
      <c r="AL41" s="278">
        <f t="shared" si="4"/>
        <v>5226.2283526976917</v>
      </c>
      <c r="AM41" s="278">
        <f t="shared" si="4"/>
        <v>1007.7865098105113</v>
      </c>
      <c r="AN41" s="278">
        <f t="shared" si="4"/>
        <v>5014.3790674135853</v>
      </c>
      <c r="AO41" s="278">
        <f t="shared" si="4"/>
        <v>4441.6562623640066</v>
      </c>
      <c r="AP41" s="278">
        <f t="shared" si="4"/>
        <v>1412.3126831892494</v>
      </c>
      <c r="AQ41" s="278">
        <f t="shared" si="4"/>
        <v>4378.3655886063889</v>
      </c>
      <c r="AR41" s="278">
        <f t="shared" si="4"/>
        <v>797.32069714067791</v>
      </c>
      <c r="AS41" s="278">
        <f t="shared" si="4"/>
        <v>1248.9702222910562</v>
      </c>
    </row>
    <row r="42" spans="1:45" ht="49.5" customHeight="1" thickTop="1" thickBot="1" x14ac:dyDescent="0.3">
      <c r="A42" s="633">
        <f>NOVEMBER!$A$42+30</f>
        <v>43801</v>
      </c>
      <c r="B42" s="634"/>
      <c r="C42" s="634"/>
      <c r="D42" s="634"/>
      <c r="E42" s="634"/>
      <c r="F42" s="634"/>
      <c r="G42" s="634"/>
      <c r="H42" s="634"/>
      <c r="I42" s="634"/>
      <c r="J42" s="634"/>
      <c r="K42" s="63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1297.94</v>
      </c>
      <c r="AK42" s="278" t="s">
        <v>197</v>
      </c>
      <c r="AL42" s="278">
        <v>2213.9299999999998</v>
      </c>
      <c r="AM42" s="278">
        <v>808.31</v>
      </c>
      <c r="AN42" s="278">
        <v>1536.17</v>
      </c>
      <c r="AO42" s="278">
        <v>6286.15</v>
      </c>
      <c r="AP42" s="278">
        <v>1921.67</v>
      </c>
      <c r="AQ42" s="278" t="s">
        <v>197</v>
      </c>
      <c r="AR42" s="278">
        <v>245.14</v>
      </c>
      <c r="AS42" s="278">
        <v>445.55</v>
      </c>
    </row>
    <row r="43" spans="1:45" ht="38.25" customHeight="1" thickTop="1" thickBot="1" x14ac:dyDescent="0.3">
      <c r="A43" s="630" t="s">
        <v>49</v>
      </c>
      <c r="B43" s="626"/>
      <c r="C43" s="289"/>
      <c r="D43" s="626" t="s">
        <v>47</v>
      </c>
      <c r="E43" s="626"/>
      <c r="F43" s="289"/>
      <c r="G43" s="626" t="s">
        <v>48</v>
      </c>
      <c r="H43" s="626"/>
      <c r="I43" s="290"/>
      <c r="J43" s="626" t="s">
        <v>50</v>
      </c>
      <c r="K43" s="627"/>
      <c r="L43" s="44"/>
      <c r="M43" s="44"/>
      <c r="N43" s="44"/>
      <c r="O43" s="45"/>
      <c r="P43" s="45"/>
      <c r="Q43" s="45"/>
      <c r="R43" s="615" t="s">
        <v>166</v>
      </c>
      <c r="S43" s="616"/>
      <c r="T43" s="616"/>
      <c r="U43" s="617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113204.75420626369</v>
      </c>
      <c r="C44" s="12"/>
      <c r="D44" s="282" t="s">
        <v>135</v>
      </c>
      <c r="E44" s="283">
        <f>SUM(B41:H41)+P41+R41+T41+V41+X41+Z41</f>
        <v>70764.598063208352</v>
      </c>
      <c r="F44" s="12"/>
      <c r="G44" s="282" t="s">
        <v>135</v>
      </c>
      <c r="H44" s="283">
        <f>SUM(I41:N41)+O41+Q41+S41+U41+W41+Y41</f>
        <v>41831.72889490729</v>
      </c>
      <c r="I44" s="12"/>
      <c r="J44" s="282" t="s">
        <v>198</v>
      </c>
      <c r="K44" s="283">
        <v>280358.28999999998</v>
      </c>
      <c r="L44" s="12"/>
      <c r="M44" s="12"/>
      <c r="N44" s="12"/>
      <c r="O44" s="12"/>
      <c r="P44" s="12"/>
      <c r="Q44" s="12"/>
      <c r="R44" s="319" t="s">
        <v>135</v>
      </c>
      <c r="S44" s="320"/>
      <c r="T44" s="313" t="s">
        <v>167</v>
      </c>
      <c r="U44" s="255" t="s">
        <v>168</v>
      </c>
    </row>
    <row r="45" spans="1:45" ht="24" thickBot="1" x14ac:dyDescent="0.4">
      <c r="A45" s="284" t="s">
        <v>183</v>
      </c>
      <c r="B45" s="285">
        <f>SUM(AJ41:AS41)</f>
        <v>25870.475023363259</v>
      </c>
      <c r="C45" s="12"/>
      <c r="D45" s="284" t="s">
        <v>183</v>
      </c>
      <c r="E45" s="285">
        <f>AJ41*(1-$AI$40)+AK41+AL41*0.5+AN41+AO41*(1-$AI$40)+AP41*(1-$AI$40)+AQ41*(1-$AI$40)+AR41*0.5+AS41*0.5</f>
        <v>13179.939282004638</v>
      </c>
      <c r="F45" s="24"/>
      <c r="G45" s="284" t="s">
        <v>183</v>
      </c>
      <c r="H45" s="285">
        <f>AJ41*AI40+AL41*0.5+AM41+AO41*AI40+AP41*AI40+AQ41*AI40+AR41*0.5+AS41*0.5</f>
        <v>12690.535741358621</v>
      </c>
      <c r="I45" s="12"/>
      <c r="J45" s="12"/>
      <c r="K45" s="288"/>
      <c r="L45" s="12"/>
      <c r="M45" s="12"/>
      <c r="N45" s="12"/>
      <c r="O45" s="12"/>
      <c r="P45" s="12"/>
      <c r="Q45" s="12"/>
      <c r="R45" s="317" t="s">
        <v>141</v>
      </c>
      <c r="S45" s="318"/>
      <c r="T45" s="254">
        <f>$W$39+$X$39</f>
        <v>1590.9996314009034</v>
      </c>
      <c r="U45" s="256">
        <f>(T45*8.34*0.895)/27000</f>
        <v>0.43984068698762085</v>
      </c>
    </row>
    <row r="46" spans="1:45" ht="32.25" thickBot="1" x14ac:dyDescent="0.3">
      <c r="A46" s="286" t="s">
        <v>184</v>
      </c>
      <c r="B46" s="287">
        <f>SUM(AJ42:AS42)</f>
        <v>14754.859999999999</v>
      </c>
      <c r="C46" s="12"/>
      <c r="D46" s="286" t="s">
        <v>184</v>
      </c>
      <c r="E46" s="287">
        <f>AJ42*(1-$AI$40)+AL42*0.5+AN42+AO42*(1-$AI$40)+AP42*(1-$AI$40)+AR42*0.5+AS42*0.5</f>
        <v>5395.847077616384</v>
      </c>
      <c r="F46" s="23"/>
      <c r="G46" s="286" t="s">
        <v>184</v>
      </c>
      <c r="H46" s="287">
        <f>AJ42*AI40+AL42*0.5+AM42+AO42*AI40+AP42*AI40+AR42*0.5+AS42*0.5</f>
        <v>9359.0129223836138</v>
      </c>
      <c r="I46" s="12"/>
      <c r="J46" s="628" t="s">
        <v>199</v>
      </c>
      <c r="K46" s="629"/>
      <c r="L46" s="12"/>
      <c r="M46" s="12"/>
      <c r="N46" s="12"/>
      <c r="O46" s="12"/>
      <c r="P46" s="12"/>
      <c r="Q46" s="12"/>
      <c r="R46" s="317" t="s">
        <v>145</v>
      </c>
      <c r="S46" s="318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280358.28999999998</v>
      </c>
      <c r="C47" s="12"/>
      <c r="D47" s="286" t="s">
        <v>187</v>
      </c>
      <c r="E47" s="287">
        <f>K44*0.5</f>
        <v>140179.14499999999</v>
      </c>
      <c r="F47" s="24"/>
      <c r="G47" s="286" t="s">
        <v>185</v>
      </c>
      <c r="H47" s="287">
        <f>K44*0.5</f>
        <v>140179.14499999999</v>
      </c>
      <c r="I47" s="12"/>
      <c r="J47" s="282" t="s">
        <v>198</v>
      </c>
      <c r="K47" s="283">
        <v>74794.600000000006</v>
      </c>
      <c r="L47" s="12"/>
      <c r="M47" s="12"/>
      <c r="N47" s="12"/>
      <c r="O47" s="12"/>
      <c r="P47" s="12"/>
      <c r="Q47" s="12"/>
      <c r="R47" s="317" t="s">
        <v>148</v>
      </c>
      <c r="S47" s="318"/>
      <c r="T47" s="254">
        <f>$G$39</f>
        <v>83987.309135961565</v>
      </c>
      <c r="U47" s="256">
        <f>T47/40000</f>
        <v>2.0996827283990389</v>
      </c>
    </row>
    <row r="48" spans="1:45" ht="24" thickBot="1" x14ac:dyDescent="0.3">
      <c r="A48" s="286" t="s">
        <v>186</v>
      </c>
      <c r="B48" s="287">
        <f>K47</f>
        <v>74794.600000000006</v>
      </c>
      <c r="C48" s="12"/>
      <c r="D48" s="286" t="s">
        <v>186</v>
      </c>
      <c r="E48" s="287">
        <f>K47*0.5</f>
        <v>37397.300000000003</v>
      </c>
      <c r="F48" s="23"/>
      <c r="G48" s="286" t="s">
        <v>186</v>
      </c>
      <c r="H48" s="287">
        <f>K47*0.5</f>
        <v>37397.300000000003</v>
      </c>
      <c r="I48" s="12"/>
      <c r="J48" s="12"/>
      <c r="K48" s="86"/>
      <c r="L48" s="12"/>
      <c r="M48" s="12"/>
      <c r="N48" s="12"/>
      <c r="O48" s="12"/>
      <c r="P48" s="12"/>
      <c r="Q48" s="12"/>
      <c r="R48" s="317" t="s">
        <v>150</v>
      </c>
      <c r="S48" s="318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194</v>
      </c>
      <c r="B49" s="292">
        <f>AF40</f>
        <v>399.98895111017754</v>
      </c>
      <c r="C49" s="12"/>
      <c r="D49" s="291" t="s">
        <v>195</v>
      </c>
      <c r="E49" s="292">
        <f>AH40</f>
        <v>99.842383872264847</v>
      </c>
      <c r="F49" s="23"/>
      <c r="G49" s="291" t="s">
        <v>196</v>
      </c>
      <c r="H49" s="292">
        <f>AG40</f>
        <v>294.39651211585107</v>
      </c>
      <c r="I49" s="12"/>
      <c r="J49" s="12"/>
      <c r="K49" s="86"/>
      <c r="L49" s="12"/>
      <c r="M49" s="12"/>
      <c r="N49" s="12"/>
      <c r="O49" s="12"/>
      <c r="P49" s="12"/>
      <c r="Q49" s="12"/>
      <c r="R49" s="317" t="s">
        <v>152</v>
      </c>
      <c r="S49" s="318"/>
      <c r="T49" s="254">
        <f>$E$39+$K$39</f>
        <v>1058.5803970982633</v>
      </c>
      <c r="U49" s="256">
        <f>(T49*8.34*1.04)/45000</f>
        <v>0.20403784293936661</v>
      </c>
    </row>
    <row r="50" spans="1:25" ht="48" customHeight="1" thickTop="1" thickBot="1" x14ac:dyDescent="0.3">
      <c r="A50" s="291" t="s">
        <v>223</v>
      </c>
      <c r="B50" s="292">
        <f>SUM(E50+H50)</f>
        <v>437.56274206753852</v>
      </c>
      <c r="C50" s="12"/>
      <c r="D50" s="291" t="s">
        <v>224</v>
      </c>
      <c r="E50" s="292">
        <f>AE40</f>
        <v>124.01972516068913</v>
      </c>
      <c r="F50" s="23"/>
      <c r="G50" s="291" t="s">
        <v>228</v>
      </c>
      <c r="H50" s="292">
        <f>AD40</f>
        <v>313.5430169068494</v>
      </c>
      <c r="I50" s="12"/>
      <c r="J50" s="12"/>
      <c r="K50" s="86"/>
      <c r="L50" s="12"/>
      <c r="M50" s="12"/>
      <c r="N50" s="12"/>
      <c r="O50" s="12"/>
      <c r="P50" s="12"/>
      <c r="Q50" s="12"/>
      <c r="R50" s="317"/>
      <c r="S50" s="318"/>
      <c r="T50" s="254"/>
      <c r="U50" s="256"/>
    </row>
    <row r="51" spans="1:25" ht="48" thickTop="1" thickBot="1" x14ac:dyDescent="0.3">
      <c r="A51" s="291" t="s">
        <v>190</v>
      </c>
      <c r="B51" s="293">
        <f>(SUM(B44:B48)/B50)</f>
        <v>1163.2228485099506</v>
      </c>
      <c r="C51" s="12"/>
      <c r="D51" s="291" t="s">
        <v>188</v>
      </c>
      <c r="E51" s="399">
        <f>SUM(E44:E48)/E50</f>
        <v>2152.2127151708505</v>
      </c>
      <c r="F51" s="374">
        <f>E44/E50</f>
        <v>570.59147624718969</v>
      </c>
      <c r="G51" s="291" t="s">
        <v>189</v>
      </c>
      <c r="H51" s="399">
        <f>SUM(H44:H48)/H50</f>
        <v>770.09440344316215</v>
      </c>
      <c r="I51" s="373">
        <f>H44/H50</f>
        <v>133.4162352189623</v>
      </c>
      <c r="J51" s="12"/>
      <c r="K51" s="86"/>
      <c r="L51" s="12"/>
      <c r="M51" s="12"/>
      <c r="N51" s="12"/>
      <c r="O51" s="12"/>
      <c r="P51" s="12"/>
      <c r="Q51" s="12"/>
      <c r="R51" s="317" t="s">
        <v>153</v>
      </c>
      <c r="S51" s="318"/>
      <c r="T51" s="254">
        <f>$U$39+$V$39+$AB$39</f>
        <v>12656.095153000624</v>
      </c>
      <c r="U51" s="256">
        <f>T51/2000/8</f>
        <v>0.79100594706253902</v>
      </c>
    </row>
    <row r="52" spans="1:25" ht="48" thickTop="1" thickBot="1" x14ac:dyDescent="0.3">
      <c r="A52" s="281" t="s">
        <v>191</v>
      </c>
      <c r="B52" s="294">
        <f>B51/1000</f>
        <v>1.1632228485099505</v>
      </c>
      <c r="C52" s="12"/>
      <c r="D52" s="281" t="s">
        <v>192</v>
      </c>
      <c r="E52" s="294">
        <f>E51/1000</f>
        <v>2.1522127151708506</v>
      </c>
      <c r="F52" s="12"/>
      <c r="G52" s="281" t="s">
        <v>193</v>
      </c>
      <c r="H52" s="294">
        <f>H51/1000</f>
        <v>0.77009440344316216</v>
      </c>
      <c r="I52" s="12"/>
      <c r="J52" s="12"/>
      <c r="K52" s="86"/>
      <c r="L52" s="12"/>
      <c r="M52" s="12"/>
      <c r="N52" s="12"/>
      <c r="O52" s="12"/>
      <c r="P52" s="12"/>
      <c r="Q52" s="12"/>
      <c r="R52" s="317" t="s">
        <v>154</v>
      </c>
      <c r="S52" s="318"/>
      <c r="T52" s="254">
        <f>$C$39+$J$39+$S$39+$T$39</f>
        <v>13337.683588486916</v>
      </c>
      <c r="U52" s="256">
        <f>(T52*8.34*1.4)/45000</f>
        <v>3.4606843017594047</v>
      </c>
    </row>
    <row r="53" spans="1:25" ht="16.5" thickTop="1" thickBot="1" x14ac:dyDescent="0.3">
      <c r="A53" s="302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7" t="s">
        <v>155</v>
      </c>
      <c r="S53" s="318"/>
      <c r="T53" s="254">
        <f>$H$39</f>
        <v>424.00153674880664</v>
      </c>
      <c r="U53" s="256">
        <f>(T53*8.34*1.135)/45000</f>
        <v>8.919013659356731E-2</v>
      </c>
    </row>
    <row r="54" spans="1:25" ht="33" thickTop="1" thickBot="1" x14ac:dyDescent="0.3">
      <c r="A54" s="618" t="s">
        <v>51</v>
      </c>
      <c r="B54" s="619"/>
      <c r="C54" s="619"/>
      <c r="D54" s="619"/>
      <c r="E54" s="62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7" t="s">
        <v>156</v>
      </c>
      <c r="S54" s="318"/>
      <c r="T54" s="254">
        <f>$B$39+$I$39+$AC$39</f>
        <v>5090.9197926998158</v>
      </c>
      <c r="U54" s="256">
        <f>(T54*8.34*1.029*0.03)/3300</f>
        <v>0.39717782665617118</v>
      </c>
    </row>
    <row r="55" spans="1:25" ht="54.75" customHeight="1" thickBot="1" x14ac:dyDescent="0.3">
      <c r="A55" s="623" t="s">
        <v>200</v>
      </c>
      <c r="B55" s="624"/>
      <c r="C55" s="624"/>
      <c r="D55" s="624"/>
      <c r="E55" s="62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1" t="s">
        <v>158</v>
      </c>
      <c r="S55" s="669"/>
      <c r="T55" s="326">
        <f>$D$39+$Y$39+$Z$39</f>
        <v>24715.785664862375</v>
      </c>
      <c r="U55" s="327">
        <f>(T55*1.54*8.34)/45000</f>
        <v>7.054214772560587</v>
      </c>
      <c r="V55" s="325"/>
      <c r="W55" s="12"/>
      <c r="X55" s="12"/>
      <c r="Y55" s="12"/>
    </row>
    <row r="56" spans="1:25" ht="15.75" thickTop="1" x14ac:dyDescent="0.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329"/>
      <c r="T56" s="614"/>
      <c r="U56" s="614"/>
      <c r="V56" s="323"/>
      <c r="W56" s="324"/>
      <c r="X56" s="322"/>
      <c r="Y56" s="322"/>
    </row>
    <row r="57" spans="1:25" x14ac:dyDescent="0.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322"/>
      <c r="T57" s="667"/>
      <c r="U57" s="667"/>
      <c r="V57" s="323"/>
      <c r="W57" s="324"/>
      <c r="X57" s="322"/>
      <c r="Y57" s="322"/>
    </row>
    <row r="58" spans="1:25" x14ac:dyDescent="0.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322"/>
      <c r="T58" s="667"/>
      <c r="U58" s="667"/>
      <c r="V58" s="323"/>
      <c r="W58" s="324"/>
      <c r="X58" s="322"/>
      <c r="Y58" s="322"/>
    </row>
    <row r="59" spans="1:25" x14ac:dyDescent="0.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322"/>
      <c r="T59" s="667"/>
      <c r="U59" s="667"/>
      <c r="V59" s="323"/>
      <c r="W59" s="324"/>
      <c r="X59" s="322"/>
      <c r="Y59" s="322"/>
    </row>
    <row r="60" spans="1:25" x14ac:dyDescent="0.25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322"/>
      <c r="T60" s="667"/>
      <c r="U60" s="667"/>
      <c r="V60" s="323"/>
      <c r="W60" s="324"/>
      <c r="X60" s="322"/>
      <c r="Y60" s="322"/>
    </row>
    <row r="61" spans="1:25" x14ac:dyDescent="0.25">
      <c r="S61" s="322"/>
      <c r="T61" s="667"/>
      <c r="U61" s="667"/>
      <c r="V61" s="323"/>
      <c r="W61" s="324"/>
      <c r="X61" s="322"/>
      <c r="Y61" s="322"/>
    </row>
    <row r="62" spans="1:25" x14ac:dyDescent="0.25">
      <c r="S62" s="322"/>
      <c r="T62" s="667"/>
      <c r="U62" s="667"/>
      <c r="V62" s="323"/>
      <c r="W62" s="324"/>
      <c r="X62" s="322"/>
      <c r="Y62" s="322"/>
    </row>
    <row r="63" spans="1:25" x14ac:dyDescent="0.25">
      <c r="S63" s="322"/>
      <c r="T63" s="667"/>
      <c r="U63" s="667"/>
      <c r="V63" s="323"/>
      <c r="W63" s="324"/>
      <c r="X63" s="322"/>
      <c r="Y63" s="322"/>
    </row>
    <row r="64" spans="1:25" x14ac:dyDescent="0.25">
      <c r="S64" s="322"/>
      <c r="T64" s="322"/>
      <c r="U64" s="322"/>
      <c r="V64" s="322"/>
      <c r="W64" s="322"/>
      <c r="X64" s="322"/>
      <c r="Y64" s="322"/>
    </row>
    <row r="65" spans="19:25" x14ac:dyDescent="0.25">
      <c r="S65" s="322"/>
      <c r="T65" s="322"/>
      <c r="U65" s="322"/>
      <c r="V65" s="322"/>
      <c r="W65" s="322"/>
      <c r="X65" s="322"/>
      <c r="Y65" s="322"/>
    </row>
    <row r="66" spans="19:25" x14ac:dyDescent="0.25">
      <c r="S66" s="322"/>
      <c r="T66" s="322"/>
      <c r="U66" s="322"/>
      <c r="V66" s="322"/>
      <c r="W66" s="322"/>
      <c r="X66" s="322"/>
      <c r="Y66" s="322"/>
    </row>
  </sheetData>
  <sheetProtection algorithmName="SHA-512" hashValue="M7YG54FrzkjoGgOTHV3mMtLjQRddNlV6yOzckQtFtWWG0tTIhS5Fsc/SwX2+cxZRLc6HDMwKaGDUZ+oKEUsevQ==" saltValue="d1TiFar//M768LjgkUy5Pw==" spinCount="100000" sheet="1" selectLockedCells="1" selectUnlockedCells="1"/>
  <mergeCells count="40">
    <mergeCell ref="AQ4:AQ5"/>
    <mergeCell ref="AR4:AR5"/>
    <mergeCell ref="AS4:AS5"/>
    <mergeCell ref="U4:AA5"/>
    <mergeCell ref="AB4:AB5"/>
    <mergeCell ref="AC4:AC5"/>
    <mergeCell ref="AI4:AI5"/>
    <mergeCell ref="AO4:AO5"/>
    <mergeCell ref="AJ4:AJ5"/>
    <mergeCell ref="AK4:AK5"/>
    <mergeCell ref="AL4:AL5"/>
    <mergeCell ref="AM4:AM5"/>
    <mergeCell ref="AP4:AP5"/>
    <mergeCell ref="AN4:AN5"/>
    <mergeCell ref="AD4:AD5"/>
    <mergeCell ref="AE4:AE5"/>
    <mergeCell ref="T62:U62"/>
    <mergeCell ref="T63:U63"/>
    <mergeCell ref="T57:U57"/>
    <mergeCell ref="T58:U58"/>
    <mergeCell ref="T59:U59"/>
    <mergeCell ref="T60:U60"/>
    <mergeCell ref="T61:U61"/>
    <mergeCell ref="T56:U56"/>
    <mergeCell ref="AF4:AF5"/>
    <mergeCell ref="AG4:AG5"/>
    <mergeCell ref="AH4:AH5"/>
    <mergeCell ref="O4:T5"/>
    <mergeCell ref="J46:K46"/>
    <mergeCell ref="A54:E54"/>
    <mergeCell ref="A55:E55"/>
    <mergeCell ref="R55:S55"/>
    <mergeCell ref="A43:B43"/>
    <mergeCell ref="D43:E43"/>
    <mergeCell ref="G43:H43"/>
    <mergeCell ref="B4:H5"/>
    <mergeCell ref="I4:N5"/>
    <mergeCell ref="A42:K42"/>
    <mergeCell ref="J43:K43"/>
    <mergeCell ref="R43:U43"/>
  </mergeCells>
  <pageMargins left="0.33" right="0.19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59"/>
  <sheetViews>
    <sheetView zoomScale="80" zoomScaleNormal="80" workbookViewId="0">
      <selection activeCell="G44" sqref="G44"/>
    </sheetView>
  </sheetViews>
  <sheetFormatPr defaultRowHeight="15" x14ac:dyDescent="0.25"/>
  <cols>
    <col min="1" max="1" width="10.140625" customWidth="1"/>
    <col min="2" max="2" width="25.5703125" bestFit="1" customWidth="1"/>
    <col min="3" max="5" width="9.85546875" bestFit="1" customWidth="1"/>
    <col min="6" max="10" width="8.7109375" customWidth="1"/>
    <col min="11" max="11" width="9.28515625" bestFit="1" customWidth="1"/>
    <col min="12" max="25" width="8.7109375" customWidth="1"/>
    <col min="26" max="26" width="9.28515625" bestFit="1" customWidth="1"/>
    <col min="27" max="37" width="8.7109375" customWidth="1"/>
  </cols>
  <sheetData>
    <row r="1" spans="1:37" ht="28.5" customHeight="1" thickTop="1" thickBot="1" x14ac:dyDescent="0.3">
      <c r="A1" s="457">
        <v>2016</v>
      </c>
      <c r="B1" s="458"/>
      <c r="C1" s="461" t="s">
        <v>89</v>
      </c>
      <c r="D1" s="462"/>
      <c r="E1" s="462"/>
      <c r="F1" s="462"/>
      <c r="G1" s="462"/>
      <c r="H1" s="462"/>
      <c r="I1" s="462"/>
      <c r="J1" s="462"/>
      <c r="K1" s="462"/>
      <c r="L1" s="462"/>
      <c r="M1" s="462"/>
      <c r="N1" s="462"/>
      <c r="O1" s="462"/>
      <c r="P1" s="462"/>
      <c r="Q1" s="462"/>
      <c r="R1" s="462"/>
      <c r="S1" s="462"/>
      <c r="T1" s="462"/>
      <c r="U1" s="462"/>
      <c r="V1" s="463"/>
      <c r="W1" s="463"/>
      <c r="X1" s="463"/>
      <c r="Y1" s="463"/>
      <c r="Z1" s="463"/>
      <c r="AA1" s="463"/>
      <c r="AB1" s="463"/>
      <c r="AC1" s="462"/>
      <c r="AD1" s="462"/>
      <c r="AE1" s="462"/>
      <c r="AF1" s="462"/>
      <c r="AG1" s="462"/>
      <c r="AH1" s="462"/>
      <c r="AI1" s="462"/>
      <c r="AJ1" s="462"/>
      <c r="AK1" s="464"/>
    </row>
    <row r="2" spans="1:37" ht="28.5" customHeight="1" thickTop="1" thickBot="1" x14ac:dyDescent="0.3">
      <c r="A2" s="465"/>
      <c r="B2" s="466"/>
      <c r="C2" s="472" t="s">
        <v>66</v>
      </c>
      <c r="D2" s="473"/>
      <c r="E2" s="473"/>
      <c r="F2" s="473"/>
      <c r="G2" s="473"/>
      <c r="H2" s="473"/>
      <c r="I2" s="474"/>
      <c r="J2" s="475" t="s">
        <v>71</v>
      </c>
      <c r="K2" s="476"/>
      <c r="L2" s="476"/>
      <c r="M2" s="476"/>
      <c r="N2" s="476"/>
      <c r="O2" s="477"/>
      <c r="P2" s="478" t="s">
        <v>73</v>
      </c>
      <c r="Q2" s="479"/>
      <c r="R2" s="479"/>
      <c r="S2" s="479"/>
      <c r="T2" s="479"/>
      <c r="U2" s="480"/>
      <c r="V2" s="481" t="s">
        <v>82</v>
      </c>
      <c r="W2" s="482"/>
      <c r="X2" s="482"/>
      <c r="Y2" s="482"/>
      <c r="Z2" s="482"/>
      <c r="AA2" s="482"/>
      <c r="AB2" s="483"/>
      <c r="AC2" s="484" t="s">
        <v>83</v>
      </c>
      <c r="AD2" s="485"/>
      <c r="AE2" s="486" t="s">
        <v>229</v>
      </c>
      <c r="AF2" s="487"/>
      <c r="AG2" s="488"/>
      <c r="AH2" s="469" t="s">
        <v>85</v>
      </c>
      <c r="AI2" s="470"/>
      <c r="AJ2" s="470"/>
      <c r="AK2" s="471"/>
    </row>
    <row r="3" spans="1:37" ht="119.25" customHeight="1" thickBot="1" x14ac:dyDescent="0.3">
      <c r="A3" s="467"/>
      <c r="B3" s="468"/>
      <c r="C3" s="228" t="s">
        <v>67</v>
      </c>
      <c r="D3" s="228" t="s">
        <v>68</v>
      </c>
      <c r="E3" s="228" t="s">
        <v>11</v>
      </c>
      <c r="F3" s="228" t="s">
        <v>12</v>
      </c>
      <c r="G3" s="228" t="s">
        <v>13</v>
      </c>
      <c r="H3" s="228" t="s">
        <v>69</v>
      </c>
      <c r="I3" s="229" t="s">
        <v>70</v>
      </c>
      <c r="J3" s="230" t="s">
        <v>67</v>
      </c>
      <c r="K3" s="230" t="s">
        <v>72</v>
      </c>
      <c r="L3" s="231" t="s">
        <v>17</v>
      </c>
      <c r="M3" s="230" t="s">
        <v>18</v>
      </c>
      <c r="N3" s="230" t="s">
        <v>19</v>
      </c>
      <c r="O3" s="230" t="s">
        <v>13</v>
      </c>
      <c r="P3" s="232" t="s">
        <v>35</v>
      </c>
      <c r="Q3" s="233" t="s">
        <v>36</v>
      </c>
      <c r="R3" s="232" t="s">
        <v>74</v>
      </c>
      <c r="S3" s="232" t="s">
        <v>75</v>
      </c>
      <c r="T3" s="232" t="s">
        <v>76</v>
      </c>
      <c r="U3" s="232" t="s">
        <v>77</v>
      </c>
      <c r="V3" s="234" t="s">
        <v>78</v>
      </c>
      <c r="W3" s="234" t="s">
        <v>79</v>
      </c>
      <c r="X3" s="234" t="s">
        <v>80</v>
      </c>
      <c r="Y3" s="234" t="s">
        <v>81</v>
      </c>
      <c r="Z3" s="234" t="s">
        <v>45</v>
      </c>
      <c r="AA3" s="234" t="s">
        <v>46</v>
      </c>
      <c r="AB3" s="234" t="s">
        <v>20</v>
      </c>
      <c r="AC3" s="235" t="s">
        <v>7</v>
      </c>
      <c r="AD3" s="236" t="s">
        <v>84</v>
      </c>
      <c r="AE3" s="402" t="s">
        <v>230</v>
      </c>
      <c r="AF3" s="402" t="s">
        <v>231</v>
      </c>
      <c r="AG3" s="402"/>
      <c r="AH3" s="237" t="s">
        <v>27</v>
      </c>
      <c r="AI3" s="237" t="s">
        <v>31</v>
      </c>
      <c r="AJ3" s="237" t="s">
        <v>32</v>
      </c>
      <c r="AK3" s="238" t="s">
        <v>33</v>
      </c>
    </row>
    <row r="4" spans="1:37" ht="15.75" customHeight="1" thickTop="1" x14ac:dyDescent="0.25">
      <c r="A4" s="454" t="s">
        <v>86</v>
      </c>
      <c r="B4" s="89" t="s">
        <v>52</v>
      </c>
      <c r="C4" s="101">
        <f>JANUARY!B39</f>
        <v>0</v>
      </c>
      <c r="D4" s="101">
        <f>JANUARY!C39</f>
        <v>2318.9901094357178</v>
      </c>
      <c r="E4" s="101">
        <f>JANUARY!D39</f>
        <v>25054.451746865143</v>
      </c>
      <c r="F4" s="101">
        <f>JANUARY!E39</f>
        <v>900.93511189122705</v>
      </c>
      <c r="G4" s="101">
        <f>JANUARY!F39</f>
        <v>0</v>
      </c>
      <c r="H4" s="101">
        <f>JANUARY!G39</f>
        <v>60893.948752721182</v>
      </c>
      <c r="I4" s="101">
        <f>JANUARY!H39</f>
        <v>825.77424926956598</v>
      </c>
      <c r="J4" s="101">
        <f>JANUARY!I39</f>
        <v>3435.960429553189</v>
      </c>
      <c r="K4" s="101">
        <f>JANUARY!J39</f>
        <v>10554.993062146523</v>
      </c>
      <c r="L4" s="239">
        <f>JANUARY!K39</f>
        <v>573.69924485137039</v>
      </c>
      <c r="M4" s="101">
        <f>JANUARY!L39</f>
        <v>0</v>
      </c>
      <c r="N4" s="101">
        <f>JANUARY!M39</f>
        <v>0</v>
      </c>
      <c r="O4" s="101">
        <f>JANUARY!N39</f>
        <v>0</v>
      </c>
      <c r="P4" s="101">
        <f>JANUARY!O39</f>
        <v>0</v>
      </c>
      <c r="Q4" s="101">
        <f>JANUARY!P39</f>
        <v>0</v>
      </c>
      <c r="R4" s="101">
        <f>JANUARY!Q39</f>
        <v>0</v>
      </c>
      <c r="S4" s="101">
        <f>JANUARY!R39</f>
        <v>0</v>
      </c>
      <c r="T4" s="101">
        <f>JANUARY!S39</f>
        <v>0</v>
      </c>
      <c r="U4" s="101">
        <f>JANUARY!T39</f>
        <v>0</v>
      </c>
      <c r="V4" s="101">
        <f>JANUARY!U39</f>
        <v>6662.1188816907315</v>
      </c>
      <c r="W4" s="101">
        <f>JANUARY!V39</f>
        <v>4898.4399893771733</v>
      </c>
      <c r="X4" s="101">
        <f>JANUARY!W39</f>
        <v>972.177199451256</v>
      </c>
      <c r="Y4" s="101">
        <f>JANUARY!X39</f>
        <v>714.46337098665231</v>
      </c>
      <c r="Z4" s="101">
        <f>JANUARY!Y39</f>
        <v>2026.8768660216631</v>
      </c>
      <c r="AA4" s="101">
        <f>JANUARY!Z39</f>
        <v>1488.3343825271618</v>
      </c>
      <c r="AB4" s="101">
        <f>JANUARY!AA39</f>
        <v>0</v>
      </c>
      <c r="AC4" s="102">
        <f>JANUARY!AB39</f>
        <v>1845.9790716250661</v>
      </c>
      <c r="AD4" s="102">
        <f>JANUARY!AC39</f>
        <v>0</v>
      </c>
      <c r="AE4" s="240">
        <f>JANUARY!AD40</f>
        <v>259.73060033716041</v>
      </c>
      <c r="AF4" s="240">
        <f>JANUARY!AE40</f>
        <v>188.22180062534605</v>
      </c>
      <c r="AG4" s="240">
        <f>SUM(AE4+AF4)</f>
        <v>447.95240096250643</v>
      </c>
      <c r="AH4" s="240">
        <f>JANUARY!AF40</f>
        <v>431.63412060737625</v>
      </c>
      <c r="AI4" s="240">
        <f>JANUARY!AG40</f>
        <v>245.58944067103343</v>
      </c>
      <c r="AJ4" s="240">
        <f>JANUARY!AH40</f>
        <v>180.5737265233532</v>
      </c>
      <c r="AK4" s="241">
        <f>JANUARY!AI40</f>
        <v>0.57628030664370444</v>
      </c>
    </row>
    <row r="5" spans="1:37" ht="15.75" customHeight="1" x14ac:dyDescent="0.25">
      <c r="A5" s="455"/>
      <c r="B5" s="90" t="s">
        <v>53</v>
      </c>
      <c r="C5" s="103">
        <f>FEBRUARY!B39</f>
        <v>0</v>
      </c>
      <c r="D5" s="103">
        <f>FEBRUARY!C39</f>
        <v>1681.3070408463529</v>
      </c>
      <c r="E5" s="103">
        <f>FEBRUARY!D39</f>
        <v>21898.886587858196</v>
      </c>
      <c r="F5" s="103">
        <f>FEBRUARY!E39</f>
        <v>734.33478567649877</v>
      </c>
      <c r="G5" s="103">
        <f>FEBRUARY!F39</f>
        <v>0</v>
      </c>
      <c r="H5" s="103">
        <f>FEBRUARY!G39</f>
        <v>56741.225721104922</v>
      </c>
      <c r="I5" s="103">
        <f>FEBRUARY!H39</f>
        <v>744.94706468979643</v>
      </c>
      <c r="J5" s="103">
        <f>FEBRUARY!I39</f>
        <v>3052.6795893033322</v>
      </c>
      <c r="K5" s="103">
        <f>FEBRUARY!J39</f>
        <v>9590.8805603504334</v>
      </c>
      <c r="L5" s="104">
        <f>FEBRUARY!K39</f>
        <v>521.56343982517717</v>
      </c>
      <c r="M5" s="103">
        <f>FEBRUARY!L39</f>
        <v>0</v>
      </c>
      <c r="N5" s="103">
        <f>FEBRUARY!M39</f>
        <v>0</v>
      </c>
      <c r="O5" s="103">
        <f>FEBRUARY!N39</f>
        <v>0</v>
      </c>
      <c r="P5" s="103">
        <f>FEBRUARY!O39</f>
        <v>0</v>
      </c>
      <c r="Q5" s="103">
        <f>FEBRUARY!P39</f>
        <v>0</v>
      </c>
      <c r="R5" s="103">
        <f>FEBRUARY!Q39</f>
        <v>0</v>
      </c>
      <c r="S5" s="103">
        <f>FEBRUARY!R39</f>
        <v>0</v>
      </c>
      <c r="T5" s="103">
        <f>FEBRUARY!S39</f>
        <v>0</v>
      </c>
      <c r="U5" s="103">
        <f>FEBRUARY!T39</f>
        <v>0</v>
      </c>
      <c r="V5" s="103">
        <f>FEBRUARY!U39</f>
        <v>5955.364954767485</v>
      </c>
      <c r="W5" s="103">
        <f>FEBRUARY!V39</f>
        <v>4325.3448888362791</v>
      </c>
      <c r="X5" s="103">
        <f>FEBRUARY!W39</f>
        <v>867.1515315464751</v>
      </c>
      <c r="Y5" s="103">
        <f>FEBRUARY!X39</f>
        <v>629.99789957089979</v>
      </c>
      <c r="Z5" s="103">
        <f>FEBRUARY!Y39</f>
        <v>1775.4397820573604</v>
      </c>
      <c r="AA5" s="103">
        <f>FEBRUARY!Z39</f>
        <v>1289.679333311165</v>
      </c>
      <c r="AB5" s="103">
        <f>FEBRUARY!AA39</f>
        <v>0</v>
      </c>
      <c r="AC5" s="105">
        <f>FEBRUARY!AB39</f>
        <v>2018.7447434875744</v>
      </c>
      <c r="AD5" s="105">
        <f>FEBRUARY!AC39</f>
        <v>0</v>
      </c>
      <c r="AE5" s="99">
        <f>FEBRUARY!AD40</f>
        <v>236.01109281170486</v>
      </c>
      <c r="AF5" s="99">
        <f>FEBRUARY!AE40</f>
        <v>169.96919343749786</v>
      </c>
      <c r="AG5" s="99">
        <f t="shared" ref="AG5:AG15" si="0">SUM(AE5+AF5)</f>
        <v>405.98028624920272</v>
      </c>
      <c r="AH5" s="99">
        <f>FEBRUARY!AF40</f>
        <v>383.74559778273112</v>
      </c>
      <c r="AI5" s="99">
        <f>FEBRUARY!AG40</f>
        <v>219.64278646710446</v>
      </c>
      <c r="AJ5" s="99">
        <f>FEBRUARY!AH40</f>
        <v>159.60490068702339</v>
      </c>
      <c r="AK5" s="91">
        <f>FEBRUARY!AI40</f>
        <v>0.57915392474850003</v>
      </c>
    </row>
    <row r="6" spans="1:37" ht="15.75" customHeight="1" x14ac:dyDescent="0.25">
      <c r="A6" s="455"/>
      <c r="B6" s="90" t="s">
        <v>54</v>
      </c>
      <c r="C6" s="103">
        <f>MARCH!B39</f>
        <v>0</v>
      </c>
      <c r="D6" s="103">
        <f>MARCH!C39</f>
        <v>1684.512482170265</v>
      </c>
      <c r="E6" s="103">
        <f>MARCH!D39</f>
        <v>26658.12675808269</v>
      </c>
      <c r="F6" s="103">
        <f>MARCH!E39</f>
        <v>479.13117745965695</v>
      </c>
      <c r="G6" s="103">
        <f>MARCH!F39</f>
        <v>0</v>
      </c>
      <c r="H6" s="103">
        <f>MARCH!G39</f>
        <v>94215.393471654243</v>
      </c>
      <c r="I6" s="103">
        <f>MARCH!H39</f>
        <v>763.37223351697128</v>
      </c>
      <c r="J6" s="103">
        <f>MARCH!I39</f>
        <v>3562.186684127646</v>
      </c>
      <c r="K6" s="103">
        <f>MARCH!J39</f>
        <v>10740.580087057748</v>
      </c>
      <c r="L6" s="104">
        <f>MARCH!K39</f>
        <v>585.08547363678622</v>
      </c>
      <c r="M6" s="103">
        <f>MARCH!L39</f>
        <v>0</v>
      </c>
      <c r="N6" s="103">
        <f>MARCH!M39</f>
        <v>0</v>
      </c>
      <c r="O6" s="103">
        <f>MARCH!N39</f>
        <v>0</v>
      </c>
      <c r="P6" s="103">
        <f>MARCH!O39</f>
        <v>0</v>
      </c>
      <c r="Q6" s="103">
        <f>MARCH!P39</f>
        <v>0</v>
      </c>
      <c r="R6" s="103">
        <f>MARCH!Q39</f>
        <v>0</v>
      </c>
      <c r="S6" s="103">
        <f>MARCH!R39</f>
        <v>0</v>
      </c>
      <c r="T6" s="103">
        <f>MARCH!S39</f>
        <v>0</v>
      </c>
      <c r="U6" s="103">
        <f>MARCH!T39</f>
        <v>0</v>
      </c>
      <c r="V6" s="103">
        <f>MARCH!U39</f>
        <v>7317.6032881914271</v>
      </c>
      <c r="W6" s="103">
        <f>MARCH!V39</f>
        <v>4361.4843754696831</v>
      </c>
      <c r="X6" s="103">
        <f>MARCH!W39</f>
        <v>1126.379361603229</v>
      </c>
      <c r="Y6" s="103">
        <f>MARCH!X39</f>
        <v>673.17153447313217</v>
      </c>
      <c r="Z6" s="103">
        <f>MARCH!Y39</f>
        <v>3353.4913206550636</v>
      </c>
      <c r="AA6" s="103">
        <f>MARCH!Z39</f>
        <v>1979.2899511999731</v>
      </c>
      <c r="AB6" s="103">
        <f>MARCH!AA39</f>
        <v>0</v>
      </c>
      <c r="AC6" s="105">
        <f>MARCH!AB39</f>
        <v>2349.178062232339</v>
      </c>
      <c r="AD6" s="105">
        <f>MARCH!AC39</f>
        <v>0</v>
      </c>
      <c r="AE6" s="99">
        <f>MARCH!AD40</f>
        <v>295.12678911533976</v>
      </c>
      <c r="AF6" s="99">
        <f>MARCH!AE40</f>
        <v>178.31904022261031</v>
      </c>
      <c r="AG6" s="99">
        <f t="shared" si="0"/>
        <v>473.44582933795004</v>
      </c>
      <c r="AH6" s="99">
        <f>MARCH!AF40</f>
        <v>452.12968850367594</v>
      </c>
      <c r="AI6" s="99">
        <f>MARCH!AG40</f>
        <v>279.72780764982099</v>
      </c>
      <c r="AJ6" s="99">
        <f>MARCH!AH40</f>
        <v>167.03414252592626</v>
      </c>
      <c r="AK6" s="91">
        <f>MARCH!AI40</f>
        <v>0.62612272047738537</v>
      </c>
    </row>
    <row r="7" spans="1:37" ht="15.75" customHeight="1" x14ac:dyDescent="0.25">
      <c r="A7" s="455"/>
      <c r="B7" s="90" t="s">
        <v>55</v>
      </c>
      <c r="C7" s="103">
        <f>APRIL!B39</f>
        <v>0</v>
      </c>
      <c r="D7" s="103">
        <f>APRIL!C39</f>
        <v>1881.1811938544142</v>
      </c>
      <c r="E7" s="103">
        <f>APRIL!D39</f>
        <v>26584.205917040512</v>
      </c>
      <c r="F7" s="103">
        <f>APRIL!E39</f>
        <v>477.41785552253276</v>
      </c>
      <c r="G7" s="103">
        <f>APRIL!F39</f>
        <v>0</v>
      </c>
      <c r="H7" s="103">
        <f>APRIL!G39</f>
        <v>82389.560077031521</v>
      </c>
      <c r="I7" s="103">
        <f>APRIL!H39</f>
        <v>786.5478284438459</v>
      </c>
      <c r="J7" s="103">
        <f>APRIL!I39</f>
        <v>3842.6238865057626</v>
      </c>
      <c r="K7" s="103">
        <f>APRIL!J39</f>
        <v>11345.325291808434</v>
      </c>
      <c r="L7" s="104">
        <f>APRIL!K39</f>
        <v>622.56499845882263</v>
      </c>
      <c r="M7" s="103">
        <f>APRIL!L39</f>
        <v>2.2564888000488276E-3</v>
      </c>
      <c r="N7" s="103">
        <f>APRIL!M39</f>
        <v>0</v>
      </c>
      <c r="O7" s="103">
        <f>APRIL!N39</f>
        <v>0</v>
      </c>
      <c r="P7" s="103">
        <f>APRIL!O39</f>
        <v>0</v>
      </c>
      <c r="Q7" s="103">
        <f>APRIL!P39</f>
        <v>0</v>
      </c>
      <c r="R7" s="103">
        <f>APRIL!Q39</f>
        <v>0</v>
      </c>
      <c r="S7" s="103">
        <f>APRIL!R39</f>
        <v>0</v>
      </c>
      <c r="T7" s="103">
        <f>APRIL!S39</f>
        <v>0</v>
      </c>
      <c r="U7" s="103">
        <f>APRIL!T39</f>
        <v>0</v>
      </c>
      <c r="V7" s="103">
        <f>APRIL!U39</f>
        <v>7766.7570342366989</v>
      </c>
      <c r="W7" s="103">
        <f>APRIL!V39</f>
        <v>4513.9023866880152</v>
      </c>
      <c r="X7" s="103">
        <f>APRIL!W39</f>
        <v>1228.3518588418472</v>
      </c>
      <c r="Y7" s="103">
        <f>APRIL!X39</f>
        <v>713.61474082522489</v>
      </c>
      <c r="Z7" s="103">
        <f>APRIL!Y39</f>
        <v>3498.1213768917642</v>
      </c>
      <c r="AA7" s="103">
        <f>APRIL!Z39</f>
        <v>2031.7829779825281</v>
      </c>
      <c r="AB7" s="103">
        <f>APRIL!AA39</f>
        <v>0</v>
      </c>
      <c r="AC7" s="105">
        <f>APRIL!AB39</f>
        <v>2355.4396480719465</v>
      </c>
      <c r="AD7" s="105">
        <f>APRIL!AC39</f>
        <v>0</v>
      </c>
      <c r="AE7" s="99">
        <f>APRIL!AD40</f>
        <v>320.55581976106362</v>
      </c>
      <c r="AF7" s="99">
        <f>APRIL!AE40</f>
        <v>179.53320185252548</v>
      </c>
      <c r="AG7" s="99">
        <f t="shared" si="0"/>
        <v>500.08902161358913</v>
      </c>
      <c r="AH7" s="99">
        <f>APRIL!AF40</f>
        <v>488.06253699428498</v>
      </c>
      <c r="AI7" s="99">
        <f>APRIL!AG40</f>
        <v>304.5516379189491</v>
      </c>
      <c r="AJ7" s="99">
        <f>APRIL!AH40</f>
        <v>176.98237826285984</v>
      </c>
      <c r="AK7" s="91">
        <f>APRIL!AI40</f>
        <v>0.63246131671819827</v>
      </c>
    </row>
    <row r="8" spans="1:37" ht="15.75" customHeight="1" x14ac:dyDescent="0.25">
      <c r="A8" s="455"/>
      <c r="B8" s="90" t="s">
        <v>56</v>
      </c>
      <c r="C8" s="103">
        <f>MAY!B39</f>
        <v>0</v>
      </c>
      <c r="D8" s="103">
        <f>MAY!C39</f>
        <v>1825.6960199296532</v>
      </c>
      <c r="E8" s="103">
        <f>MAY!D39</f>
        <v>22105.433865044502</v>
      </c>
      <c r="F8" s="103">
        <f>MAY!E39</f>
        <v>459.4341430465376</v>
      </c>
      <c r="G8" s="103">
        <f>MAY!F39</f>
        <v>0</v>
      </c>
      <c r="H8" s="103">
        <f>MAY!G39</f>
        <v>51093.549256324804</v>
      </c>
      <c r="I8" s="103">
        <f>MAY!H39</f>
        <v>757.33488553365135</v>
      </c>
      <c r="J8" s="103">
        <f>MAY!I39</f>
        <v>6029.9064600467664</v>
      </c>
      <c r="K8" s="103">
        <f>MAY!J39</f>
        <v>14121.956038085631</v>
      </c>
      <c r="L8" s="104">
        <f>MAY!K39</f>
        <v>773.0748479023581</v>
      </c>
      <c r="M8" s="103">
        <f>MAY!L39</f>
        <v>0</v>
      </c>
      <c r="N8" s="103">
        <f>MAY!M39</f>
        <v>0</v>
      </c>
      <c r="O8" s="103">
        <f>MAY!N39</f>
        <v>0</v>
      </c>
      <c r="P8" s="103">
        <f>MAY!O39</f>
        <v>0</v>
      </c>
      <c r="Q8" s="103">
        <f>MAY!P39</f>
        <v>0</v>
      </c>
      <c r="R8" s="103">
        <f>MAY!Q39</f>
        <v>0</v>
      </c>
      <c r="S8" s="103">
        <f>MAY!R39</f>
        <v>0</v>
      </c>
      <c r="T8" s="103">
        <f>MAY!S39</f>
        <v>0</v>
      </c>
      <c r="U8" s="103">
        <f>MAY!T39</f>
        <v>0</v>
      </c>
      <c r="V8" s="103">
        <f>MAY!U39</f>
        <v>10002.563457275361</v>
      </c>
      <c r="W8" s="103">
        <f>MAY!V39</f>
        <v>4064.5426447567861</v>
      </c>
      <c r="X8" s="103">
        <f>MAY!W39</f>
        <v>1589.3427539777185</v>
      </c>
      <c r="Y8" s="103">
        <f>MAY!X39</f>
        <v>641.81105558560114</v>
      </c>
      <c r="Z8" s="103">
        <f>MAY!Y39</f>
        <v>4718.171010873335</v>
      </c>
      <c r="AA8" s="103">
        <f>MAY!Z39</f>
        <v>1916.4450060550196</v>
      </c>
      <c r="AB8" s="103">
        <f>MAY!AA39</f>
        <v>0</v>
      </c>
      <c r="AC8" s="105">
        <f>MAY!AB39</f>
        <v>2705.6778225501448</v>
      </c>
      <c r="AD8" s="105">
        <f>MAY!AC39</f>
        <v>0</v>
      </c>
      <c r="AE8" s="99">
        <f>MAY!AD40</f>
        <v>420.72661660432897</v>
      </c>
      <c r="AF8" s="99">
        <f>MAY!AE40</f>
        <v>172.683376030327</v>
      </c>
      <c r="AG8" s="99">
        <f t="shared" si="0"/>
        <v>593.40999263465596</v>
      </c>
      <c r="AH8" s="99">
        <f>MAY!AF40</f>
        <v>554.24387551032839</v>
      </c>
      <c r="AI8" s="99">
        <f>MAY!AG40</f>
        <v>402.33992634841206</v>
      </c>
      <c r="AJ8" s="99">
        <f>MAY!AH40</f>
        <v>162.73467605819712</v>
      </c>
      <c r="AK8" s="91">
        <f>MAY!AI40</f>
        <v>0.71201205050603467</v>
      </c>
    </row>
    <row r="9" spans="1:37" ht="15.75" customHeight="1" x14ac:dyDescent="0.25">
      <c r="A9" s="455"/>
      <c r="B9" s="90" t="s">
        <v>57</v>
      </c>
      <c r="C9" s="103">
        <f>JUNE!B39</f>
        <v>0</v>
      </c>
      <c r="D9" s="103">
        <f>JUNE!C39</f>
        <v>1898.6339225888282</v>
      </c>
      <c r="E9" s="103">
        <f>JUNE!D39</f>
        <v>20824.056908671038</v>
      </c>
      <c r="F9" s="103">
        <f>JUNE!E39</f>
        <v>476.5249190231159</v>
      </c>
      <c r="G9" s="103">
        <f>JUNE!F39</f>
        <v>0</v>
      </c>
      <c r="H9" s="103">
        <f>JUNE!G39</f>
        <v>40986.178297805825</v>
      </c>
      <c r="I9" s="103">
        <f>JUNE!H39</f>
        <v>788.30718731681577</v>
      </c>
      <c r="J9" s="103">
        <f>JUNE!I39</f>
        <v>6211.3690352161702</v>
      </c>
      <c r="K9" s="103">
        <f>JUNE!J39</f>
        <v>15224.626451373106</v>
      </c>
      <c r="L9" s="104">
        <f>JUNE!K39</f>
        <v>827.04475223769771</v>
      </c>
      <c r="M9" s="103">
        <f>JUNE!L39</f>
        <v>5.5704116821289054E-4</v>
      </c>
      <c r="N9" s="103">
        <f>JUNE!M39</f>
        <v>0</v>
      </c>
      <c r="O9" s="103">
        <f>JUNE!N39</f>
        <v>0</v>
      </c>
      <c r="P9" s="103">
        <f>JUNE!O39</f>
        <v>0</v>
      </c>
      <c r="Q9" s="103">
        <f>JUNE!P39</f>
        <v>0</v>
      </c>
      <c r="R9" s="103">
        <f>JUNE!Q39</f>
        <v>0</v>
      </c>
      <c r="S9" s="103">
        <f>JUNE!R39</f>
        <v>0</v>
      </c>
      <c r="T9" s="103">
        <f>JUNE!S39</f>
        <v>0</v>
      </c>
      <c r="U9" s="103">
        <f>JUNE!T39</f>
        <v>0</v>
      </c>
      <c r="V9" s="103">
        <f>JUNE!U39</f>
        <v>11374.145665721699</v>
      </c>
      <c r="W9" s="103">
        <f>JUNE!V39</f>
        <v>4251.3218193618004</v>
      </c>
      <c r="X9" s="103">
        <f>JUNE!W39</f>
        <v>1804.3132584883822</v>
      </c>
      <c r="Y9" s="103">
        <f>JUNE!X39</f>
        <v>670.99099606732</v>
      </c>
      <c r="Z9" s="103">
        <f>JUNE!Y39</f>
        <v>6205.7738310935656</v>
      </c>
      <c r="AA9" s="103">
        <f>JUNE!Z39</f>
        <v>2298.8560726043997</v>
      </c>
      <c r="AB9" s="103">
        <f>JUNE!AA39</f>
        <v>0</v>
      </c>
      <c r="AC9" s="105">
        <f>JUNE!AB39</f>
        <v>3046.8516817450436</v>
      </c>
      <c r="AD9" s="105">
        <f>JUNE!AC39</f>
        <v>0</v>
      </c>
      <c r="AE9" s="99">
        <f>JUNE!AD40</f>
        <v>477.74454373354519</v>
      </c>
      <c r="AF9" s="99">
        <f>JUNE!AE40</f>
        <v>179.51116131485946</v>
      </c>
      <c r="AG9" s="99">
        <f t="shared" si="0"/>
        <v>657.25570504840471</v>
      </c>
      <c r="AH9" s="99">
        <f>JUNE!AF40</f>
        <v>636.03401233404873</v>
      </c>
      <c r="AI9" s="99">
        <f>JUNE!AG40</f>
        <v>457.7684458178777</v>
      </c>
      <c r="AJ9" s="99">
        <f>JUNE!AH40</f>
        <v>170.35850216054405</v>
      </c>
      <c r="AK9" s="91">
        <f>JUNE!AI40</f>
        <v>0.72878332523571898</v>
      </c>
    </row>
    <row r="10" spans="1:37" ht="15.75" customHeight="1" x14ac:dyDescent="0.25">
      <c r="A10" s="455"/>
      <c r="B10" s="90" t="s">
        <v>58</v>
      </c>
      <c r="C10" s="103">
        <f>JULY!B39</f>
        <v>0</v>
      </c>
      <c r="D10" s="103">
        <f>JULY!C39</f>
        <v>2058.2539510885895</v>
      </c>
      <c r="E10" s="103">
        <f>JULY!D39</f>
        <v>21634.214530372636</v>
      </c>
      <c r="F10" s="103">
        <f>JULY!E39</f>
        <v>518.02460848291696</v>
      </c>
      <c r="G10" s="103">
        <f>JULY!F39</f>
        <v>0</v>
      </c>
      <c r="H10" s="103">
        <f>JULY!G39</f>
        <v>47610.843306096438</v>
      </c>
      <c r="I10" s="103">
        <f>JULY!H39</f>
        <v>853.50246847470748</v>
      </c>
      <c r="J10" s="103">
        <f>JULY!I39</f>
        <v>5239.9612235148743</v>
      </c>
      <c r="K10" s="103">
        <f>JULY!J39</f>
        <v>15220.38111089071</v>
      </c>
      <c r="L10" s="104">
        <f>JULY!K39</f>
        <v>832.98859552840383</v>
      </c>
      <c r="M10" s="103">
        <f>JULY!L39</f>
        <v>6.9866180419921877E-4</v>
      </c>
      <c r="N10" s="103">
        <f>JULY!M39</f>
        <v>0</v>
      </c>
      <c r="O10" s="103">
        <f>JULY!N39</f>
        <v>0</v>
      </c>
      <c r="P10" s="103">
        <f>JULY!O39</f>
        <v>0</v>
      </c>
      <c r="Q10" s="103">
        <f>JULY!P39</f>
        <v>0</v>
      </c>
      <c r="R10" s="103">
        <f>JULY!Q39</f>
        <v>0</v>
      </c>
      <c r="S10" s="103">
        <f>JULY!R39</f>
        <v>0</v>
      </c>
      <c r="T10" s="103">
        <f>JULY!S39</f>
        <v>0</v>
      </c>
      <c r="U10" s="103">
        <f>JULY!T39</f>
        <v>0</v>
      </c>
      <c r="V10" s="103">
        <f>JULY!U39</f>
        <v>12184.291957861871</v>
      </c>
      <c r="W10" s="103">
        <f>JULY!V39</f>
        <v>5115.2721286919077</v>
      </c>
      <c r="X10" s="103">
        <f>JULY!W39</f>
        <v>1828.4025186683411</v>
      </c>
      <c r="Y10" s="103">
        <f>JULY!X39</f>
        <v>763.39914981666448</v>
      </c>
      <c r="Z10" s="103">
        <f>JULY!Y39</f>
        <v>7720.2098239925263</v>
      </c>
      <c r="AA10" s="103">
        <f>JULY!Z39</f>
        <v>3214.1742167605198</v>
      </c>
      <c r="AB10" s="103">
        <f>JULY!AA39</f>
        <v>0</v>
      </c>
      <c r="AC10" s="105">
        <f>JULY!AB39</f>
        <v>3425.0470445633396</v>
      </c>
      <c r="AD10" s="105">
        <f>JULY!AC39</f>
        <v>0</v>
      </c>
      <c r="AE10" s="99">
        <f>JULY!AD40</f>
        <v>501.52205304579314</v>
      </c>
      <c r="AF10" s="99">
        <f>JULY!AE40</f>
        <v>203.03528249258585</v>
      </c>
      <c r="AG10" s="99">
        <f t="shared" si="0"/>
        <v>704.55733553837899</v>
      </c>
      <c r="AH10" s="99">
        <f>JULY!AF40</f>
        <v>659.70323024921959</v>
      </c>
      <c r="AI10" s="99">
        <f>JULY!AG40</f>
        <v>459.93812201487236</v>
      </c>
      <c r="AJ10" s="99">
        <f>JULY!AH40</f>
        <v>192.02753350940984</v>
      </c>
      <c r="AK10" s="91">
        <f>JULY!AI40</f>
        <v>0.70546372821588321</v>
      </c>
    </row>
    <row r="11" spans="1:37" ht="15.75" customHeight="1" x14ac:dyDescent="0.25">
      <c r="A11" s="455"/>
      <c r="B11" s="90" t="s">
        <v>59</v>
      </c>
      <c r="C11" s="103">
        <f>AUGUST!B39</f>
        <v>0</v>
      </c>
      <c r="D11" s="103">
        <f>AUGUST!C39</f>
        <v>3064.8516695499429</v>
      </c>
      <c r="E11" s="103">
        <f>AUGUST!D39</f>
        <v>36828.964628855363</v>
      </c>
      <c r="F11" s="103">
        <f>AUGUST!E39</f>
        <v>773.96308213571751</v>
      </c>
      <c r="G11" s="103">
        <f>AUGUST!F39</f>
        <v>0</v>
      </c>
      <c r="H11" s="103">
        <f>AUGUST!G39</f>
        <v>61728.653088696738</v>
      </c>
      <c r="I11" s="103">
        <f>AUGUST!H39</f>
        <v>1164.0170796295008</v>
      </c>
      <c r="J11" s="103">
        <f>AUGUST!I39</f>
        <v>8639.2147720734265</v>
      </c>
      <c r="K11" s="103">
        <f>AUGUST!J39</f>
        <v>25413.376969909667</v>
      </c>
      <c r="L11" s="104">
        <f>AUGUST!K39</f>
        <v>1393.7751295834773</v>
      </c>
      <c r="M11" s="103">
        <f>AUGUST!L39</f>
        <v>4.1542053222656258E-4</v>
      </c>
      <c r="N11" s="103">
        <f>AUGUST!M39</f>
        <v>0</v>
      </c>
      <c r="O11" s="103">
        <f>AUGUST!N39</f>
        <v>0</v>
      </c>
      <c r="P11" s="103">
        <f>AUGUST!O39</f>
        <v>0</v>
      </c>
      <c r="Q11" s="103">
        <f>AUGUST!P39</f>
        <v>0</v>
      </c>
      <c r="R11" s="103">
        <f>AUGUST!Q39</f>
        <v>0</v>
      </c>
      <c r="S11" s="103">
        <f>AUGUST!R39</f>
        <v>0</v>
      </c>
      <c r="T11" s="103">
        <f>AUGUST!S39</f>
        <v>0</v>
      </c>
      <c r="U11" s="103">
        <f>AUGUST!T39</f>
        <v>0</v>
      </c>
      <c r="V11" s="103">
        <f>AUGUST!U39</f>
        <v>18209.144095272251</v>
      </c>
      <c r="W11" s="103">
        <f>AUGUST!V39</f>
        <v>6681.2150788839745</v>
      </c>
      <c r="X11" s="103">
        <f>AUGUST!W39</f>
        <v>3135.4959848726407</v>
      </c>
      <c r="Y11" s="103">
        <f>AUGUST!X39</f>
        <v>1144.1556101397073</v>
      </c>
      <c r="Z11" s="103">
        <f>AUGUST!Y39</f>
        <v>15307.95123120389</v>
      </c>
      <c r="AA11" s="103">
        <f>AUGUST!Z39</f>
        <v>5565.2948185022524</v>
      </c>
      <c r="AB11" s="103">
        <f>AUGUST!AA39</f>
        <v>0</v>
      </c>
      <c r="AC11" s="105">
        <f>AUGUST!AB39</f>
        <v>5337.1725860860524</v>
      </c>
      <c r="AD11" s="105">
        <f>AUGUST!AC39</f>
        <v>0</v>
      </c>
      <c r="AE11" s="99">
        <f>AUGUST!AD40</f>
        <v>799.09862952232186</v>
      </c>
      <c r="AF11" s="99">
        <f>AUGUST!AE40</f>
        <v>289.30963315429165</v>
      </c>
      <c r="AG11" s="99">
        <f t="shared" si="0"/>
        <v>1088.4082626766135</v>
      </c>
      <c r="AH11" s="99">
        <f>AUGUST!AF40</f>
        <v>1067.4480503327316</v>
      </c>
      <c r="AI11" s="99">
        <f>AUGUST!AG40</f>
        <v>772.75733215047387</v>
      </c>
      <c r="AJ11" s="99">
        <f>AUGUST!AH40</f>
        <v>282.33742102708749</v>
      </c>
      <c r="AK11" s="91">
        <f>AUGUST!AI40</f>
        <v>0.73240562501444539</v>
      </c>
    </row>
    <row r="12" spans="1:37" ht="15.75" customHeight="1" x14ac:dyDescent="0.25">
      <c r="A12" s="455"/>
      <c r="B12" s="90" t="s">
        <v>60</v>
      </c>
      <c r="C12" s="103">
        <f>SEPTEMBER!B39</f>
        <v>0</v>
      </c>
      <c r="D12" s="103">
        <f>SEPTEMBER!C39</f>
        <v>3030.9329661309721</v>
      </c>
      <c r="E12" s="103">
        <f>SEPTEMBER!D39</f>
        <v>29788.609629313152</v>
      </c>
      <c r="F12" s="103">
        <f>SEPTEMBER!E39</f>
        <v>624.60290315747341</v>
      </c>
      <c r="G12" s="103">
        <f>SEPTEMBER!F39</f>
        <v>0</v>
      </c>
      <c r="H12" s="103">
        <f>SEPTEMBER!G39</f>
        <v>47287.231973203059</v>
      </c>
      <c r="I12" s="103">
        <f>SEPTEMBER!H39</f>
        <v>936.61121858358513</v>
      </c>
      <c r="J12" s="103">
        <f>SEPTEMBER!I39</f>
        <v>4770.4707266648638</v>
      </c>
      <c r="K12" s="103">
        <f>SEPTEMBER!J39</f>
        <v>10741.871764532731</v>
      </c>
      <c r="L12" s="104">
        <f>SEPTEMBER!K39</f>
        <v>588.04581474016106</v>
      </c>
      <c r="M12" s="103">
        <f>SEPTEMBER!L39</f>
        <v>0</v>
      </c>
      <c r="N12" s="103">
        <f>SEPTEMBER!M39</f>
        <v>0</v>
      </c>
      <c r="O12" s="103">
        <f>SEPTEMBER!N39</f>
        <v>0</v>
      </c>
      <c r="P12" s="103">
        <f>SEPTEMBER!O39</f>
        <v>0</v>
      </c>
      <c r="Q12" s="103">
        <f>SEPTEMBER!P39</f>
        <v>0</v>
      </c>
      <c r="R12" s="103">
        <f>SEPTEMBER!Q39</f>
        <v>0</v>
      </c>
      <c r="S12" s="103">
        <f>SEPTEMBER!R39</f>
        <v>0</v>
      </c>
      <c r="T12" s="103">
        <f>SEPTEMBER!S39</f>
        <v>0</v>
      </c>
      <c r="U12" s="103">
        <f>SEPTEMBER!T39</f>
        <v>0</v>
      </c>
      <c r="V12" s="103">
        <f>SEPTEMBER!U39</f>
        <v>8059.0008128301743</v>
      </c>
      <c r="W12" s="103">
        <f>SEPTEMBER!V39</f>
        <v>5875.4992010192964</v>
      </c>
      <c r="X12" s="103">
        <f>SEPTEMBER!W39</f>
        <v>1261.9623461911642</v>
      </c>
      <c r="Y12" s="103">
        <f>SEPTEMBER!X39</f>
        <v>914.5109775672787</v>
      </c>
      <c r="Z12" s="103">
        <f>SEPTEMBER!Y39</f>
        <v>5156.0216693420552</v>
      </c>
      <c r="AA12" s="103">
        <f>SEPTEMBER!Z39</f>
        <v>3696.7815522810474</v>
      </c>
      <c r="AB12" s="103">
        <f>SEPTEMBER!AA39</f>
        <v>0</v>
      </c>
      <c r="AC12" s="105">
        <f>SEPTEMBER!AB39</f>
        <v>2715.9146572801678</v>
      </c>
      <c r="AD12" s="105">
        <f>SEPTEMBER!AC39</f>
        <v>0</v>
      </c>
      <c r="AE12" s="99">
        <f>SEPTEMBER!AD40</f>
        <v>333.42325543657171</v>
      </c>
      <c r="AF12" s="99">
        <f>SEPTEMBER!AE40</f>
        <v>233.63257958584444</v>
      </c>
      <c r="AG12" s="99">
        <f t="shared" si="0"/>
        <v>567.0558350224162</v>
      </c>
      <c r="AH12" s="99">
        <f>SEPTEMBER!AF40</f>
        <v>551.58400390611769</v>
      </c>
      <c r="AI12" s="99">
        <f>SEPTEMBER!AG40</f>
        <v>315.69127888265649</v>
      </c>
      <c r="AJ12" s="99">
        <f>SEPTEMBER!AH40</f>
        <v>228.64209231949769</v>
      </c>
      <c r="AK12" s="91">
        <f>SEPTEMBER!AI40</f>
        <v>0.57995944320932558</v>
      </c>
    </row>
    <row r="13" spans="1:37" ht="15.75" customHeight="1" x14ac:dyDescent="0.25">
      <c r="A13" s="455"/>
      <c r="B13" s="90" t="s">
        <v>61</v>
      </c>
      <c r="C13" s="103">
        <f>OCTOBER!B39</f>
        <v>0</v>
      </c>
      <c r="D13" s="103">
        <f>OCTOBER!C39</f>
        <v>241.62652705311831</v>
      </c>
      <c r="E13" s="103">
        <f>OCTOBER!D39</f>
        <v>2801.9138106743517</v>
      </c>
      <c r="F13" s="103">
        <f>OCTOBER!E39</f>
        <v>60.239117562770879</v>
      </c>
      <c r="G13" s="103">
        <f>OCTOBER!F39</f>
        <v>0</v>
      </c>
      <c r="H13" s="103">
        <f>OCTOBER!G39</f>
        <v>4835.7011370341124</v>
      </c>
      <c r="I13" s="103">
        <f>OCTOBER!H39</f>
        <v>91.864838696519655</v>
      </c>
      <c r="J13" s="103">
        <f>OCTOBER!I39</f>
        <v>4176.9238924344372</v>
      </c>
      <c r="K13" s="103">
        <f>OCTOBER!J39</f>
        <v>9411.5111661672563</v>
      </c>
      <c r="L13" s="104">
        <f>OCTOBER!K39</f>
        <v>532.67250289867343</v>
      </c>
      <c r="M13" s="103">
        <f>OCTOBER!L39</f>
        <v>0</v>
      </c>
      <c r="N13" s="103">
        <f>OCTOBER!M39</f>
        <v>0</v>
      </c>
      <c r="O13" s="103">
        <f>OCTOBER!N39</f>
        <v>0</v>
      </c>
      <c r="P13" s="103">
        <f>OCTOBER!O39</f>
        <v>0</v>
      </c>
      <c r="Q13" s="103">
        <f>OCTOBER!P39</f>
        <v>0</v>
      </c>
      <c r="R13" s="103">
        <f>OCTOBER!Q39</f>
        <v>0</v>
      </c>
      <c r="S13" s="103">
        <f>OCTOBER!R39</f>
        <v>0</v>
      </c>
      <c r="T13" s="103">
        <f>OCTOBER!S39</f>
        <v>0</v>
      </c>
      <c r="U13" s="103">
        <f>OCTOBER!T39</f>
        <v>0</v>
      </c>
      <c r="V13" s="103">
        <f>OCTOBER!U39</f>
        <v>6105.8266189478873</v>
      </c>
      <c r="W13" s="103">
        <f>OCTOBER!V39</f>
        <v>623.57122653759825</v>
      </c>
      <c r="X13" s="103">
        <f>OCTOBER!W39</f>
        <v>887.13263214246058</v>
      </c>
      <c r="Y13" s="103">
        <f>OCTOBER!X39</f>
        <v>89.551260763251179</v>
      </c>
      <c r="Z13" s="103">
        <f>OCTOBER!Y39</f>
        <v>3156.9954849294977</v>
      </c>
      <c r="AA13" s="103">
        <f>OCTOBER!Z39</f>
        <v>346.76195343611988</v>
      </c>
      <c r="AB13" s="103">
        <f>OCTOBER!AA39</f>
        <v>0</v>
      </c>
      <c r="AC13" s="105">
        <f>OCTOBER!AB39</f>
        <v>1653.3756373869064</v>
      </c>
      <c r="AD13" s="105">
        <f>OCTOBER!AC39</f>
        <v>0</v>
      </c>
      <c r="AE13" s="99">
        <f>OCTOBER!AD40</f>
        <v>244.04725212685582</v>
      </c>
      <c r="AF13" s="99">
        <f>OCTOBER!AE40</f>
        <v>22.963601354272434</v>
      </c>
      <c r="AG13" s="99">
        <f t="shared" si="0"/>
        <v>267.01085348112827</v>
      </c>
      <c r="AH13" s="99">
        <f>OCTOBER!AF40</f>
        <v>241.1564500057035</v>
      </c>
      <c r="AI13" s="99">
        <f>OCTOBER!AG40</f>
        <v>216.84803753553854</v>
      </c>
      <c r="AJ13" s="99">
        <f>OCTOBER!AH40</f>
        <v>22.327081938759928</v>
      </c>
      <c r="AK13" s="91">
        <f>OCTOBER!AI40</f>
        <v>0.90664964655255798</v>
      </c>
    </row>
    <row r="14" spans="1:37" ht="15.75" customHeight="1" x14ac:dyDescent="0.25">
      <c r="A14" s="455"/>
      <c r="B14" s="90" t="s">
        <v>62</v>
      </c>
      <c r="C14" s="103">
        <f>NOVEMBER!B39</f>
        <v>0</v>
      </c>
      <c r="D14" s="103">
        <f>NOVEMBER!C39</f>
        <v>0</v>
      </c>
      <c r="E14" s="103">
        <f>NOVEMBER!D39</f>
        <v>0</v>
      </c>
      <c r="F14" s="103">
        <f>NOVEMBER!E39</f>
        <v>10.967429819206391</v>
      </c>
      <c r="G14" s="103">
        <f>NOVEMBER!F39</f>
        <v>0</v>
      </c>
      <c r="H14" s="103">
        <f>NOVEMBER!G39</f>
        <v>0</v>
      </c>
      <c r="I14" s="103">
        <f>NOVEMBER!H39</f>
        <v>0</v>
      </c>
      <c r="J14" s="103">
        <f>NOVEMBER!I39</f>
        <v>6350.7540725310664</v>
      </c>
      <c r="K14" s="103">
        <f>NOVEMBER!J39</f>
        <v>13983.490519968673</v>
      </c>
      <c r="L14" s="104">
        <f>NOVEMBER!K39</f>
        <v>835.73872262140185</v>
      </c>
      <c r="M14" s="103">
        <f>NOVEMBER!L39</f>
        <v>0.12502689361572114</v>
      </c>
      <c r="N14" s="103">
        <f>NOVEMBER!M39</f>
        <v>0</v>
      </c>
      <c r="O14" s="103">
        <f>NOVEMBER!N39</f>
        <v>0</v>
      </c>
      <c r="P14" s="103">
        <f>NOVEMBER!O39</f>
        <v>0</v>
      </c>
      <c r="Q14" s="103">
        <f>NOVEMBER!P39</f>
        <v>0</v>
      </c>
      <c r="R14" s="103">
        <f>NOVEMBER!Q39</f>
        <v>0</v>
      </c>
      <c r="S14" s="103">
        <f>NOVEMBER!R39</f>
        <v>0</v>
      </c>
      <c r="T14" s="103">
        <f>NOVEMBER!S39</f>
        <v>0</v>
      </c>
      <c r="U14" s="103">
        <f>NOVEMBER!T39</f>
        <v>0</v>
      </c>
      <c r="V14" s="103">
        <f>NOVEMBER!U39</f>
        <v>8740.8366813553766</v>
      </c>
      <c r="W14" s="103">
        <f>NOVEMBER!V39</f>
        <v>0</v>
      </c>
      <c r="X14" s="103">
        <f>NOVEMBER!W39</f>
        <v>1292.8986306707066</v>
      </c>
      <c r="Y14" s="103">
        <f>NOVEMBER!X39</f>
        <v>0</v>
      </c>
      <c r="Z14" s="103">
        <f>NOVEMBER!Y39</f>
        <v>4982.5934168179811</v>
      </c>
      <c r="AA14" s="103">
        <f>NOVEMBER!Z39</f>
        <v>0</v>
      </c>
      <c r="AB14" s="103">
        <f>NOVEMBER!AA39</f>
        <v>0</v>
      </c>
      <c r="AC14" s="105">
        <f>NOVEMBER!AB39</f>
        <v>1527.096749819653</v>
      </c>
      <c r="AD14" s="105">
        <f>NOVEMBER!AC39</f>
        <v>0</v>
      </c>
      <c r="AE14" s="99">
        <f>NOVEMBER!AD40</f>
        <v>343.80063509164654</v>
      </c>
      <c r="AF14" s="99">
        <f>NOVEMBER!AE40</f>
        <v>6.106974193735125</v>
      </c>
      <c r="AG14" s="99">
        <f t="shared" si="0"/>
        <v>349.90760928538168</v>
      </c>
      <c r="AH14" s="99">
        <f>NOVEMBER!AF40</f>
        <v>327.55371180805895</v>
      </c>
      <c r="AI14" s="99">
        <f>NOVEMBER!AG40</f>
        <v>323.21482675410374</v>
      </c>
      <c r="AJ14" s="99">
        <f>NOVEMBER!AH40</f>
        <v>0</v>
      </c>
      <c r="AK14" s="91">
        <f>NOVEMBER!AI40</f>
        <v>1</v>
      </c>
    </row>
    <row r="15" spans="1:37" ht="15.75" customHeight="1" x14ac:dyDescent="0.25">
      <c r="A15" s="456"/>
      <c r="B15" s="92" t="s">
        <v>63</v>
      </c>
      <c r="C15" s="106">
        <f>DECEMBER!B39</f>
        <v>0</v>
      </c>
      <c r="D15" s="106">
        <f>DECEMBER!C39</f>
        <v>1317.913855141403</v>
      </c>
      <c r="E15" s="106">
        <f>DECEMBER!D39</f>
        <v>18658.59068062502</v>
      </c>
      <c r="F15" s="106">
        <f>DECEMBER!E39</f>
        <v>342.62079852124015</v>
      </c>
      <c r="G15" s="106">
        <f>DECEMBER!F39</f>
        <v>0</v>
      </c>
      <c r="H15" s="106">
        <f>DECEMBER!G39</f>
        <v>83987.309135961565</v>
      </c>
      <c r="I15" s="106">
        <f>DECEMBER!H39</f>
        <v>424.00153674880664</v>
      </c>
      <c r="J15" s="106">
        <f>DECEMBER!I39</f>
        <v>5090.9197926998158</v>
      </c>
      <c r="K15" s="106">
        <f>DECEMBER!J39</f>
        <v>12019.769733345513</v>
      </c>
      <c r="L15" s="107">
        <f>DECEMBER!K39</f>
        <v>715.95959857702326</v>
      </c>
      <c r="M15" s="106">
        <f>DECEMBER!L39</f>
        <v>0</v>
      </c>
      <c r="N15" s="106">
        <f>DECEMBER!M39</f>
        <v>0</v>
      </c>
      <c r="O15" s="106">
        <f>DECEMBER!N39</f>
        <v>0</v>
      </c>
      <c r="P15" s="106">
        <f>DECEMBER!O39</f>
        <v>0</v>
      </c>
      <c r="Q15" s="106">
        <f>DECEMBER!P39</f>
        <v>0</v>
      </c>
      <c r="R15" s="106">
        <f>DECEMBER!Q39</f>
        <v>0</v>
      </c>
      <c r="S15" s="106">
        <f>DECEMBER!R39</f>
        <v>0</v>
      </c>
      <c r="T15" s="106">
        <f>DECEMBER!S39</f>
        <v>0</v>
      </c>
      <c r="U15" s="106">
        <f>DECEMBER!T39</f>
        <v>0</v>
      </c>
      <c r="V15" s="106">
        <f>DECEMBER!U39</f>
        <v>7979.3212954937744</v>
      </c>
      <c r="W15" s="106">
        <f>DECEMBER!V39</f>
        <v>2645.9752989352482</v>
      </c>
      <c r="X15" s="106">
        <f>DECEMBER!W39</f>
        <v>1185.3453134337842</v>
      </c>
      <c r="Y15" s="106">
        <f>DECEMBER!X39</f>
        <v>405.65431796711908</v>
      </c>
      <c r="Z15" s="106">
        <f>DECEMBER!Y39</f>
        <v>4538.9277693473268</v>
      </c>
      <c r="AA15" s="106">
        <f>DECEMBER!Z39</f>
        <v>1518.2672148900263</v>
      </c>
      <c r="AB15" s="106">
        <f>DECEMBER!AA39</f>
        <v>0</v>
      </c>
      <c r="AC15" s="108">
        <f>DECEMBER!AB39</f>
        <v>2030.7985585716024</v>
      </c>
      <c r="AD15" s="108">
        <f>DECEMBER!AC39</f>
        <v>0</v>
      </c>
      <c r="AE15" s="100">
        <f>DECEMBER!AD40</f>
        <v>313.5430169068494</v>
      </c>
      <c r="AF15" s="100">
        <f>DECEMBER!AE40</f>
        <v>124.01972516068913</v>
      </c>
      <c r="AG15" s="100">
        <f t="shared" si="0"/>
        <v>437.56274206753852</v>
      </c>
      <c r="AH15" s="100">
        <f>DECEMBER!AF40</f>
        <v>399.98895111017754</v>
      </c>
      <c r="AI15" s="100">
        <f>DECEMBER!AG40</f>
        <v>294.39651211585107</v>
      </c>
      <c r="AJ15" s="100">
        <f>DECEMBER!AH40</f>
        <v>99.842383872264847</v>
      </c>
      <c r="AK15" s="93">
        <f>DECEMBER!AI40</f>
        <v>0.74674649079964306</v>
      </c>
    </row>
    <row r="16" spans="1:37" ht="15.75" customHeight="1" x14ac:dyDescent="0.25">
      <c r="A16" s="459" t="s">
        <v>160</v>
      </c>
      <c r="B16" s="460"/>
      <c r="C16" s="142" t="s">
        <v>100</v>
      </c>
      <c r="D16" s="142" t="s">
        <v>100</v>
      </c>
      <c r="E16" s="142" t="s">
        <v>100</v>
      </c>
      <c r="F16" s="142" t="s">
        <v>100</v>
      </c>
      <c r="G16" s="142" t="s">
        <v>100</v>
      </c>
      <c r="H16" s="142" t="s">
        <v>101</v>
      </c>
      <c r="I16" s="142" t="s">
        <v>100</v>
      </c>
      <c r="J16" s="142" t="s">
        <v>100</v>
      </c>
      <c r="K16" s="142" t="s">
        <v>100</v>
      </c>
      <c r="L16" s="144" t="s">
        <v>100</v>
      </c>
      <c r="M16" s="144" t="s">
        <v>100</v>
      </c>
      <c r="N16" s="144" t="s">
        <v>100</v>
      </c>
      <c r="O16" s="144" t="s">
        <v>100</v>
      </c>
      <c r="P16" s="144" t="s">
        <v>100</v>
      </c>
      <c r="Q16" s="144" t="s">
        <v>100</v>
      </c>
      <c r="R16" s="144" t="s">
        <v>100</v>
      </c>
      <c r="S16" s="144" t="s">
        <v>100</v>
      </c>
      <c r="T16" s="144" t="s">
        <v>100</v>
      </c>
      <c r="U16" s="144" t="s">
        <v>100</v>
      </c>
      <c r="V16" s="142" t="s">
        <v>101</v>
      </c>
      <c r="W16" s="142" t="s">
        <v>101</v>
      </c>
      <c r="X16" s="144" t="s">
        <v>100</v>
      </c>
      <c r="Y16" s="144" t="s">
        <v>100</v>
      </c>
      <c r="Z16" s="144" t="s">
        <v>100</v>
      </c>
      <c r="AA16" s="144" t="s">
        <v>100</v>
      </c>
      <c r="AB16" s="144" t="s">
        <v>100</v>
      </c>
      <c r="AC16" s="142" t="s">
        <v>101</v>
      </c>
      <c r="AD16" s="173" t="s">
        <v>100</v>
      </c>
      <c r="AE16" s="242" t="s">
        <v>28</v>
      </c>
      <c r="AF16" s="242" t="s">
        <v>28</v>
      </c>
      <c r="AG16" s="242" t="s">
        <v>28</v>
      </c>
      <c r="AH16" s="242" t="s">
        <v>28</v>
      </c>
      <c r="AI16" s="242" t="s">
        <v>28</v>
      </c>
      <c r="AJ16" s="242" t="s">
        <v>28</v>
      </c>
      <c r="AK16" s="243" t="s">
        <v>34</v>
      </c>
    </row>
    <row r="17" spans="1:37" ht="15.75" customHeight="1" thickBot="1" x14ac:dyDescent="0.3">
      <c r="A17" s="94" t="s">
        <v>65</v>
      </c>
      <c r="B17" s="95" t="s">
        <v>64</v>
      </c>
      <c r="C17" s="109">
        <f>SUM(C4:C15)</f>
        <v>0</v>
      </c>
      <c r="D17" s="109">
        <f t="shared" ref="D17:AJ17" si="1">SUM(D4:D15)</f>
        <v>21003.899737789256</v>
      </c>
      <c r="E17" s="109">
        <f t="shared" si="1"/>
        <v>252837.45506340262</v>
      </c>
      <c r="F17" s="109">
        <f t="shared" si="1"/>
        <v>5858.1959322988951</v>
      </c>
      <c r="G17" s="109">
        <f t="shared" si="1"/>
        <v>0</v>
      </c>
      <c r="H17" s="109">
        <f t="shared" si="1"/>
        <v>631769.59421763441</v>
      </c>
      <c r="I17" s="109">
        <f t="shared" si="1"/>
        <v>8136.280590903767</v>
      </c>
      <c r="J17" s="109">
        <f t="shared" si="1"/>
        <v>60402.970564671356</v>
      </c>
      <c r="K17" s="109">
        <f t="shared" si="1"/>
        <v>158368.76275563645</v>
      </c>
      <c r="L17" s="109">
        <f t="shared" si="1"/>
        <v>8802.2131208613519</v>
      </c>
      <c r="M17" s="109">
        <f t="shared" si="1"/>
        <v>0.12895450592040864</v>
      </c>
      <c r="N17" s="109">
        <f t="shared" si="1"/>
        <v>0</v>
      </c>
      <c r="O17" s="109">
        <f t="shared" si="1"/>
        <v>0</v>
      </c>
      <c r="P17" s="109">
        <f t="shared" si="1"/>
        <v>0</v>
      </c>
      <c r="Q17" s="109">
        <f t="shared" si="1"/>
        <v>0</v>
      </c>
      <c r="R17" s="109">
        <f t="shared" si="1"/>
        <v>0</v>
      </c>
      <c r="S17" s="109">
        <f t="shared" si="1"/>
        <v>0</v>
      </c>
      <c r="T17" s="109">
        <f t="shared" si="1"/>
        <v>0</v>
      </c>
      <c r="U17" s="109">
        <f t="shared" si="1"/>
        <v>0</v>
      </c>
      <c r="V17" s="109">
        <f t="shared" si="1"/>
        <v>110356.97474364474</v>
      </c>
      <c r="W17" s="109">
        <f t="shared" si="1"/>
        <v>47356.569038557762</v>
      </c>
      <c r="X17" s="109">
        <f t="shared" si="1"/>
        <v>17178.953389888007</v>
      </c>
      <c r="Y17" s="109">
        <f t="shared" si="1"/>
        <v>7361.320913762851</v>
      </c>
      <c r="Z17" s="109">
        <f t="shared" si="1"/>
        <v>62440.573583226018</v>
      </c>
      <c r="AA17" s="109">
        <f t="shared" si="1"/>
        <v>25345.667479550211</v>
      </c>
      <c r="AB17" s="109">
        <f t="shared" si="1"/>
        <v>0</v>
      </c>
      <c r="AC17" s="109">
        <f t="shared" si="1"/>
        <v>31011.276263419837</v>
      </c>
      <c r="AD17" s="109">
        <f t="shared" si="1"/>
        <v>0</v>
      </c>
      <c r="AE17" s="96">
        <f>SUM(AE4:AE15)</f>
        <v>4545.3303044931808</v>
      </c>
      <c r="AF17" s="96">
        <f>SUM(AF4:AF15)</f>
        <v>1947.3055694245847</v>
      </c>
      <c r="AG17" s="96">
        <f>SUM(AG4:AG15)</f>
        <v>6492.6358739177658</v>
      </c>
      <c r="AH17" s="96">
        <f t="shared" si="1"/>
        <v>6193.2842291444549</v>
      </c>
      <c r="AI17" s="96">
        <f t="shared" si="1"/>
        <v>4292.4661543266939</v>
      </c>
      <c r="AJ17" s="96">
        <f t="shared" si="1"/>
        <v>1842.4648388849234</v>
      </c>
      <c r="AK17" s="226">
        <f>IF(SUM(AI17:AJ17)&gt;0, AI17/(AI17+AJ17), "")</f>
        <v>0.6996763548076359</v>
      </c>
    </row>
    <row r="18" spans="1:37" ht="15.75" customHeight="1" thickTop="1" x14ac:dyDescent="0.25">
      <c r="A18" s="454" t="s">
        <v>87</v>
      </c>
      <c r="B18" s="89" t="s">
        <v>52</v>
      </c>
      <c r="C18" s="110">
        <f>JANUARY!B41</f>
        <v>0</v>
      </c>
      <c r="D18" s="110">
        <f>JANUARY!C41</f>
        <v>3446.8420803123045</v>
      </c>
      <c r="E18" s="110">
        <f>JANUARY!D41</f>
        <v>77229.445549448908</v>
      </c>
      <c r="F18" s="110">
        <f>JANUARY!E41</f>
        <v>3594.6013617898839</v>
      </c>
      <c r="G18" s="110">
        <f>JANUARY!F41</f>
        <v>0</v>
      </c>
      <c r="H18" s="110">
        <f>JANUARY!G41</f>
        <v>3528.8043302201927</v>
      </c>
      <c r="I18" s="110">
        <f>JANUARY!H41</f>
        <v>3087.5951041335102</v>
      </c>
      <c r="J18" s="110">
        <f>JANUARY!I41</f>
        <v>2821.8993322970814</v>
      </c>
      <c r="K18" s="110">
        <f>JANUARY!J41</f>
        <v>15688.464601888183</v>
      </c>
      <c r="L18" s="111">
        <f>JANUARY!K41</f>
        <v>2288.9773742657094</v>
      </c>
      <c r="M18" s="110">
        <f>JANUARY!L41</f>
        <v>0</v>
      </c>
      <c r="N18" s="110">
        <f>JANUARY!M41</f>
        <v>0</v>
      </c>
      <c r="O18" s="112">
        <f>JANUARY!N41</f>
        <v>0</v>
      </c>
      <c r="P18" s="112">
        <f>JANUARY!O41</f>
        <v>0</v>
      </c>
      <c r="Q18" s="110">
        <f>JANUARY!P41</f>
        <v>0</v>
      </c>
      <c r="R18" s="110">
        <f>JANUARY!Q41</f>
        <v>0</v>
      </c>
      <c r="S18" s="110">
        <f>JANUARY!R41</f>
        <v>0</v>
      </c>
      <c r="T18" s="110">
        <f>JANUARY!S41</f>
        <v>0</v>
      </c>
      <c r="U18" s="110">
        <f>JANUARY!T41</f>
        <v>0</v>
      </c>
      <c r="V18" s="110">
        <f>JANUARY!U41</f>
        <v>1995.9708169545434</v>
      </c>
      <c r="W18" s="110">
        <f>JANUARY!V41</f>
        <v>1467.5726208174012</v>
      </c>
      <c r="X18" s="110">
        <f>JANUARY!W41</f>
        <v>722.80822582551605</v>
      </c>
      <c r="Y18" s="110">
        <f>JANUARY!X41</f>
        <v>531.19945817662881</v>
      </c>
      <c r="Z18" s="110">
        <f>JANUARY!Y41</f>
        <v>6247.7749719445992</v>
      </c>
      <c r="AA18" s="110">
        <f>JANUARY!Z41</f>
        <v>4587.7371541022048</v>
      </c>
      <c r="AB18" s="110">
        <f>JANUARY!AA41</f>
        <v>0</v>
      </c>
      <c r="AC18" s="113">
        <f>JANUARY!AB41</f>
        <v>553.05532985886987</v>
      </c>
      <c r="AD18" s="113">
        <f>JANUARY!AC41</f>
        <v>0</v>
      </c>
      <c r="AE18" s="123"/>
      <c r="AF18" s="123"/>
      <c r="AG18" s="123"/>
      <c r="AH18" s="123"/>
      <c r="AI18" s="123"/>
      <c r="AJ18" s="123"/>
      <c r="AK18" s="124"/>
    </row>
    <row r="19" spans="1:37" ht="15.75" customHeight="1" x14ac:dyDescent="0.25">
      <c r="A19" s="455"/>
      <c r="B19" s="90" t="s">
        <v>53</v>
      </c>
      <c r="C19" s="114">
        <f>FEBRUARY!B41</f>
        <v>0</v>
      </c>
      <c r="D19" s="114">
        <f>FEBRUARY!C41</f>
        <v>2499.0187904357726</v>
      </c>
      <c r="E19" s="114">
        <f>FEBRUARY!D41</f>
        <v>67502.529547155718</v>
      </c>
      <c r="F19" s="114">
        <f>FEBRUARY!E41</f>
        <v>2929.8900506400932</v>
      </c>
      <c r="G19" s="114">
        <f>FEBRUARY!F41</f>
        <v>0</v>
      </c>
      <c r="H19" s="114">
        <f>FEBRUARY!G41</f>
        <v>3288.1540305380304</v>
      </c>
      <c r="I19" s="114">
        <f>FEBRUARY!H41</f>
        <v>2785.3797957606221</v>
      </c>
      <c r="J19" s="114">
        <f>FEBRUARY!I41</f>
        <v>2507.1169099267568</v>
      </c>
      <c r="K19" s="114">
        <f>FEBRUARY!J41</f>
        <v>14255.451357103557</v>
      </c>
      <c r="L19" s="115">
        <f>FEBRUARY!K41</f>
        <v>2080.9630197671222</v>
      </c>
      <c r="M19" s="114">
        <f>FEBRUARY!L41</f>
        <v>0</v>
      </c>
      <c r="N19" s="114">
        <f>FEBRUARY!M41</f>
        <v>0</v>
      </c>
      <c r="O19" s="116">
        <f>FEBRUARY!N41</f>
        <v>0</v>
      </c>
      <c r="P19" s="116">
        <f>FEBRUARY!O41</f>
        <v>0</v>
      </c>
      <c r="Q19" s="114">
        <f>FEBRUARY!P41</f>
        <v>0</v>
      </c>
      <c r="R19" s="114">
        <f>FEBRUARY!Q41</f>
        <v>0</v>
      </c>
      <c r="S19" s="114">
        <f>FEBRUARY!R41</f>
        <v>0</v>
      </c>
      <c r="T19" s="114">
        <f>FEBRUARY!S41</f>
        <v>0</v>
      </c>
      <c r="U19" s="114">
        <f>FEBRUARY!T41</f>
        <v>0</v>
      </c>
      <c r="V19" s="114">
        <f>FEBRUARY!U41</f>
        <v>1784.2273404483387</v>
      </c>
      <c r="W19" s="114">
        <f>FEBRUARY!V41</f>
        <v>1295.8733286953493</v>
      </c>
      <c r="X19" s="114">
        <f>FEBRUARY!W41</f>
        <v>644.72223828410506</v>
      </c>
      <c r="Y19" s="114">
        <f>FEBRUARY!X41</f>
        <v>468.39985994289447</v>
      </c>
      <c r="Z19" s="114">
        <f>FEBRUARY!Y41</f>
        <v>5472.729212359659</v>
      </c>
      <c r="AA19" s="114">
        <f>FEBRUARY!Z41</f>
        <v>3975.3901164756667</v>
      </c>
      <c r="AB19" s="114">
        <f>FEBRUARY!AA41</f>
        <v>0</v>
      </c>
      <c r="AC19" s="117">
        <f>FEBRUARY!AB41</f>
        <v>604.81592514887734</v>
      </c>
      <c r="AD19" s="117">
        <f>FEBRUARY!AC41</f>
        <v>0</v>
      </c>
      <c r="AE19" s="125"/>
      <c r="AF19" s="125"/>
      <c r="AG19" s="125"/>
      <c r="AH19" s="125"/>
      <c r="AI19" s="125"/>
      <c r="AJ19" s="125"/>
      <c r="AK19" s="126"/>
    </row>
    <row r="20" spans="1:37" ht="15.75" customHeight="1" x14ac:dyDescent="0.25">
      <c r="A20" s="455"/>
      <c r="B20" s="90" t="s">
        <v>54</v>
      </c>
      <c r="C20" s="114">
        <f>MARCH!B41</f>
        <v>0</v>
      </c>
      <c r="D20" s="114">
        <f>MARCH!C41</f>
        <v>2503.7832135336876</v>
      </c>
      <c r="E20" s="114">
        <f>MARCH!D41</f>
        <v>82172.716039226594</v>
      </c>
      <c r="F20" s="114">
        <f>MARCH!E41</f>
        <v>1911.6644031744772</v>
      </c>
      <c r="G20" s="114">
        <f>MARCH!F41</f>
        <v>0</v>
      </c>
      <c r="H20" s="114">
        <f>MARCH!G41</f>
        <v>5459.7820516823631</v>
      </c>
      <c r="I20" s="114">
        <f>MARCH!H41</f>
        <v>2854.2720639730778</v>
      </c>
      <c r="J20" s="114">
        <f>MARCH!I41</f>
        <v>2925.5669358114624</v>
      </c>
      <c r="K20" s="114">
        <f>MARCH!J41</f>
        <v>15964.312767182701</v>
      </c>
      <c r="L20" s="115">
        <f>MARCH!K41</f>
        <v>2334.4067875025735</v>
      </c>
      <c r="M20" s="114">
        <f>MARCH!L41</f>
        <v>0</v>
      </c>
      <c r="N20" s="114">
        <f>MARCH!M41</f>
        <v>0</v>
      </c>
      <c r="O20" s="116">
        <f>MARCH!N41</f>
        <v>0</v>
      </c>
      <c r="P20" s="116">
        <f>MARCH!O41</f>
        <v>0</v>
      </c>
      <c r="Q20" s="114">
        <f>MARCH!P41</f>
        <v>0</v>
      </c>
      <c r="R20" s="114">
        <f>MARCH!Q41</f>
        <v>0</v>
      </c>
      <c r="S20" s="114">
        <f>MARCH!R41</f>
        <v>0</v>
      </c>
      <c r="T20" s="114">
        <f>MARCH!S41</f>
        <v>0</v>
      </c>
      <c r="U20" s="114">
        <f>MARCH!T41</f>
        <v>0</v>
      </c>
      <c r="V20" s="114">
        <f>MARCH!U41</f>
        <v>2192.3539451421516</v>
      </c>
      <c r="W20" s="114">
        <f>MARCH!V41</f>
        <v>1306.7007188907171</v>
      </c>
      <c r="X20" s="114">
        <f>MARCH!W41</f>
        <v>837.45665751722686</v>
      </c>
      <c r="Y20" s="114">
        <f>MARCH!X41</f>
        <v>500.49921226645802</v>
      </c>
      <c r="Z20" s="114">
        <f>MARCH!Y41</f>
        <v>10337.01627023169</v>
      </c>
      <c r="AA20" s="114">
        <f>MARCH!Z41</f>
        <v>6101.0900201356735</v>
      </c>
      <c r="AB20" s="114">
        <f>MARCH!AA41</f>
        <v>0</v>
      </c>
      <c r="AC20" s="117">
        <f>MARCH!AB41</f>
        <v>703.81374744480888</v>
      </c>
      <c r="AD20" s="117">
        <f>MARCH!AC41</f>
        <v>0</v>
      </c>
      <c r="AE20" s="125"/>
      <c r="AF20" s="125"/>
      <c r="AG20" s="125"/>
      <c r="AH20" s="125"/>
      <c r="AI20" s="125"/>
      <c r="AJ20" s="125"/>
      <c r="AK20" s="126"/>
    </row>
    <row r="21" spans="1:37" ht="15.75" customHeight="1" x14ac:dyDescent="0.25">
      <c r="A21" s="455"/>
      <c r="B21" s="90" t="s">
        <v>55</v>
      </c>
      <c r="C21" s="114">
        <f>APRIL!B41</f>
        <v>0</v>
      </c>
      <c r="D21" s="114">
        <f>APRIL!C41</f>
        <v>2796.1026971552392</v>
      </c>
      <c r="E21" s="114">
        <f>APRIL!D41</f>
        <v>81944.857707864358</v>
      </c>
      <c r="F21" s="114">
        <f>APRIL!E41</f>
        <v>2070.4657558301201</v>
      </c>
      <c r="G21" s="114">
        <f>APRIL!F41</f>
        <v>0</v>
      </c>
      <c r="H21" s="114">
        <f>APRIL!G41</f>
        <v>4774.4750064639766</v>
      </c>
      <c r="I21" s="114">
        <f>APRIL!H41</f>
        <v>2940.9263202603074</v>
      </c>
      <c r="J21" s="114">
        <f>APRIL!I41</f>
        <v>3155.8855236902459</v>
      </c>
      <c r="K21" s="114">
        <f>APRIL!J41</f>
        <v>16863.178705040867</v>
      </c>
      <c r="L21" s="115">
        <f>APRIL!K41</f>
        <v>2699.939885316222</v>
      </c>
      <c r="M21" s="114">
        <f>APRIL!L41</f>
        <v>0</v>
      </c>
      <c r="N21" s="114">
        <f>APRIL!M41</f>
        <v>0</v>
      </c>
      <c r="O21" s="116">
        <f>APRIL!N41</f>
        <v>0</v>
      </c>
      <c r="P21" s="116">
        <f>APRIL!O41</f>
        <v>0</v>
      </c>
      <c r="Q21" s="114">
        <f>APRIL!P41</f>
        <v>0</v>
      </c>
      <c r="R21" s="114">
        <f>APRIL!Q41</f>
        <v>0</v>
      </c>
      <c r="S21" s="114">
        <f>APRIL!R41</f>
        <v>0</v>
      </c>
      <c r="T21" s="114">
        <f>APRIL!S41</f>
        <v>0</v>
      </c>
      <c r="U21" s="114">
        <f>APRIL!T41</f>
        <v>0</v>
      </c>
      <c r="V21" s="114">
        <f>APRIL!U41</f>
        <v>2326.9204074573154</v>
      </c>
      <c r="W21" s="114">
        <f>APRIL!V41</f>
        <v>1352.3651550517295</v>
      </c>
      <c r="X21" s="114">
        <f>APRIL!W41</f>
        <v>913.27263001035521</v>
      </c>
      <c r="Y21" s="114">
        <f>APRIL!X41</f>
        <v>530.56850647182682</v>
      </c>
      <c r="Z21" s="114">
        <f>APRIL!Y41</f>
        <v>10782.833211899295</v>
      </c>
      <c r="AA21" s="114">
        <f>APRIL!Z41</f>
        <v>6262.8978854439356</v>
      </c>
      <c r="AB21" s="114">
        <f>APRIL!AA41</f>
        <v>0</v>
      </c>
      <c r="AC21" s="117">
        <f>APRIL!AB41</f>
        <v>705.68971856235521</v>
      </c>
      <c r="AD21" s="117">
        <f>APRIL!AC41</f>
        <v>0</v>
      </c>
      <c r="AE21" s="125"/>
      <c r="AF21" s="125"/>
      <c r="AG21" s="125"/>
      <c r="AH21" s="125"/>
      <c r="AI21" s="125"/>
      <c r="AJ21" s="125"/>
      <c r="AK21" s="126"/>
    </row>
    <row r="22" spans="1:37" ht="15.75" customHeight="1" x14ac:dyDescent="0.25">
      <c r="A22" s="455"/>
      <c r="B22" s="90" t="s">
        <v>56</v>
      </c>
      <c r="C22" s="114">
        <f>MAY!B41</f>
        <v>0</v>
      </c>
      <c r="D22" s="114">
        <f>MAY!C41</f>
        <v>2713.6320425633357</v>
      </c>
      <c r="E22" s="114">
        <f>MAY!D41</f>
        <v>68139.20409338054</v>
      </c>
      <c r="F22" s="114">
        <f>MAY!E41</f>
        <v>1992.4739915642244</v>
      </c>
      <c r="G22" s="114">
        <f>MAY!F41</f>
        <v>0</v>
      </c>
      <c r="H22" s="114">
        <f>MAY!G41</f>
        <v>2960.8711794040223</v>
      </c>
      <c r="I22" s="114">
        <f>MAY!H41</f>
        <v>2831.6982357243314</v>
      </c>
      <c r="J22" s="114">
        <f>MAY!I41</f>
        <v>4952.2657091928604</v>
      </c>
      <c r="K22" s="114">
        <f>MAY!J41</f>
        <v>20990.237142597562</v>
      </c>
      <c r="L22" s="115">
        <f>MAY!K41</f>
        <v>3352.6710003829467</v>
      </c>
      <c r="M22" s="114">
        <f>MAY!L41</f>
        <v>0</v>
      </c>
      <c r="N22" s="114">
        <f>MAY!M41</f>
        <v>0</v>
      </c>
      <c r="O22" s="116">
        <f>MAY!N41</f>
        <v>0</v>
      </c>
      <c r="P22" s="116">
        <f>MAY!O41</f>
        <v>0</v>
      </c>
      <c r="Q22" s="114">
        <f>MAY!P41</f>
        <v>0</v>
      </c>
      <c r="R22" s="114">
        <f>MAY!Q41</f>
        <v>0</v>
      </c>
      <c r="S22" s="114">
        <f>MAY!R41</f>
        <v>0</v>
      </c>
      <c r="T22" s="114">
        <f>MAY!S41</f>
        <v>0</v>
      </c>
      <c r="U22" s="114">
        <f>MAY!T41</f>
        <v>0</v>
      </c>
      <c r="V22" s="114">
        <f>MAY!U41</f>
        <v>2996.7680117996983</v>
      </c>
      <c r="W22" s="114">
        <f>MAY!V41</f>
        <v>1217.7369763691333</v>
      </c>
      <c r="X22" s="114">
        <f>MAY!W41</f>
        <v>1181.6673101155911</v>
      </c>
      <c r="Y22" s="114">
        <f>MAY!X41</f>
        <v>477.18287434109874</v>
      </c>
      <c r="Z22" s="114">
        <f>MAY!Y41</f>
        <v>14543.592286860663</v>
      </c>
      <c r="AA22" s="114">
        <f>MAY!Z41</f>
        <v>5907.3727391443799</v>
      </c>
      <c r="AB22" s="114">
        <f>MAY!AA41</f>
        <v>0</v>
      </c>
      <c r="AC22" s="117">
        <f>MAY!AB41</f>
        <v>810.62107563602342</v>
      </c>
      <c r="AD22" s="117">
        <f>MAY!AC41</f>
        <v>0</v>
      </c>
      <c r="AE22" s="125"/>
      <c r="AF22" s="125"/>
      <c r="AG22" s="125"/>
      <c r="AH22" s="125"/>
      <c r="AI22" s="125"/>
      <c r="AJ22" s="125"/>
      <c r="AK22" s="126"/>
    </row>
    <row r="23" spans="1:37" ht="15.75" customHeight="1" x14ac:dyDescent="0.25">
      <c r="A23" s="455"/>
      <c r="B23" s="90" t="s">
        <v>57</v>
      </c>
      <c r="C23" s="114">
        <f>JUNE!B41</f>
        <v>0</v>
      </c>
      <c r="D23" s="114">
        <f>JUNE!C41</f>
        <v>2822.0436442827331</v>
      </c>
      <c r="E23" s="114">
        <f>JUNE!D41</f>
        <v>64189.405754929758</v>
      </c>
      <c r="F23" s="114">
        <f>JUNE!E41</f>
        <v>2066.5932688194493</v>
      </c>
      <c r="G23" s="114">
        <f>JUNE!F41</f>
        <v>0</v>
      </c>
      <c r="H23" s="114">
        <f>JUNE!G41</f>
        <v>2375.1490323578478</v>
      </c>
      <c r="I23" s="114">
        <f>JUNE!H41</f>
        <v>2947.5046167467876</v>
      </c>
      <c r="J23" s="114">
        <f>JUNE!I41</f>
        <v>5101.2980191412144</v>
      </c>
      <c r="K23" s="114">
        <f>JUNE!J41</f>
        <v>22629.196604205383</v>
      </c>
      <c r="L23" s="115">
        <f>JUNE!K41</f>
        <v>3586.7276815044474</v>
      </c>
      <c r="M23" s="114">
        <f>JUNE!L41</f>
        <v>0</v>
      </c>
      <c r="N23" s="114">
        <f>JUNE!M41</f>
        <v>0</v>
      </c>
      <c r="O23" s="116">
        <f>JUNE!N41</f>
        <v>0</v>
      </c>
      <c r="P23" s="116">
        <f>JUNE!O41</f>
        <v>0</v>
      </c>
      <c r="Q23" s="114">
        <f>JUNE!P41</f>
        <v>0</v>
      </c>
      <c r="R23" s="114">
        <f>JUNE!Q41</f>
        <v>0</v>
      </c>
      <c r="S23" s="114">
        <f>JUNE!R41</f>
        <v>0</v>
      </c>
      <c r="T23" s="114">
        <f>JUNE!S41</f>
        <v>0</v>
      </c>
      <c r="U23" s="114">
        <f>JUNE!T41</f>
        <v>0</v>
      </c>
      <c r="V23" s="114">
        <f>JUNE!U41</f>
        <v>3407.6940414502214</v>
      </c>
      <c r="W23" s="114">
        <f>JUNE!V41</f>
        <v>1273.6960170807956</v>
      </c>
      <c r="X23" s="114">
        <f>JUNE!W41</f>
        <v>1341.496659186804</v>
      </c>
      <c r="Y23" s="114">
        <f>JUNE!X41</f>
        <v>498.87799434719477</v>
      </c>
      <c r="Z23" s="114">
        <f>JUNE!Y41</f>
        <v>19129.074426487994</v>
      </c>
      <c r="AA23" s="114">
        <f>JUNE!Z41</f>
        <v>7086.1410849844478</v>
      </c>
      <c r="AB23" s="114">
        <f>JUNE!AA41</f>
        <v>0</v>
      </c>
      <c r="AC23" s="117">
        <f>JUNE!AB41</f>
        <v>912.83676385081515</v>
      </c>
      <c r="AD23" s="117">
        <f>JUNE!AC41</f>
        <v>0</v>
      </c>
      <c r="AE23" s="125"/>
      <c r="AF23" s="125"/>
      <c r="AG23" s="125"/>
      <c r="AH23" s="125"/>
      <c r="AI23" s="125"/>
      <c r="AJ23" s="125"/>
      <c r="AK23" s="126"/>
    </row>
    <row r="24" spans="1:37" ht="15.75" customHeight="1" x14ac:dyDescent="0.25">
      <c r="A24" s="455"/>
      <c r="B24" s="90" t="s">
        <v>58</v>
      </c>
      <c r="C24" s="114">
        <f>JULY!B41</f>
        <v>0</v>
      </c>
      <c r="D24" s="114">
        <f>JULY!C41</f>
        <v>3059.2956398194901</v>
      </c>
      <c r="E24" s="114">
        <f>JULY!D41</f>
        <v>66686.687458150554</v>
      </c>
      <c r="F24" s="114">
        <f>JULY!E41</f>
        <v>2246.5691220687145</v>
      </c>
      <c r="G24" s="114">
        <f>JULY!F41</f>
        <v>0</v>
      </c>
      <c r="H24" s="114">
        <f>JULY!G41</f>
        <v>2855.4603272831341</v>
      </c>
      <c r="I24" s="114">
        <f>JULY!H41</f>
        <v>3191.2717614522198</v>
      </c>
      <c r="J24" s="114">
        <f>JULY!I41</f>
        <v>4303.4963239731114</v>
      </c>
      <c r="K24" s="114">
        <f>JULY!J41</f>
        <v>22622.88652200174</v>
      </c>
      <c r="L24" s="115">
        <f>JULY!K41</f>
        <v>3612.5049410875818</v>
      </c>
      <c r="M24" s="114">
        <f>JULY!L41</f>
        <v>0</v>
      </c>
      <c r="N24" s="114">
        <f>JULY!M41</f>
        <v>0</v>
      </c>
      <c r="O24" s="116">
        <f>JULY!N41</f>
        <v>0</v>
      </c>
      <c r="P24" s="116">
        <f>JULY!O41</f>
        <v>0</v>
      </c>
      <c r="Q24" s="114">
        <f>JULY!P41</f>
        <v>0</v>
      </c>
      <c r="R24" s="114">
        <f>JULY!Q41</f>
        <v>0</v>
      </c>
      <c r="S24" s="114">
        <f>JULY!R41</f>
        <v>0</v>
      </c>
      <c r="T24" s="114">
        <f>JULY!S41</f>
        <v>0</v>
      </c>
      <c r="U24" s="114">
        <f>JULY!T41</f>
        <v>0</v>
      </c>
      <c r="V24" s="114">
        <f>JULY!U41</f>
        <v>3650.4138705754171</v>
      </c>
      <c r="W24" s="114">
        <f>JULY!V41</f>
        <v>1532.5355297560957</v>
      </c>
      <c r="X24" s="114">
        <f>JULY!W41</f>
        <v>1359.4068873036056</v>
      </c>
      <c r="Y24" s="114">
        <f>JULY!X41</f>
        <v>567.58293178151916</v>
      </c>
      <c r="Z24" s="114">
        <f>JULY!Y41</f>
        <v>23797.268854903297</v>
      </c>
      <c r="AA24" s="114">
        <f>JULY!Z41</f>
        <v>9907.5763128924991</v>
      </c>
      <c r="AB24" s="114">
        <f>JULY!AA41</f>
        <v>0</v>
      </c>
      <c r="AC24" s="117">
        <f>JULY!AB41</f>
        <v>1026.1440945511767</v>
      </c>
      <c r="AD24" s="117">
        <f>JULY!AC41</f>
        <v>0</v>
      </c>
      <c r="AE24" s="125"/>
      <c r="AF24" s="125"/>
      <c r="AG24" s="125"/>
      <c r="AH24" s="125"/>
      <c r="AI24" s="125"/>
      <c r="AJ24" s="125"/>
      <c r="AK24" s="126"/>
    </row>
    <row r="25" spans="1:37" ht="15.75" customHeight="1" x14ac:dyDescent="0.25">
      <c r="A25" s="455"/>
      <c r="B25" s="90" t="s">
        <v>59</v>
      </c>
      <c r="C25" s="114">
        <f>AUGUST!B41</f>
        <v>0</v>
      </c>
      <c r="D25" s="114">
        <f>AUGUST!C41</f>
        <v>4555.4569903235715</v>
      </c>
      <c r="E25" s="114">
        <f>AUGUST!D41</f>
        <v>113523.95762572001</v>
      </c>
      <c r="F25" s="114">
        <f>AUGUST!E41</f>
        <v>3356.5230946061797</v>
      </c>
      <c r="G25" s="114">
        <f>AUGUST!F41</f>
        <v>0</v>
      </c>
      <c r="H25" s="114">
        <f>AUGUST!G41</f>
        <v>3702.175968994587</v>
      </c>
      <c r="I25" s="114">
        <f>AUGUST!H41</f>
        <v>4352.2953632556328</v>
      </c>
      <c r="J25" s="114">
        <f>AUGUST!I41</f>
        <v>7095.2488821459801</v>
      </c>
      <c r="K25" s="114">
        <f>AUGUST!J41</f>
        <v>37773.294843434691</v>
      </c>
      <c r="L25" s="115">
        <f>AUGUST!K41</f>
        <v>6044.5239819776252</v>
      </c>
      <c r="M25" s="114">
        <f>AUGUST!L41</f>
        <v>0</v>
      </c>
      <c r="N25" s="114">
        <f>AUGUST!M41</f>
        <v>0</v>
      </c>
      <c r="O25" s="116">
        <f>AUGUST!N41</f>
        <v>0</v>
      </c>
      <c r="P25" s="116">
        <f>AUGUST!O41</f>
        <v>0</v>
      </c>
      <c r="Q25" s="114">
        <f>AUGUST!P41</f>
        <v>0</v>
      </c>
      <c r="R25" s="114">
        <f>AUGUST!Q41</f>
        <v>0</v>
      </c>
      <c r="S25" s="114">
        <f>AUGUST!R41</f>
        <v>0</v>
      </c>
      <c r="T25" s="114">
        <f>AUGUST!S41</f>
        <v>0</v>
      </c>
      <c r="U25" s="114">
        <f>AUGUST!T41</f>
        <v>0</v>
      </c>
      <c r="V25" s="114">
        <f>AUGUST!U41</f>
        <v>5455.4595709435671</v>
      </c>
      <c r="W25" s="114">
        <f>AUGUST!V41</f>
        <v>2001.6920376336391</v>
      </c>
      <c r="X25" s="114">
        <f>AUGUST!W41</f>
        <v>2331.2234551356146</v>
      </c>
      <c r="Y25" s="114">
        <f>AUGUST!X41</f>
        <v>850.67319733500676</v>
      </c>
      <c r="Z25" s="114">
        <f>AUGUST!Y41</f>
        <v>47186.208583941661</v>
      </c>
      <c r="AA25" s="114">
        <f>AUGUST!Z41</f>
        <v>17154.820927419725</v>
      </c>
      <c r="AB25" s="114">
        <f>AUGUST!AA41</f>
        <v>0</v>
      </c>
      <c r="AC25" s="117">
        <f>AUGUST!AB41</f>
        <v>1599.0169067913814</v>
      </c>
      <c r="AD25" s="117">
        <f>AUGUST!AC41</f>
        <v>0</v>
      </c>
      <c r="AE25" s="125"/>
      <c r="AF25" s="125"/>
      <c r="AG25" s="125"/>
      <c r="AH25" s="125"/>
      <c r="AI25" s="125"/>
      <c r="AJ25" s="125"/>
      <c r="AK25" s="126"/>
    </row>
    <row r="26" spans="1:37" ht="15.75" customHeight="1" x14ac:dyDescent="0.25">
      <c r="A26" s="455"/>
      <c r="B26" s="90" t="s">
        <v>60</v>
      </c>
      <c r="C26" s="114">
        <f>SEPTEMBER!B41</f>
        <v>0</v>
      </c>
      <c r="D26" s="114">
        <f>SEPTEMBER!C41</f>
        <v>4505.0417626870076</v>
      </c>
      <c r="E26" s="114">
        <f>SEPTEMBER!D41</f>
        <v>91822.316792411133</v>
      </c>
      <c r="F26" s="114">
        <f>SEPTEMBER!E41</f>
        <v>2708.7778704133307</v>
      </c>
      <c r="G26" s="114">
        <f>SEPTEMBER!F41</f>
        <v>0</v>
      </c>
      <c r="H26" s="114">
        <f>SEPTEMBER!G41</f>
        <v>2836.0517375928534</v>
      </c>
      <c r="I26" s="114">
        <f>SEPTEMBER!H41</f>
        <v>3502.0179129261919</v>
      </c>
      <c r="J26" s="114">
        <f>SEPTEMBER!I41</f>
        <v>3917.9112898191665</v>
      </c>
      <c r="K26" s="114">
        <f>SEPTEMBER!J41</f>
        <v>15966.232658197694</v>
      </c>
      <c r="L26" s="115">
        <f>SEPTEMBER!K41</f>
        <v>2550.2370893651305</v>
      </c>
      <c r="M26" s="114">
        <f>SEPTEMBER!L41</f>
        <v>0</v>
      </c>
      <c r="N26" s="114">
        <f>SEPTEMBER!M41</f>
        <v>0</v>
      </c>
      <c r="O26" s="116">
        <f>SEPTEMBER!N41</f>
        <v>0</v>
      </c>
      <c r="P26" s="116">
        <f>SEPTEMBER!O41</f>
        <v>0</v>
      </c>
      <c r="Q26" s="114">
        <f>SEPTEMBER!P41</f>
        <v>0</v>
      </c>
      <c r="R26" s="114">
        <f>SEPTEMBER!Q41</f>
        <v>0</v>
      </c>
      <c r="S26" s="114">
        <f>SEPTEMBER!R41</f>
        <v>0</v>
      </c>
      <c r="T26" s="114">
        <f>SEPTEMBER!S41</f>
        <v>0</v>
      </c>
      <c r="U26" s="114">
        <f>SEPTEMBER!T41</f>
        <v>0</v>
      </c>
      <c r="V26" s="114">
        <f>SEPTEMBER!U41</f>
        <v>2414.4766435239203</v>
      </c>
      <c r="W26" s="114">
        <f>SEPTEMBER!V41</f>
        <v>1760.2995606253814</v>
      </c>
      <c r="X26" s="114">
        <f>SEPTEMBER!W41</f>
        <v>938.26183644700427</v>
      </c>
      <c r="Y26" s="114">
        <f>SEPTEMBER!X41</f>
        <v>679.93371739891916</v>
      </c>
      <c r="Z26" s="114">
        <f>SEPTEMBER!Y41</f>
        <v>15893.251178966788</v>
      </c>
      <c r="AA26" s="114">
        <f>SEPTEMBER!Z41</f>
        <v>11395.196050770446</v>
      </c>
      <c r="AB26" s="114">
        <f>SEPTEMBER!AA41</f>
        <v>0</v>
      </c>
      <c r="AC26" s="117">
        <f>SEPTEMBER!AB41</f>
        <v>813.6880313211384</v>
      </c>
      <c r="AD26" s="117">
        <f>SEPTEMBER!AC41</f>
        <v>0</v>
      </c>
      <c r="AE26" s="125"/>
      <c r="AF26" s="125"/>
      <c r="AG26" s="125"/>
      <c r="AH26" s="125"/>
      <c r="AI26" s="125"/>
      <c r="AJ26" s="125"/>
      <c r="AK26" s="126"/>
    </row>
    <row r="27" spans="1:37" ht="15.75" customHeight="1" x14ac:dyDescent="0.25">
      <c r="A27" s="455"/>
      <c r="B27" s="90" t="s">
        <v>61</v>
      </c>
      <c r="C27" s="114">
        <f>OCTOBER!B41</f>
        <v>0</v>
      </c>
      <c r="D27" s="114">
        <f>OCTOBER!C41</f>
        <v>359.14274829273222</v>
      </c>
      <c r="E27" s="114">
        <f>OCTOBER!D41</f>
        <v>8276.9318503187333</v>
      </c>
      <c r="F27" s="114">
        <f>OCTOBER!E41</f>
        <v>261.24500504622478</v>
      </c>
      <c r="G27" s="114">
        <f>OCTOBER!F41</f>
        <v>0</v>
      </c>
      <c r="H27" s="114">
        <f>OCTOBER!G41</f>
        <v>290.02117569362088</v>
      </c>
      <c r="I27" s="114">
        <f>OCTOBER!H41</f>
        <v>343.48543376386726</v>
      </c>
      <c r="J27" s="114">
        <f>OCTOBER!I41</f>
        <v>3430.4407704279715</v>
      </c>
      <c r="K27" s="114">
        <f>OCTOBER!J41</f>
        <v>13988.844797086298</v>
      </c>
      <c r="L27" s="115">
        <f>OCTOBER!K41</f>
        <v>2310.0941105709671</v>
      </c>
      <c r="M27" s="114">
        <f>OCTOBER!L41</f>
        <v>0</v>
      </c>
      <c r="N27" s="114">
        <f>OCTOBER!M41</f>
        <v>0</v>
      </c>
      <c r="O27" s="116">
        <f>OCTOBER!N41</f>
        <v>0</v>
      </c>
      <c r="P27" s="116">
        <f>OCTOBER!O41</f>
        <v>0</v>
      </c>
      <c r="Q27" s="114">
        <f>OCTOBER!P41</f>
        <v>0</v>
      </c>
      <c r="R27" s="114">
        <f>OCTOBER!Q41</f>
        <v>0</v>
      </c>
      <c r="S27" s="114">
        <f>OCTOBER!R41</f>
        <v>0</v>
      </c>
      <c r="T27" s="114">
        <f>OCTOBER!S41</f>
        <v>0</v>
      </c>
      <c r="U27" s="114">
        <f>OCTOBER!T41</f>
        <v>0</v>
      </c>
      <c r="V27" s="114">
        <f>OCTOBER!U41</f>
        <v>1829.3056550367871</v>
      </c>
      <c r="W27" s="114">
        <f>OCTOBER!V41</f>
        <v>186.82193947066446</v>
      </c>
      <c r="X27" s="114">
        <f>OCTOBER!W41</f>
        <v>659.57807308456893</v>
      </c>
      <c r="Y27" s="114">
        <f>OCTOBER!X41</f>
        <v>66.580853726316121</v>
      </c>
      <c r="Z27" s="114">
        <f>OCTOBER!Y41</f>
        <v>9325.8530583553147</v>
      </c>
      <c r="AA27" s="114">
        <f>OCTOBER!Z41</f>
        <v>1024.3445197849944</v>
      </c>
      <c r="AB27" s="114">
        <f>OCTOBER!AA41</f>
        <v>0</v>
      </c>
      <c r="AC27" s="117">
        <f>OCTOBER!AB41</f>
        <v>495.35134096111722</v>
      </c>
      <c r="AD27" s="117">
        <f>OCTOBER!AC41</f>
        <v>0</v>
      </c>
      <c r="AE27" s="125"/>
      <c r="AF27" s="125"/>
      <c r="AG27" s="125"/>
      <c r="AH27" s="125"/>
      <c r="AI27" s="125"/>
      <c r="AJ27" s="125"/>
      <c r="AK27" s="126"/>
    </row>
    <row r="28" spans="1:37" ht="15.75" customHeight="1" x14ac:dyDescent="0.25">
      <c r="A28" s="455"/>
      <c r="B28" s="90" t="s">
        <v>62</v>
      </c>
      <c r="C28" s="114">
        <f>NOVEMBER!B41</f>
        <v>0</v>
      </c>
      <c r="D28" s="114">
        <f>NOVEMBER!C41</f>
        <v>0</v>
      </c>
      <c r="E28" s="114">
        <f>NOVEMBER!D41</f>
        <v>0</v>
      </c>
      <c r="F28" s="114">
        <f>NOVEMBER!E41</f>
        <v>47.56354963993428</v>
      </c>
      <c r="G28" s="114">
        <f>NOVEMBER!F41</f>
        <v>0</v>
      </c>
      <c r="H28" s="114">
        <f>NOVEMBER!G41</f>
        <v>0</v>
      </c>
      <c r="I28" s="114">
        <f>NOVEMBER!H41</f>
        <v>0</v>
      </c>
      <c r="J28" s="114">
        <f>NOVEMBER!I41</f>
        <v>5215.7727204061111</v>
      </c>
      <c r="K28" s="114">
        <f>NOVEMBER!J41</f>
        <v>20784.428255109931</v>
      </c>
      <c r="L28" s="115">
        <f>NOVEMBER!K41</f>
        <v>3624.4316922644957</v>
      </c>
      <c r="M28" s="114">
        <f>NOVEMBER!L41</f>
        <v>0</v>
      </c>
      <c r="N28" s="114">
        <f>NOVEMBER!M41</f>
        <v>0</v>
      </c>
      <c r="O28" s="116">
        <f>NOVEMBER!N41</f>
        <v>0</v>
      </c>
      <c r="P28" s="116">
        <f>NOVEMBER!O41</f>
        <v>0</v>
      </c>
      <c r="Q28" s="114">
        <f>NOVEMBER!P41</f>
        <v>0</v>
      </c>
      <c r="R28" s="114">
        <f>NOVEMBER!Q41</f>
        <v>0</v>
      </c>
      <c r="S28" s="114">
        <f>NOVEMBER!R41</f>
        <v>0</v>
      </c>
      <c r="T28" s="114">
        <f>NOVEMBER!S41</f>
        <v>0</v>
      </c>
      <c r="U28" s="114">
        <f>NOVEMBER!T41</f>
        <v>0</v>
      </c>
      <c r="V28" s="114">
        <f>NOVEMBER!U41</f>
        <v>2618.7546697340713</v>
      </c>
      <c r="W28" s="114">
        <f>NOVEMBER!V41</f>
        <v>0</v>
      </c>
      <c r="X28" s="114">
        <f>NOVEMBER!W41</f>
        <v>961.26278823944813</v>
      </c>
      <c r="Y28" s="114">
        <f>NOVEMBER!X41</f>
        <v>0</v>
      </c>
      <c r="Z28" s="114">
        <f>NOVEMBER!Y41</f>
        <v>14718.720465895987</v>
      </c>
      <c r="AA28" s="114">
        <f>NOVEMBER!Z41</f>
        <v>0</v>
      </c>
      <c r="AB28" s="114">
        <f>NOVEMBER!AA41</f>
        <v>0</v>
      </c>
      <c r="AC28" s="117">
        <f>NOVEMBER!AB41</f>
        <v>457.51818624596808</v>
      </c>
      <c r="AD28" s="117">
        <f>NOVEMBER!AC41</f>
        <v>0</v>
      </c>
      <c r="AE28" s="125"/>
      <c r="AF28" s="125"/>
      <c r="AG28" s="125"/>
      <c r="AH28" s="125"/>
      <c r="AI28" s="125"/>
      <c r="AJ28" s="125"/>
      <c r="AK28" s="126"/>
    </row>
    <row r="29" spans="1:37" ht="15.75" customHeight="1" x14ac:dyDescent="0.25">
      <c r="A29" s="456"/>
      <c r="B29" s="92" t="s">
        <v>63</v>
      </c>
      <c r="C29" s="118">
        <f>DECEMBER!B41</f>
        <v>0</v>
      </c>
      <c r="D29" s="118">
        <f>DECEMBER!C41</f>
        <v>1958.8875845759289</v>
      </c>
      <c r="E29" s="118">
        <f>DECEMBER!D41</f>
        <v>55117.99931110537</v>
      </c>
      <c r="F29" s="118">
        <f>DECEMBER!E41</f>
        <v>1485.8778790269143</v>
      </c>
      <c r="G29" s="118">
        <f>DECEMBER!F41</f>
        <v>0</v>
      </c>
      <c r="H29" s="118">
        <f>DECEMBER!G41</f>
        <v>5037.138865429295</v>
      </c>
      <c r="I29" s="118">
        <f>DECEMBER!H41</f>
        <v>1585.3546779506589</v>
      </c>
      <c r="J29" s="118">
        <f>DECEMBER!I41</f>
        <v>4181.0909812095142</v>
      </c>
      <c r="K29" s="118">
        <f>DECEMBER!J41</f>
        <v>17865.642438052822</v>
      </c>
      <c r="L29" s="119">
        <f>DECEMBER!K41</f>
        <v>3104.9735871088346</v>
      </c>
      <c r="M29" s="118">
        <f>DECEMBER!L41</f>
        <v>0</v>
      </c>
      <c r="N29" s="118">
        <f>DECEMBER!M41</f>
        <v>0</v>
      </c>
      <c r="O29" s="120">
        <f>DECEMBER!N41</f>
        <v>0</v>
      </c>
      <c r="P29" s="120">
        <f>DECEMBER!O41</f>
        <v>0</v>
      </c>
      <c r="Q29" s="118">
        <f>DECEMBER!P41</f>
        <v>0</v>
      </c>
      <c r="R29" s="118">
        <f>DECEMBER!Q41</f>
        <v>0</v>
      </c>
      <c r="S29" s="118">
        <f>DECEMBER!R41</f>
        <v>0</v>
      </c>
      <c r="T29" s="118">
        <f>DECEMBER!S41</f>
        <v>0</v>
      </c>
      <c r="U29" s="118">
        <f>DECEMBER!T41</f>
        <v>0</v>
      </c>
      <c r="V29" s="118">
        <f>DECEMBER!U41</f>
        <v>2390.6046601299349</v>
      </c>
      <c r="W29" s="118">
        <f>DECEMBER!V41</f>
        <v>792.73419956100042</v>
      </c>
      <c r="X29" s="118">
        <f>DECEMBER!W41</f>
        <v>881.29750777663833</v>
      </c>
      <c r="Y29" s="118">
        <f>DECEMBER!X41</f>
        <v>301.60168129202702</v>
      </c>
      <c r="Z29" s="118">
        <f>DECEMBER!Y41</f>
        <v>13408.119720629546</v>
      </c>
      <c r="AA29" s="118">
        <f>DECEMBER!Z41</f>
        <v>4485.0038642671543</v>
      </c>
      <c r="AB29" s="118">
        <f>DECEMBER!AA41</f>
        <v>0</v>
      </c>
      <c r="AC29" s="121">
        <f>DECEMBER!AB41</f>
        <v>608.42724814805217</v>
      </c>
      <c r="AD29" s="121">
        <f>DECEMBER!AC41</f>
        <v>0</v>
      </c>
      <c r="AE29" s="125"/>
      <c r="AF29" s="125"/>
      <c r="AG29" s="127"/>
      <c r="AH29" s="127"/>
      <c r="AI29" s="127"/>
      <c r="AJ29" s="127"/>
      <c r="AK29" s="128"/>
    </row>
    <row r="30" spans="1:37" ht="15.75" customHeight="1" thickBot="1" x14ac:dyDescent="0.3">
      <c r="A30" s="97" t="s">
        <v>88</v>
      </c>
      <c r="B30" s="98" t="s">
        <v>64</v>
      </c>
      <c r="C30" s="122">
        <f>SUM(C18:C29)</f>
        <v>0</v>
      </c>
      <c r="D30" s="122">
        <f t="shared" ref="D30:AD30" si="2">SUM(D18:D29)</f>
        <v>31219.247193981802</v>
      </c>
      <c r="E30" s="122">
        <f t="shared" si="2"/>
        <v>776606.05172971159</v>
      </c>
      <c r="F30" s="122">
        <f t="shared" si="2"/>
        <v>24672.245352619546</v>
      </c>
      <c r="G30" s="122">
        <f t="shared" si="2"/>
        <v>0</v>
      </c>
      <c r="H30" s="122">
        <f t="shared" si="2"/>
        <v>37108.083705659919</v>
      </c>
      <c r="I30" s="122">
        <f t="shared" si="2"/>
        <v>30421.801285947204</v>
      </c>
      <c r="J30" s="122">
        <f t="shared" si="2"/>
        <v>49607.993398041472</v>
      </c>
      <c r="K30" s="122">
        <f t="shared" si="2"/>
        <v>235392.17069190141</v>
      </c>
      <c r="L30" s="122">
        <f t="shared" si="2"/>
        <v>37590.451151113659</v>
      </c>
      <c r="M30" s="122">
        <f t="shared" si="2"/>
        <v>0</v>
      </c>
      <c r="N30" s="122">
        <f t="shared" si="2"/>
        <v>0</v>
      </c>
      <c r="O30" s="122">
        <f t="shared" si="2"/>
        <v>0</v>
      </c>
      <c r="P30" s="122">
        <f t="shared" si="2"/>
        <v>0</v>
      </c>
      <c r="Q30" s="122">
        <f t="shared" si="2"/>
        <v>0</v>
      </c>
      <c r="R30" s="122">
        <f t="shared" si="2"/>
        <v>0</v>
      </c>
      <c r="S30" s="122">
        <f t="shared" si="2"/>
        <v>0</v>
      </c>
      <c r="T30" s="122">
        <f t="shared" si="2"/>
        <v>0</v>
      </c>
      <c r="U30" s="122">
        <f t="shared" si="2"/>
        <v>0</v>
      </c>
      <c r="V30" s="122">
        <f t="shared" si="2"/>
        <v>33062.949633195967</v>
      </c>
      <c r="W30" s="122">
        <f t="shared" si="2"/>
        <v>14188.028083951907</v>
      </c>
      <c r="X30" s="122">
        <f t="shared" si="2"/>
        <v>12772.454268926478</v>
      </c>
      <c r="Y30" s="122">
        <f t="shared" si="2"/>
        <v>5473.1002870798893</v>
      </c>
      <c r="Z30" s="122">
        <f t="shared" si="2"/>
        <v>190842.44224247645</v>
      </c>
      <c r="AA30" s="122">
        <f t="shared" si="2"/>
        <v>77887.570675421142</v>
      </c>
      <c r="AB30" s="122">
        <f t="shared" si="2"/>
        <v>0</v>
      </c>
      <c r="AC30" s="122">
        <f t="shared" si="2"/>
        <v>9290.9783685205857</v>
      </c>
      <c r="AD30" s="122">
        <f t="shared" si="2"/>
        <v>0</v>
      </c>
      <c r="AE30" s="129"/>
      <c r="AF30" s="129"/>
      <c r="AG30" s="129"/>
      <c r="AH30" s="129" t="str">
        <f>IF(SUM(AH18:AH29)&gt;0, AVERAGE(AH18:AH29), "")</f>
        <v/>
      </c>
      <c r="AI30" s="129" t="str">
        <f>IF(SUM(AI18:AI29)&gt;0, AVERAGE(AI18:AI29), "")</f>
        <v/>
      </c>
      <c r="AJ30" s="129" t="str">
        <f>IF(SUM(AJ18:AJ29)&gt;0, AVERAGE(AJ18:AJ29), "")</f>
        <v/>
      </c>
      <c r="AK30" s="227" t="str">
        <f>IF(SUM(AK18:AK29)&gt;0, AVERAGE(AK18:AK29), "")</f>
        <v/>
      </c>
    </row>
    <row r="31" spans="1:37" ht="16.5" customHeight="1" thickTop="1" x14ac:dyDescent="0.25"/>
    <row r="32" spans="1:37" ht="15.75" thickBot="1" x14ac:dyDescent="0.3">
      <c r="C32" s="335" t="s">
        <v>201</v>
      </c>
      <c r="D32" s="335" t="s">
        <v>202</v>
      </c>
      <c r="E32" s="335" t="s">
        <v>203</v>
      </c>
    </row>
    <row r="33" spans="1:5" ht="15.75" customHeight="1" thickTop="1" x14ac:dyDescent="0.25">
      <c r="A33" s="451" t="s">
        <v>204</v>
      </c>
      <c r="B33" s="89" t="s">
        <v>52</v>
      </c>
      <c r="C33" s="330">
        <f>IF(ISNUMBER(JANUARY!B52)=TRUE,JANUARY!B52,"")</f>
        <v>0.68024467677958877</v>
      </c>
      <c r="D33" s="330">
        <f>IF(ISNUMBER(JANUARY!E52)=TRUE,JANUARY!E52,"")</f>
        <v>0.99663821263411068</v>
      </c>
      <c r="E33" s="330">
        <f>IF(ISNUMBER(JANUARY!H52)=TRUE,JANUARY!H52,"")</f>
        <v>0.44883098783961234</v>
      </c>
    </row>
    <row r="34" spans="1:5" ht="15.75" customHeight="1" x14ac:dyDescent="0.25">
      <c r="A34" s="452"/>
      <c r="B34" s="90" t="s">
        <v>53</v>
      </c>
      <c r="C34" s="331">
        <f>IF(ISNUMBER(FEBRUARY!$B$52)=TRUE,FEBRUARY!$B$52,"")</f>
        <v>0.97548842383559342</v>
      </c>
      <c r="D34" s="331">
        <f>IF(ISNUMBER(FEBRUARY!$E$52)=TRUE,FEBRUARY!$E$52,"")</f>
        <v>1.3367438357254668</v>
      </c>
      <c r="E34" s="331">
        <f>IF(ISNUMBER(FEBRUARY!$H$52)=TRUE,FEBRUARY!$H$52,"")</f>
        <v>0.71275879460383329</v>
      </c>
    </row>
    <row r="35" spans="1:5" x14ac:dyDescent="0.25">
      <c r="A35" s="452"/>
      <c r="B35" s="90" t="s">
        <v>54</v>
      </c>
      <c r="C35" s="331">
        <f>IF(ISNUMBER(MARCH!$B$52)=TRUE,MARCH!$B$52,"")</f>
        <v>0.93294085567904084</v>
      </c>
      <c r="D35" s="331">
        <f>IF(ISNUMBER(MARCH!$E$52)=TRUE,MARCH!$E$52,"")</f>
        <v>1.4290339239249719</v>
      </c>
      <c r="E35" s="331">
        <f>IF(ISNUMBER(MARCH!$H$52)=TRUE,MARCH!$H$52,"")</f>
        <v>0.63081086671588538</v>
      </c>
    </row>
    <row r="36" spans="1:5" x14ac:dyDescent="0.25">
      <c r="A36" s="452"/>
      <c r="B36" s="90" t="s">
        <v>55</v>
      </c>
      <c r="C36" s="331">
        <f>IF(ISNUMBER(APRIL!$B$52)=TRUE,APRIL!$B$52,"")</f>
        <v>0.72636937909616761</v>
      </c>
      <c r="D36" s="331">
        <f>IF(ISNUMBER(APRIL!$E$52)=TRUE,APRIL!$E$52,"")</f>
        <v>1.2002331866617946</v>
      </c>
      <c r="E36" s="331">
        <f>IF(ISNUMBER(APRIL!$H$52)=TRUE,APRIL!$H$52,"")</f>
        <v>0.45877175320752472</v>
      </c>
    </row>
    <row r="37" spans="1:5" x14ac:dyDescent="0.25">
      <c r="A37" s="452"/>
      <c r="B37" s="90" t="s">
        <v>56</v>
      </c>
      <c r="C37" s="331">
        <f>IF(ISNUMBER(MAY!$B$52)=TRUE,MAY!$B$52,"")</f>
        <v>0.65204933327872894</v>
      </c>
      <c r="D37" s="331">
        <f>IF(ISNUMBER(MAY!$E$52)=TRUE,MAY!$E$52,"")</f>
        <v>1.2246567323879316</v>
      </c>
      <c r="E37" s="331">
        <f>IF(ISNUMBER(MAY!$H$52)=TRUE,MAY!$H$52,"")</f>
        <v>0.41510116798708174</v>
      </c>
    </row>
    <row r="38" spans="1:5" x14ac:dyDescent="0.25">
      <c r="A38" s="452"/>
      <c r="B38" s="90" t="s">
        <v>57</v>
      </c>
      <c r="C38" s="331">
        <f>IF(ISNUMBER(JUNE!$B$52)=TRUE,JUNE!$B$52,"")</f>
        <v>0.61461590126849697</v>
      </c>
      <c r="D38" s="331">
        <f>IF(ISNUMBER(JUNE!$E$52)=TRUE,JUNE!$E$52,"")</f>
        <v>1.2098490825491999</v>
      </c>
      <c r="E38" s="331">
        <f>IF(ISNUMBER(JUNE!$H$52)=TRUE,JUNE!$H$52,"")</f>
        <v>0.38904799515172567</v>
      </c>
    </row>
    <row r="39" spans="1:5" x14ac:dyDescent="0.25">
      <c r="A39" s="452"/>
      <c r="B39" s="90" t="s">
        <v>58</v>
      </c>
      <c r="C39" s="331">
        <f>IF(ISNUMBER(JULY!$B$52)=TRUE,JULY!$B$52,"")</f>
        <v>0.56667682839087008</v>
      </c>
      <c r="D39" s="331">
        <f>IF(ISNUMBER(JULY!$E$52)=TRUE,JULY!$E$52,"")</f>
        <v>1.0652261345218952</v>
      </c>
      <c r="E39" s="331">
        <f>IF(ISNUMBER(JULY!$H$52)=TRUE,JULY!$H$52,"")</f>
        <v>0.36279896762607089</v>
      </c>
    </row>
    <row r="40" spans="1:5" x14ac:dyDescent="0.25">
      <c r="A40" s="452"/>
      <c r="B40" s="90" t="s">
        <v>59</v>
      </c>
      <c r="C40" s="331">
        <f>IF(ISNUMBER(AUGUST!$B$52)=TRUE,AUGUST!$B$52,"")</f>
        <v>0.64570394562108713</v>
      </c>
      <c r="D40" s="331">
        <f>IF(ISNUMBER(AUGUST!$E$52)=TRUE,AUGUST!$E$52,"")</f>
        <v>1.2963391976410259</v>
      </c>
      <c r="E40" s="331">
        <f>IF(ISNUMBER(AUGUST!$H$52)=TRUE,AUGUST!$H$52,"")</f>
        <v>0.40814370465382699</v>
      </c>
    </row>
    <row r="41" spans="1:5" x14ac:dyDescent="0.25">
      <c r="A41" s="452"/>
      <c r="B41" s="90" t="s">
        <v>60</v>
      </c>
      <c r="C41" s="331">
        <f>IF(ISNUMBER(SEPTEMBER!$B$52)=TRUE,SEPTEMBER!$B$52,"")</f>
        <v>0.684621112591278</v>
      </c>
      <c r="D41" s="331">
        <f>IF(ISNUMBER(SEPTEMBER!$E$52)=TRUE,SEPTEMBER!$E$52,"")</f>
        <v>1.0233445907555927</v>
      </c>
      <c r="E41" s="331">
        <f>IF(ISNUMBER(SEPTEMBER!$H$52)=TRUE,SEPTEMBER!$H$52,"")</f>
        <v>0.44483421501433712</v>
      </c>
    </row>
    <row r="42" spans="1:5" x14ac:dyDescent="0.25">
      <c r="A42" s="452"/>
      <c r="B42" s="90" t="s">
        <v>61</v>
      </c>
      <c r="C42" s="331">
        <f>IF(ISNUMBER(OCTOBER!$B$52)=TRUE,OCTOBER!$B$52,"")</f>
        <v>0.95252130504630916</v>
      </c>
      <c r="D42" s="331">
        <f>IF(ISNUMBER(OCTOBER!$E$52)=TRUE,OCTOBER!$E$52,"")</f>
        <v>5.131492531927484</v>
      </c>
      <c r="E42" s="331">
        <f>IF(ISNUMBER(OCTOBER!$H$52)=TRUE,OCTOBER!$H$52,"")</f>
        <v>0.55727169733552273</v>
      </c>
    </row>
    <row r="43" spans="1:5" x14ac:dyDescent="0.25">
      <c r="A43" s="452"/>
      <c r="B43" s="90" t="s">
        <v>62</v>
      </c>
      <c r="C43" s="331">
        <f>IF(ISNUMBER(NOVEMBER!$B$52)=TRUE,NOVEMBER!$B$52,"")</f>
        <v>0.79489664950963013</v>
      </c>
      <c r="D43" s="331">
        <f>IF(ISNUMBER(NOVEMBER!$E$52)=TRUE,NOVEMBER!$E$52,"")</f>
        <v>17.950198969333876</v>
      </c>
      <c r="E43" s="331">
        <f>IF(ISNUMBER(NOVEMBER!$H$52)=TRUE,NOVEMBER!$H$52,"")</f>
        <v>0.4888340771962098</v>
      </c>
    </row>
    <row r="44" spans="1:5" ht="15.75" thickBot="1" x14ac:dyDescent="0.3">
      <c r="A44" s="452"/>
      <c r="B44" s="92" t="s">
        <v>63</v>
      </c>
      <c r="C44" s="332">
        <f>IF(ISNUMBER(DECEMBER!$B$52)=TRUE,DECEMBER!$B$52,"")</f>
        <v>1.1632228485099505</v>
      </c>
      <c r="D44" s="332">
        <f>IF(ISNUMBER(DECEMBER!$E$52)=TRUE,DECEMBER!$E$52,"")</f>
        <v>2.1522127151708506</v>
      </c>
      <c r="E44" s="332">
        <f>IF(ISNUMBER(DECEMBER!$H$52)=TRUE,DECEMBER!$H$52,"")</f>
        <v>0.77009440344316216</v>
      </c>
    </row>
    <row r="45" spans="1:5" ht="15.75" thickBot="1" x14ac:dyDescent="0.3">
      <c r="A45" s="453"/>
      <c r="B45" s="334" t="s">
        <v>205</v>
      </c>
      <c r="C45" s="333">
        <f>AVERAGE(C33:C44)</f>
        <v>0.78244593830056175</v>
      </c>
      <c r="D45" s="333">
        <f>AVERAGE(D33:D44)</f>
        <v>3.0013307594361827</v>
      </c>
      <c r="E45" s="333">
        <f>AVERAGE(E33:E44)</f>
        <v>0.50727488589789937</v>
      </c>
    </row>
    <row r="47" spans="1:5" ht="15.75" thickBot="1" x14ac:dyDescent="0.3">
      <c r="C47" s="335" t="s">
        <v>201</v>
      </c>
      <c r="D47" s="335" t="s">
        <v>202</v>
      </c>
      <c r="E47" s="335" t="s">
        <v>203</v>
      </c>
    </row>
    <row r="48" spans="1:5" ht="15" customHeight="1" thickTop="1" x14ac:dyDescent="0.25">
      <c r="A48" s="447" t="s">
        <v>208</v>
      </c>
      <c r="B48" s="339" t="s">
        <v>217</v>
      </c>
      <c r="C48" s="340">
        <f>(JANUARY!B44+FEBRUARY!B44+MARCH!B44+APRIL!B44+MAY!B44+JUNE!B44+JULY!B44+AUGUST!B44+SEPTEMBER!B44+OCTOBER!B44+NOVEMBER!B44+DECEMBER!B44)/$AG$17</f>
        <v>241.21721878167128</v>
      </c>
      <c r="D48" s="341">
        <f>(JANUARY!E44+FEBRUARY!E44+MARCH!E44+APRIL!E44+MAY!E44+JUNE!E44+JULY!E44+AUGUST!E44+SEPTEMBER!E44+OCTOBER!E44+NOVEMBER!E44+DECEMBER!E44)/$AF$17</f>
        <v>512.28535673995418</v>
      </c>
      <c r="E48" s="342">
        <f>(JANUARY!H44+FEBRUARY!H44+MARCH!H44+APRIL!H44+MAY!H44+JUNE!H44+JULY!H44+AUGUST!H44+SEPTEMBER!H44+OCTOBER!H44+NOVEMBER!H44+DECEMBER!H44)/$AE$17</f>
        <v>123.04242462485151</v>
      </c>
    </row>
    <row r="49" spans="1:5" ht="15" customHeight="1" x14ac:dyDescent="0.25">
      <c r="A49" s="448"/>
      <c r="B49" s="343" t="s">
        <v>209</v>
      </c>
      <c r="C49" s="331">
        <f>(JANUARY!B47+FEBRUARY!B47+MARCH!B47+APRIL!B47+MAY!B47+JUNE!B47+JULY!B47+AUGUST!B47+SEPTEMBER!B47+OCTOBER!B47+NOVEMBER!B47+DECEMBER!B47)/$AG$17</f>
        <v>308.99704972819029</v>
      </c>
      <c r="D49" s="331">
        <f>(JANUARY!E47+FEBRUARY!E47+MARCH!E47+APRIL!E47+MAY!E47+JUNE!E47+JULY!E47+AUGUST!E47+SEPTEMBER!E47+OCTOBER!E47+NOVEMBER!E47+DECEMBER!E47)/$AF$17</f>
        <v>515.12339960924055</v>
      </c>
      <c r="E49" s="344">
        <f>(JANUARY!H47+FEBRUARY!H47+MARCH!H47+APRIL!H47+MAY!H47+JUNE!H47+JULY!H47+AUGUST!H47+SEPTEMBER!H47+OCTOBER!H47+NOVEMBER!H47+DECEMBER!H47)/$AE$17</f>
        <v>220.68861838454427</v>
      </c>
    </row>
    <row r="50" spans="1:5" ht="15" customHeight="1" x14ac:dyDescent="0.25">
      <c r="A50" s="448"/>
      <c r="B50" s="343" t="s">
        <v>210</v>
      </c>
      <c r="C50" s="345">
        <f>C49+C51</f>
        <v>432.96305608214436</v>
      </c>
      <c r="D50" s="345">
        <f>D49+D51</f>
        <v>721.78488937169027</v>
      </c>
      <c r="E50" s="346">
        <f>E49+E51</f>
        <v>309.2263137863909</v>
      </c>
    </row>
    <row r="51" spans="1:5" ht="15" customHeight="1" x14ac:dyDescent="0.25">
      <c r="A51" s="448"/>
      <c r="B51" s="343" t="s">
        <v>211</v>
      </c>
      <c r="C51" s="331">
        <f>(JANUARY!B48+FEBRUARY!B48+MARCH!B48+APRIL!B48+MAY!B48+JUNE!B48+JULY!B48+AUGUST!B48+SEPTEMBER!B48+OCTOBER!B48+NOVEMBER!B48+DECEMBER!B48)/$AG$17</f>
        <v>123.96600635395409</v>
      </c>
      <c r="D51" s="331">
        <f>(JANUARY!E48+FEBRUARY!E48+MARCH!E48+APRIL!E48+MAY!E48+JUNE!E48+JULY!E48+AUGUST!E48+SEPTEMBER!E48+OCTOBER!E48+NOVEMBER!E48+DECEMBER!E48)/$AF$17</f>
        <v>206.66148976244966</v>
      </c>
      <c r="E51" s="344">
        <f>(JANUARY!H48+FEBRUARY!H48+MARCH!H48+APRIL!H48+MAY!H48+JUNE!H48+JULY!H48+AUGUST!H48+SEPTEMBER!H48+OCTOBER!H48+NOVEMBER!H48+DECEMBER!H48)/$AE$17</f>
        <v>88.537695401846619</v>
      </c>
    </row>
    <row r="52" spans="1:5" ht="15" customHeight="1" x14ac:dyDescent="0.25">
      <c r="A52" s="448"/>
      <c r="B52" s="343" t="s">
        <v>212</v>
      </c>
      <c r="C52" s="331">
        <f>(JANUARY!B46+FEBRUARY!B46+MARCH!B46+APRIL!B46+MAY!B46+JUNE!B46+JULY!B46+AUGUST!B46+SEPTEMBER!B46+OCTOBER!B46+NOVEMBER!B46+DECEMBER!B46)/$AG$17</f>
        <v>17.359722952087974</v>
      </c>
      <c r="D52" s="331">
        <f>(JANUARY!E46+FEBRUARY!E46+MARCH!E46+APRIL!E46+MAY!E46+JUNE!E46+JULY!E46+AUGUST!E46+SEPTEMBER!E46+OCTOBER!E46+NOVEMBER!E46+DECEMBER!E46)/$AF$17</f>
        <v>23.666485877560376</v>
      </c>
      <c r="E52" s="344">
        <f>(JANUARY!H46+FEBRUARY!H46+MARCH!H46+APRIL!H46+MAY!H46+JUNE!H46+JULY!H46+AUGUST!H46+SEPTEMBER!H46+OCTOBER!H46+NOVEMBER!H46+DECEMBER!H46)/$AE$17</f>
        <v>14.65778629466341</v>
      </c>
    </row>
    <row r="53" spans="1:5" ht="15" customHeight="1" x14ac:dyDescent="0.25">
      <c r="A53" s="448"/>
      <c r="B53" s="347" t="s">
        <v>213</v>
      </c>
      <c r="C53" s="332">
        <f>(JANUARY!B45+FEBRUARY!B45+MARCH!B45+APRIL!B45+MAY!B45+JUNE!B45+JULY!B45+AUGUST!B45+SEPTEMBER!B45+OCTOBER!B45+NOVEMBER!B45+DECEMBER!B45)/$AG$17</f>
        <v>52.118852166405702</v>
      </c>
      <c r="D53" s="332">
        <f>(JANUARY!E45+FEBRUARY!E45+MARCH!E45+APRIL!E45+MAY!E45+JUNE!E45+JULY!E45+AUGUST!E45+SEPTEMBER!E45+OCTOBER!E45+NOVEMBER!E45+DECEMBER!E45)/$AF$17</f>
        <v>97.234779986058612</v>
      </c>
      <c r="E53" s="348">
        <f>(JANUARY!H45+FEBRUARY!H45+MARCH!H45+APRIL!H45+MAY!H45+JUNE!H45+JULY!H45+AUGUST!H45+SEPTEMBER!H45+OCTOBER!H45+NOVEMBER!H45+DECEMBER!H45)/$AE$17</f>
        <v>32.790334406954607</v>
      </c>
    </row>
    <row r="54" spans="1:5" ht="15" customHeight="1" x14ac:dyDescent="0.25">
      <c r="A54" s="449"/>
      <c r="B54" s="347" t="s">
        <v>218</v>
      </c>
      <c r="C54" s="356">
        <f>(SUM(JANUARY!AJ39:AS39)+SUM(FEBRUARY!AJ39:AS39)+SUM(MARCH!AJ39:AS39)+SUM(APRIL!AJ39:AS39)+SUM(MAY!AJ39:AS39)+SUM(JUNE!AJ39:AS39)+SUM(JULY!AJ39:AS39)+SUM(AUGUST!AJ39:AS39)+SUM(SEPTEMBER!AJ39:AS39)+SUM(OCTOBER!AJ39:AS39)+SUM(NOVEMBER!AJ39:AS39)+SUM(DECEMBER!AJ39:AS39))</f>
        <v>5141312.6323736906</v>
      </c>
      <c r="D54" s="356">
        <f>(JANUARY!E45/JANUARY!AJ40+FEBRUARY!E45/FEBRUARY!AJ40+MARCH!E45/MARCH!AJ40+APRIL!E45/APRIL!AJ40+MAY!E45/MAY!AJ40+JUNE!E45/JUNE!AJ40+JULY!E45/JULY!AJ40+AUGUST!E45/AUGUST!AJ40+SEPTEMBER!E45/SEPTEMBER!AJ40+OCTOBER!E45/OCTOBER!AJ40+NOVEMBER!E45/NOVEMBER!AJ40+DECEMBER!E45/DECEMBER!AJ40)</f>
        <v>2879092.1675508283</v>
      </c>
      <c r="E54" s="357">
        <f>C54-D54</f>
        <v>2262220.4648228623</v>
      </c>
    </row>
    <row r="55" spans="1:5" ht="15" customHeight="1" thickBot="1" x14ac:dyDescent="0.3">
      <c r="A55" s="449"/>
      <c r="B55" s="347" t="s">
        <v>219</v>
      </c>
      <c r="C55" s="358">
        <f>C54/C58</f>
        <v>791.86831545988673</v>
      </c>
      <c r="D55" s="358">
        <f>D54/D58</f>
        <v>1478.5004535274759</v>
      </c>
      <c r="E55" s="359">
        <f>E54/E58</f>
        <v>497.70210595841553</v>
      </c>
    </row>
    <row r="56" spans="1:5" ht="15" customHeight="1" thickTop="1" x14ac:dyDescent="0.25">
      <c r="A56" s="449"/>
      <c r="B56" s="349" t="s">
        <v>214</v>
      </c>
      <c r="C56" s="350">
        <f>C48+C49+C51+C52+C53</f>
        <v>743.65884998230922</v>
      </c>
      <c r="D56" s="350">
        <f>D48+D49+D51+D52+D53</f>
        <v>1354.9715119752636</v>
      </c>
      <c r="E56" s="351">
        <f>E48+E49+E51+E52+E53</f>
        <v>479.71685911286045</v>
      </c>
    </row>
    <row r="57" spans="1:5" ht="15" customHeight="1" x14ac:dyDescent="0.25">
      <c r="A57" s="449"/>
      <c r="B57" s="352" t="s">
        <v>215</v>
      </c>
      <c r="C57" s="353">
        <f>C56/1000</f>
        <v>0.74365884998230924</v>
      </c>
      <c r="D57" s="353">
        <f>D56/1000</f>
        <v>1.3549715119752637</v>
      </c>
      <c r="E57" s="354">
        <f>E56/1000</f>
        <v>0.47971685911286044</v>
      </c>
    </row>
    <row r="58" spans="1:5" ht="15" customHeight="1" thickBot="1" x14ac:dyDescent="0.3">
      <c r="A58" s="450"/>
      <c r="B58" s="355" t="s">
        <v>216</v>
      </c>
      <c r="C58" s="403">
        <f>AG17</f>
        <v>6492.6358739177658</v>
      </c>
      <c r="D58" s="403">
        <f>AF17</f>
        <v>1947.3055694245847</v>
      </c>
      <c r="E58" s="404">
        <f>AE17</f>
        <v>4545.3303044931808</v>
      </c>
    </row>
    <row r="59" spans="1:5" ht="15.75" thickTop="1" x14ac:dyDescent="0.25"/>
  </sheetData>
  <sheetProtection algorithmName="SHA-512" hashValue="9MSSyR6MwsmG8TFDAxLxigBaokdiOfv4HJmmFaEuwG7gkJJwXsQO6XQzQK1Sg1soQ/PQNuhvafFk6WTQ3RdLqQ==" saltValue="AAz+ThVOkHn4ZgL+AAiZpw==" spinCount="100000" sheet="1" objects="1" scenarios="1" selectLockedCells="1" selectUnlockedCells="1"/>
  <mergeCells count="15">
    <mergeCell ref="C1:AK1"/>
    <mergeCell ref="A2:B3"/>
    <mergeCell ref="AH2:AK2"/>
    <mergeCell ref="C2:I2"/>
    <mergeCell ref="J2:O2"/>
    <mergeCell ref="P2:U2"/>
    <mergeCell ref="V2:AB2"/>
    <mergeCell ref="AC2:AD2"/>
    <mergeCell ref="AE2:AG2"/>
    <mergeCell ref="A48:A58"/>
    <mergeCell ref="A33:A45"/>
    <mergeCell ref="A4:A15"/>
    <mergeCell ref="A18:A29"/>
    <mergeCell ref="A1:B1"/>
    <mergeCell ref="A16:B16"/>
  </mergeCells>
  <pageMargins left="0.7" right="0.7" top="0.75" bottom="0.75" header="0.3" footer="0.3"/>
  <pageSetup scale="6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L30"/>
  <sheetViews>
    <sheetView showGridLines="0" workbookViewId="0">
      <selection activeCell="K21" sqref="K21"/>
    </sheetView>
  </sheetViews>
  <sheetFormatPr defaultRowHeight="15" x14ac:dyDescent="0.25"/>
  <sheetData>
    <row r="30" spans="12:12" x14ac:dyDescent="0.25">
      <c r="L30" s="337" t="s">
        <v>220</v>
      </c>
    </row>
  </sheetData>
  <sheetProtection password="A25B" sheet="1" objects="1" scenarios="1" selectLockedCells="1" selectUnlockedCell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62465" r:id="rId4">
          <objectPr defaultSize="0" r:id="rId5">
            <anchor moveWithCells="1">
              <from>
                <xdr:col>0</xdr:col>
                <xdr:colOff>0</xdr:colOff>
                <xdr:row>0</xdr:row>
                <xdr:rowOff>9525</xdr:rowOff>
              </from>
              <to>
                <xdr:col>9</xdr:col>
                <xdr:colOff>361950</xdr:colOff>
                <xdr:row>42</xdr:row>
                <xdr:rowOff>114300</xdr:rowOff>
              </to>
            </anchor>
          </objectPr>
        </oleObject>
      </mc:Choice>
      <mc:Fallback>
        <oleObject progId="Word.Document.12" shapeId="62465" r:id="rId4"/>
      </mc:Fallback>
    </mc:AlternateContent>
    <mc:AlternateContent xmlns:mc="http://schemas.openxmlformats.org/markup-compatibility/2006">
      <mc:Choice Requires="x14">
        <oleObject progId="Word.Document.12" shapeId="62466" r:id="rId6">
          <objectPr defaultSize="0" r:id="rId7">
            <anchor moveWithCells="1">
              <from>
                <xdr:col>11</xdr:col>
                <xdr:colOff>104775</xdr:colOff>
                <xdr:row>0</xdr:row>
                <xdr:rowOff>0</xdr:rowOff>
              </from>
              <to>
                <xdr:col>20</xdr:col>
                <xdr:colOff>466725</xdr:colOff>
                <xdr:row>31</xdr:row>
                <xdr:rowOff>85725</xdr:rowOff>
              </to>
            </anchor>
          </objectPr>
        </oleObject>
      </mc:Choice>
      <mc:Fallback>
        <oleObject progId="Word.Document.12" shapeId="6246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I45"/>
  <sheetViews>
    <sheetView topLeftCell="I10" zoomScaleNormal="100" workbookViewId="0">
      <selection activeCell="Y32" sqref="Y32"/>
    </sheetView>
  </sheetViews>
  <sheetFormatPr defaultRowHeight="15" x14ac:dyDescent="0.25"/>
  <cols>
    <col min="1" max="2" width="12.7109375" customWidth="1"/>
    <col min="3" max="35" width="9.140625" customWidth="1"/>
  </cols>
  <sheetData>
    <row r="1" spans="1:35" ht="21.75" thickBot="1" x14ac:dyDescent="0.3">
      <c r="A1" s="502">
        <v>2019</v>
      </c>
      <c r="B1" s="503"/>
      <c r="C1" s="504" t="s">
        <v>90</v>
      </c>
      <c r="D1" s="505"/>
      <c r="E1" s="505"/>
      <c r="F1" s="505"/>
      <c r="G1" s="505"/>
      <c r="H1" s="505"/>
      <c r="I1" s="505"/>
      <c r="J1" s="505"/>
      <c r="K1" s="505"/>
      <c r="L1" s="505"/>
      <c r="M1" s="505"/>
      <c r="N1" s="505"/>
      <c r="O1" s="505"/>
      <c r="P1" s="505"/>
      <c r="Q1" s="506"/>
      <c r="R1" s="506"/>
      <c r="S1" s="506"/>
      <c r="T1" s="506"/>
      <c r="U1" s="506"/>
      <c r="V1" s="506"/>
      <c r="W1" s="506"/>
      <c r="X1" s="506"/>
      <c r="Y1" s="506"/>
      <c r="Z1" s="506"/>
      <c r="AA1" s="506"/>
      <c r="AB1" s="506"/>
      <c r="AC1" s="506"/>
      <c r="AD1" s="506"/>
      <c r="AE1" s="506"/>
      <c r="AF1" s="506"/>
      <c r="AG1" s="506"/>
      <c r="AH1" s="506"/>
      <c r="AI1" s="507"/>
    </row>
    <row r="2" spans="1:35" ht="28.5" customHeight="1" thickBot="1" x14ac:dyDescent="0.3">
      <c r="A2" s="508"/>
      <c r="B2" s="468"/>
      <c r="C2" s="511" t="s">
        <v>66</v>
      </c>
      <c r="D2" s="473"/>
      <c r="E2" s="473"/>
      <c r="F2" s="473"/>
      <c r="G2" s="473"/>
      <c r="H2" s="473"/>
      <c r="I2" s="473"/>
      <c r="J2" s="473"/>
      <c r="K2" s="473"/>
      <c r="L2" s="473"/>
      <c r="M2" s="512"/>
      <c r="N2" s="512"/>
      <c r="O2" s="512"/>
      <c r="P2" s="513"/>
      <c r="Q2" s="514" t="s">
        <v>71</v>
      </c>
      <c r="R2" s="515"/>
      <c r="S2" s="515"/>
      <c r="T2" s="515"/>
      <c r="U2" s="515"/>
      <c r="V2" s="515"/>
      <c r="W2" s="515"/>
      <c r="X2" s="515"/>
      <c r="Y2" s="515"/>
      <c r="Z2" s="515"/>
      <c r="AA2" s="515"/>
      <c r="AB2" s="515"/>
      <c r="AC2" s="516"/>
      <c r="AD2" s="517" t="s">
        <v>83</v>
      </c>
      <c r="AE2" s="518"/>
      <c r="AF2" s="521" t="s">
        <v>232</v>
      </c>
      <c r="AG2" s="522"/>
      <c r="AH2" s="522"/>
      <c r="AI2" s="523"/>
    </row>
    <row r="3" spans="1:35" ht="28.5" customHeight="1" thickBot="1" x14ac:dyDescent="0.3">
      <c r="A3" s="508"/>
      <c r="B3" s="468"/>
      <c r="C3" s="511" t="s">
        <v>91</v>
      </c>
      <c r="D3" s="473"/>
      <c r="E3" s="473"/>
      <c r="F3" s="473"/>
      <c r="G3" s="473"/>
      <c r="H3" s="473"/>
      <c r="I3" s="474"/>
      <c r="J3" s="478" t="s">
        <v>92</v>
      </c>
      <c r="K3" s="479"/>
      <c r="L3" s="480"/>
      <c r="M3" s="527" t="s">
        <v>93</v>
      </c>
      <c r="N3" s="528"/>
      <c r="O3" s="528"/>
      <c r="P3" s="529"/>
      <c r="Q3" s="538" t="s">
        <v>94</v>
      </c>
      <c r="R3" s="476"/>
      <c r="S3" s="476"/>
      <c r="T3" s="476"/>
      <c r="U3" s="476"/>
      <c r="V3" s="477"/>
      <c r="W3" s="478" t="s">
        <v>95</v>
      </c>
      <c r="X3" s="479"/>
      <c r="Y3" s="480"/>
      <c r="Z3" s="527" t="s">
        <v>96</v>
      </c>
      <c r="AA3" s="528"/>
      <c r="AB3" s="528"/>
      <c r="AC3" s="529"/>
      <c r="AD3" s="519"/>
      <c r="AE3" s="520"/>
      <c r="AF3" s="524"/>
      <c r="AG3" s="525"/>
      <c r="AH3" s="525"/>
      <c r="AI3" s="526"/>
    </row>
    <row r="4" spans="1:35" ht="131.25" thickBot="1" x14ac:dyDescent="0.3">
      <c r="A4" s="509"/>
      <c r="B4" s="510"/>
      <c r="C4" s="130" t="s">
        <v>67</v>
      </c>
      <c r="D4" s="131" t="s">
        <v>68</v>
      </c>
      <c r="E4" s="131" t="s">
        <v>11</v>
      </c>
      <c r="F4" s="131" t="s">
        <v>12</v>
      </c>
      <c r="G4" s="131" t="s">
        <v>13</v>
      </c>
      <c r="H4" s="131" t="s">
        <v>69</v>
      </c>
      <c r="I4" s="131" t="s">
        <v>70</v>
      </c>
      <c r="J4" s="132" t="s">
        <v>36</v>
      </c>
      <c r="K4" s="132" t="s">
        <v>75</v>
      </c>
      <c r="L4" s="132" t="s">
        <v>77</v>
      </c>
      <c r="M4" s="133" t="s">
        <v>79</v>
      </c>
      <c r="N4" s="133" t="s">
        <v>81</v>
      </c>
      <c r="O4" s="133" t="s">
        <v>46</v>
      </c>
      <c r="P4" s="134" t="s">
        <v>97</v>
      </c>
      <c r="Q4" s="135" t="s">
        <v>67</v>
      </c>
      <c r="R4" s="136" t="s">
        <v>72</v>
      </c>
      <c r="S4" s="136" t="s">
        <v>17</v>
      </c>
      <c r="T4" s="136" t="s">
        <v>18</v>
      </c>
      <c r="U4" s="136" t="s">
        <v>19</v>
      </c>
      <c r="V4" s="136" t="s">
        <v>13</v>
      </c>
      <c r="W4" s="132" t="s">
        <v>35</v>
      </c>
      <c r="X4" s="132" t="s">
        <v>74</v>
      </c>
      <c r="Y4" s="132" t="s">
        <v>76</v>
      </c>
      <c r="Z4" s="133" t="s">
        <v>78</v>
      </c>
      <c r="AA4" s="133" t="s">
        <v>80</v>
      </c>
      <c r="AB4" s="133" t="s">
        <v>45</v>
      </c>
      <c r="AC4" s="134" t="s">
        <v>98</v>
      </c>
      <c r="AD4" s="137" t="s">
        <v>7</v>
      </c>
      <c r="AE4" s="138" t="s">
        <v>84</v>
      </c>
      <c r="AF4" s="139" t="s">
        <v>27</v>
      </c>
      <c r="AG4" s="139" t="s">
        <v>31</v>
      </c>
      <c r="AH4" s="139" t="s">
        <v>32</v>
      </c>
      <c r="AI4" s="140" t="s">
        <v>33</v>
      </c>
    </row>
    <row r="5" spans="1:35" ht="15" customHeight="1" x14ac:dyDescent="0.25">
      <c r="A5" s="539" t="s">
        <v>99</v>
      </c>
      <c r="B5" s="540"/>
      <c r="C5" s="144" t="s">
        <v>100</v>
      </c>
      <c r="D5" s="142" t="s">
        <v>100</v>
      </c>
      <c r="E5" s="142" t="s">
        <v>100</v>
      </c>
      <c r="F5" s="142" t="s">
        <v>100</v>
      </c>
      <c r="G5" s="142" t="s">
        <v>100</v>
      </c>
      <c r="H5" s="142" t="s">
        <v>101</v>
      </c>
      <c r="I5" s="142" t="s">
        <v>100</v>
      </c>
      <c r="J5" s="142" t="s">
        <v>100</v>
      </c>
      <c r="K5" s="142" t="s">
        <v>100</v>
      </c>
      <c r="L5" s="142" t="s">
        <v>100</v>
      </c>
      <c r="M5" s="142" t="s">
        <v>101</v>
      </c>
      <c r="N5" s="142" t="s">
        <v>100</v>
      </c>
      <c r="O5" s="142" t="s">
        <v>100</v>
      </c>
      <c r="P5" s="143" t="s">
        <v>100</v>
      </c>
      <c r="Q5" s="141" t="s">
        <v>100</v>
      </c>
      <c r="R5" s="142" t="s">
        <v>100</v>
      </c>
      <c r="S5" s="142" t="s">
        <v>100</v>
      </c>
      <c r="T5" s="142" t="s">
        <v>100</v>
      </c>
      <c r="U5" s="142" t="s">
        <v>100</v>
      </c>
      <c r="V5" s="142" t="s">
        <v>100</v>
      </c>
      <c r="W5" s="142" t="s">
        <v>100</v>
      </c>
      <c r="X5" s="142" t="s">
        <v>100</v>
      </c>
      <c r="Y5" s="142" t="s">
        <v>100</v>
      </c>
      <c r="Z5" s="142" t="s">
        <v>101</v>
      </c>
      <c r="AA5" s="142" t="s">
        <v>100</v>
      </c>
      <c r="AB5" s="142" t="s">
        <v>100</v>
      </c>
      <c r="AC5" s="143" t="s">
        <v>100</v>
      </c>
      <c r="AD5" s="144" t="s">
        <v>101</v>
      </c>
      <c r="AE5" s="171" t="s">
        <v>100</v>
      </c>
      <c r="AF5" s="145" t="s">
        <v>102</v>
      </c>
      <c r="AG5" s="145" t="s">
        <v>102</v>
      </c>
      <c r="AH5" s="145" t="s">
        <v>102</v>
      </c>
      <c r="AI5" s="146" t="s">
        <v>34</v>
      </c>
    </row>
    <row r="6" spans="1:35" ht="15.75" thickBot="1" x14ac:dyDescent="0.3">
      <c r="A6" s="541"/>
      <c r="B6" s="542"/>
      <c r="C6" s="144">
        <f>'Yearly Summary '!$C$17</f>
        <v>0</v>
      </c>
      <c r="D6" s="142">
        <f>'Yearly Summary '!$D$17</f>
        <v>21003.899737789256</v>
      </c>
      <c r="E6" s="142">
        <f>'Yearly Summary '!$E$17</f>
        <v>252837.45506340262</v>
      </c>
      <c r="F6" s="142">
        <f>'Yearly Summary '!$F$17</f>
        <v>5858.1959322988951</v>
      </c>
      <c r="G6" s="142">
        <f>'Yearly Summary '!$G$17</f>
        <v>0</v>
      </c>
      <c r="H6" s="142">
        <f>'Yearly Summary '!$H$17</f>
        <v>631769.59421763441</v>
      </c>
      <c r="I6" s="142">
        <f>'Yearly Summary '!$I$17</f>
        <v>8136.280590903767</v>
      </c>
      <c r="J6" s="142">
        <f>'Yearly Summary '!$Q$17</f>
        <v>0</v>
      </c>
      <c r="K6" s="142">
        <f>'Yearly Summary '!$S$17</f>
        <v>0</v>
      </c>
      <c r="L6" s="142">
        <f>'Yearly Summary '!$U$17</f>
        <v>0</v>
      </c>
      <c r="M6" s="142">
        <f>'Yearly Summary '!$W$17</f>
        <v>47356.569038557762</v>
      </c>
      <c r="N6" s="142">
        <f>'Yearly Summary '!$Y$17</f>
        <v>7361.320913762851</v>
      </c>
      <c r="O6" s="142">
        <f>'Yearly Summary '!$AA$17</f>
        <v>25345.667479550211</v>
      </c>
      <c r="P6" s="143">
        <f>('Yearly Summary '!$AB$17)*(1-AI6)</f>
        <v>0</v>
      </c>
      <c r="Q6" s="141">
        <f>'Yearly Summary '!$J$17</f>
        <v>60402.970564671356</v>
      </c>
      <c r="R6" s="142">
        <f>'Yearly Summary '!$K$17</f>
        <v>158368.76275563645</v>
      </c>
      <c r="S6" s="142">
        <f>'Yearly Summary '!$L$17</f>
        <v>8802.2131208613519</v>
      </c>
      <c r="T6" s="142">
        <f>'Yearly Summary '!$M$17</f>
        <v>0.12895450592040864</v>
      </c>
      <c r="U6" s="142">
        <f>'Yearly Summary '!N17</f>
        <v>0</v>
      </c>
      <c r="V6" s="142">
        <f>'Yearly Summary '!O17</f>
        <v>0</v>
      </c>
      <c r="W6" s="142">
        <f>'Yearly Summary '!$P$17</f>
        <v>0</v>
      </c>
      <c r="X6" s="142">
        <f>'Yearly Summary '!$R$17</f>
        <v>0</v>
      </c>
      <c r="Y6" s="142">
        <f>'Yearly Summary '!$T$17</f>
        <v>0</v>
      </c>
      <c r="Z6" s="142">
        <f>'Yearly Summary '!$V$17</f>
        <v>110356.97474364474</v>
      </c>
      <c r="AA6" s="142">
        <f>'Yearly Summary '!$X$17</f>
        <v>17178.953389888007</v>
      </c>
      <c r="AB6" s="142">
        <f>'Yearly Summary '!$Z$17</f>
        <v>62440.573583226018</v>
      </c>
      <c r="AC6" s="143">
        <f>('Yearly Summary '!$AB$17)*AI6</f>
        <v>0</v>
      </c>
      <c r="AD6" s="144">
        <v>4688.3846085177338</v>
      </c>
      <c r="AE6" s="142">
        <v>0</v>
      </c>
      <c r="AF6" s="147">
        <f>'Yearly Summary '!$AH$17</f>
        <v>6193.2842291444549</v>
      </c>
      <c r="AG6" s="147">
        <f>'Yearly Summary '!$AI$17</f>
        <v>4292.4661543266939</v>
      </c>
      <c r="AH6" s="147">
        <f>'Yearly Summary '!$AJ$17</f>
        <v>1842.4648388849234</v>
      </c>
      <c r="AI6" s="148">
        <f>'Yearly Summary '!$AK$17</f>
        <v>0.6996763548076359</v>
      </c>
    </row>
    <row r="7" spans="1:35" ht="15" customHeight="1" x14ac:dyDescent="0.25">
      <c r="A7" s="543" t="s">
        <v>103</v>
      </c>
      <c r="B7" s="544"/>
      <c r="C7" s="152">
        <f>(C6*(1.029*8.34)*0.03)/2000</f>
        <v>0</v>
      </c>
      <c r="D7" s="150">
        <f>(D6*(1.4*8.34)*0.38)/2000</f>
        <v>46.595891334301186</v>
      </c>
      <c r="E7" s="150">
        <f>(E6*(1.54*8.34)*0.5)/2000</f>
        <v>811.83578446307956</v>
      </c>
      <c r="F7" s="150">
        <f>(F6*(1.04*8.34)*1)/2000</f>
        <v>25.405824119193852</v>
      </c>
      <c r="G7" s="150">
        <f>(G6*(1.055*8.34)*0.005)/2000</f>
        <v>0</v>
      </c>
      <c r="H7" s="150">
        <f>H6/2000</f>
        <v>315.88479710881722</v>
      </c>
      <c r="I7" s="150">
        <f>(I6*(1.135*8.34)*0.35)/2000</f>
        <v>13.478013227951292</v>
      </c>
      <c r="J7" s="150">
        <f>(J6*(1.055*8.34)*1)/2000</f>
        <v>0</v>
      </c>
      <c r="K7" s="150">
        <f>(K6*(1.055*8.34)*1)/2000</f>
        <v>0</v>
      </c>
      <c r="L7" s="150">
        <f>(L6*(1.4*8.34)*0.38)/2000</f>
        <v>0</v>
      </c>
      <c r="M7" s="150">
        <f>M6/2000</f>
        <v>23.678284519278883</v>
      </c>
      <c r="N7" s="150">
        <f>(N6*(0.895*8.34)*0.29)/2000</f>
        <v>7.9673306160070059</v>
      </c>
      <c r="O7" s="150">
        <f>(O6*(1.54*8.34)*0.5)/2000</f>
        <v>81.382403710087772</v>
      </c>
      <c r="P7" s="151">
        <f>(P6*(1.135*8.34)*0.35)/2000</f>
        <v>0</v>
      </c>
      <c r="Q7" s="149">
        <f>(Q6*(1.029*8.34)*0.03)/2000</f>
        <v>7.7755475545519568</v>
      </c>
      <c r="R7" s="150">
        <f>(R6*(1.4*8.34)*0.38)/2000</f>
        <v>351.33159804761402</v>
      </c>
      <c r="S7" s="150">
        <f>(S6*(1.04*8.34)*1)/2000</f>
        <v>38.173437862551509</v>
      </c>
      <c r="T7" s="150">
        <f>(T6*(1.135*8.34)*0.35)/2000</f>
        <v>2.1361733007859928E-4</v>
      </c>
      <c r="U7" s="150">
        <f>(U6*(1.055*8.34)*0.005)/2000</f>
        <v>0</v>
      </c>
      <c r="V7" s="150">
        <f>(V6*(1.055*8.34)*0.005)/2000</f>
        <v>0</v>
      </c>
      <c r="W7" s="150">
        <f>(W6*(1.055*8.34)*1)/2000</f>
        <v>0</v>
      </c>
      <c r="X7" s="150">
        <f>(X6*(1.055*8.34)*1)/2000</f>
        <v>0</v>
      </c>
      <c r="Y7" s="150">
        <f>(Y6*(1.4*8.34)*0.38)/2000</f>
        <v>0</v>
      </c>
      <c r="Z7" s="150">
        <f>Z6/2000</f>
        <v>55.178487371822371</v>
      </c>
      <c r="AA7" s="150">
        <f>(AA6*(0.895*8.34)*0.29)/2000</f>
        <v>18.59318495928045</v>
      </c>
      <c r="AB7" s="150">
        <f>(AB6*(1.54*8.34)*0.5)/2000</f>
        <v>200.49043771838041</v>
      </c>
      <c r="AC7" s="151">
        <f>(AC6*(1.135*8.34)*0.35)/2000</f>
        <v>0</v>
      </c>
      <c r="AD7" s="152">
        <f>AD6/2000</f>
        <v>2.344192304258867</v>
      </c>
      <c r="AE7" s="150">
        <f>(AE6*(1.029*8.34)*0.03)/2000</f>
        <v>0</v>
      </c>
      <c r="AF7" s="489" t="s">
        <v>233</v>
      </c>
      <c r="AG7" s="490"/>
      <c r="AH7" s="490"/>
      <c r="AI7" s="491"/>
    </row>
    <row r="8" spans="1:35" x14ac:dyDescent="0.25">
      <c r="A8" s="498" t="s">
        <v>104</v>
      </c>
      <c r="B8" s="499"/>
      <c r="C8" s="156">
        <f>C7/$AH$6</f>
        <v>0</v>
      </c>
      <c r="D8" s="154">
        <f>D7/$AH$6</f>
        <v>2.5289975879540499E-2</v>
      </c>
      <c r="E8" s="154">
        <f t="shared" ref="E8:P8" si="0">E7/$AH$6</f>
        <v>0.44062484522332052</v>
      </c>
      <c r="F8" s="154">
        <f t="shared" si="0"/>
        <v>1.3789041496482336E-2</v>
      </c>
      <c r="G8" s="154">
        <f t="shared" si="0"/>
        <v>0</v>
      </c>
      <c r="H8" s="154">
        <f t="shared" si="0"/>
        <v>0.17144685230465162</v>
      </c>
      <c r="I8" s="154">
        <f t="shared" si="0"/>
        <v>7.3152078365350563E-3</v>
      </c>
      <c r="J8" s="154">
        <f t="shared" si="0"/>
        <v>0</v>
      </c>
      <c r="K8" s="154">
        <f t="shared" si="0"/>
        <v>0</v>
      </c>
      <c r="L8" s="154">
        <f t="shared" si="0"/>
        <v>0</v>
      </c>
      <c r="M8" s="154">
        <f t="shared" si="0"/>
        <v>1.2851417307702435E-2</v>
      </c>
      <c r="N8" s="154">
        <f t="shared" si="0"/>
        <v>4.3242782428504351E-3</v>
      </c>
      <c r="O8" s="154">
        <f t="shared" si="0"/>
        <v>4.4170397172594703E-2</v>
      </c>
      <c r="P8" s="155">
        <f t="shared" si="0"/>
        <v>0</v>
      </c>
      <c r="Q8" s="153">
        <f>Q7/$AG$6</f>
        <v>1.8114406206125604E-3</v>
      </c>
      <c r="R8" s="154">
        <f t="shared" ref="R8:AD8" si="1">R7/$AG$6</f>
        <v>8.1848425920255874E-2</v>
      </c>
      <c r="S8" s="154">
        <f t="shared" si="1"/>
        <v>8.8931249519751433E-3</v>
      </c>
      <c r="T8" s="154">
        <f t="shared" si="1"/>
        <v>4.9765641101975513E-8</v>
      </c>
      <c r="U8" s="154">
        <f t="shared" si="1"/>
        <v>0</v>
      </c>
      <c r="V8" s="154">
        <f t="shared" si="1"/>
        <v>0</v>
      </c>
      <c r="W8" s="154">
        <f t="shared" si="1"/>
        <v>0</v>
      </c>
      <c r="X8" s="154">
        <f t="shared" si="1"/>
        <v>0</v>
      </c>
      <c r="Y8" s="154">
        <f t="shared" si="1"/>
        <v>0</v>
      </c>
      <c r="Z8" s="154">
        <f t="shared" si="1"/>
        <v>1.2854728584453461E-2</v>
      </c>
      <c r="AA8" s="154">
        <f t="shared" si="1"/>
        <v>4.3315856877611031E-3</v>
      </c>
      <c r="AB8" s="154">
        <f t="shared" si="1"/>
        <v>4.6707517429413224E-2</v>
      </c>
      <c r="AC8" s="155">
        <f t="shared" si="1"/>
        <v>0</v>
      </c>
      <c r="AD8" s="156">
        <f t="shared" si="1"/>
        <v>5.4611783063122866E-4</v>
      </c>
      <c r="AE8" s="154"/>
      <c r="AF8" s="492"/>
      <c r="AG8" s="493"/>
      <c r="AH8" s="493"/>
      <c r="AI8" s="494"/>
    </row>
    <row r="9" spans="1:35" ht="15.75" thickBot="1" x14ac:dyDescent="0.3">
      <c r="A9" s="500" t="s">
        <v>105</v>
      </c>
      <c r="B9" s="501"/>
      <c r="C9" s="219">
        <f t="shared" ref="C9:P9" si="2">C7/$AH$19</f>
        <v>0</v>
      </c>
      <c r="D9" s="157">
        <f t="shared" si="2"/>
        <v>8.9459709666433684E-2</v>
      </c>
      <c r="E9" s="157">
        <f t="shared" si="2"/>
        <v>1.5586480158482354</v>
      </c>
      <c r="F9" s="157">
        <f t="shared" si="2"/>
        <v>4.8776782339743738E-2</v>
      </c>
      <c r="G9" s="157">
        <f t="shared" si="2"/>
        <v>0</v>
      </c>
      <c r="H9" s="157">
        <f t="shared" si="2"/>
        <v>0.60646897029293423</v>
      </c>
      <c r="I9" s="157">
        <f t="shared" si="2"/>
        <v>2.5876512192938354E-2</v>
      </c>
      <c r="J9" s="157">
        <f t="shared" si="2"/>
        <v>0</v>
      </c>
      <c r="K9" s="157">
        <f t="shared" si="2"/>
        <v>0</v>
      </c>
      <c r="L9" s="157">
        <f t="shared" si="2"/>
        <v>0</v>
      </c>
      <c r="M9" s="157">
        <f t="shared" si="2"/>
        <v>4.546006950047473E-2</v>
      </c>
      <c r="N9" s="157">
        <f t="shared" si="2"/>
        <v>1.5296522146358989E-2</v>
      </c>
      <c r="O9" s="157">
        <f t="shared" si="2"/>
        <v>0.15624652730919017</v>
      </c>
      <c r="P9" s="158">
        <f t="shared" si="2"/>
        <v>0</v>
      </c>
      <c r="Q9" s="159">
        <f t="shared" ref="Q9:AD9" si="3">Q7/$AF$19</f>
        <v>2.5525698864121205E-3</v>
      </c>
      <c r="R9" s="160">
        <f t="shared" si="3"/>
        <v>0.11533573051024343</v>
      </c>
      <c r="S9" s="160">
        <f t="shared" si="3"/>
        <v>1.2531640667766188E-2</v>
      </c>
      <c r="T9" s="160">
        <f t="shared" si="3"/>
        <v>7.0126657981170358E-8</v>
      </c>
      <c r="U9" s="160">
        <f t="shared" si="3"/>
        <v>0</v>
      </c>
      <c r="V9" s="160">
        <f t="shared" si="3"/>
        <v>0</v>
      </c>
      <c r="W9" s="160">
        <f t="shared" si="3"/>
        <v>0</v>
      </c>
      <c r="X9" s="160">
        <f t="shared" si="3"/>
        <v>0</v>
      </c>
      <c r="Y9" s="160">
        <f t="shared" si="3"/>
        <v>0</v>
      </c>
      <c r="Z9" s="160">
        <f t="shared" si="3"/>
        <v>1.8114087047237042E-2</v>
      </c>
      <c r="AA9" s="160">
        <f t="shared" si="3"/>
        <v>6.1038021678313575E-3</v>
      </c>
      <c r="AB9" s="160">
        <f t="shared" si="3"/>
        <v>6.5817339581946854E-2</v>
      </c>
      <c r="AC9" s="161">
        <f t="shared" si="3"/>
        <v>0</v>
      </c>
      <c r="AD9" s="162">
        <f t="shared" si="3"/>
        <v>7.6955540967751392E-4</v>
      </c>
      <c r="AE9" s="160"/>
      <c r="AF9" s="495"/>
      <c r="AG9" s="496"/>
      <c r="AH9" s="496"/>
      <c r="AI9" s="497"/>
    </row>
    <row r="10" spans="1:35" ht="15.75" thickBot="1" x14ac:dyDescent="0.3">
      <c r="A10" s="530" t="s">
        <v>106</v>
      </c>
      <c r="B10" s="531"/>
      <c r="C10" s="166">
        <f>'Yearly Summary '!$C$30</f>
        <v>0</v>
      </c>
      <c r="D10" s="164">
        <f>'Yearly Summary '!D30</f>
        <v>31219.247193981802</v>
      </c>
      <c r="E10" s="164">
        <f>'Yearly Summary '!E30</f>
        <v>776606.05172971159</v>
      </c>
      <c r="F10" s="164">
        <f>'Yearly Summary '!F30</f>
        <v>24672.245352619546</v>
      </c>
      <c r="G10" s="164">
        <f>'Yearly Summary '!G30</f>
        <v>0</v>
      </c>
      <c r="H10" s="164">
        <f>'Yearly Summary '!H30</f>
        <v>37108.083705659919</v>
      </c>
      <c r="I10" s="164">
        <f>'Yearly Summary '!I30</f>
        <v>30421.801285947204</v>
      </c>
      <c r="J10" s="164">
        <f>'Yearly Summary '!$Q$30</f>
        <v>0</v>
      </c>
      <c r="K10" s="164">
        <v>1.2105721215442565E-3</v>
      </c>
      <c r="L10" s="164">
        <v>1.8505665867433036E-2</v>
      </c>
      <c r="M10" s="164">
        <f>'Yearly Summary '!$W$30</f>
        <v>14188.028083951907</v>
      </c>
      <c r="N10" s="164">
        <f>'Yearly Summary '!$Y$30</f>
        <v>5473.1002870798893</v>
      </c>
      <c r="O10" s="164">
        <f>'Yearly Summary '!$AA$30</f>
        <v>77887.570675421142</v>
      </c>
      <c r="P10" s="165">
        <f>('Yearly Summary '!$AB$30)*(1-AI6)</f>
        <v>0</v>
      </c>
      <c r="Q10" s="163">
        <f>'Yearly Summary '!J30</f>
        <v>49607.993398041472</v>
      </c>
      <c r="R10" s="164">
        <f>'Yearly Summary '!K30</f>
        <v>235392.17069190141</v>
      </c>
      <c r="S10" s="164">
        <f>'Yearly Summary '!L30</f>
        <v>37590.451151113659</v>
      </c>
      <c r="T10" s="164">
        <f>'Yearly Summary '!M30</f>
        <v>0</v>
      </c>
      <c r="U10" s="164">
        <f>'Yearly Summary '!N30</f>
        <v>0</v>
      </c>
      <c r="V10" s="164">
        <f>'Yearly Summary '!O30</f>
        <v>0</v>
      </c>
      <c r="W10" s="164">
        <f>'Yearly Summary '!$P$30</f>
        <v>0</v>
      </c>
      <c r="X10" s="164">
        <f>'Yearly Summary '!$R$30</f>
        <v>0</v>
      </c>
      <c r="Y10" s="164">
        <v>0.11860580125559859</v>
      </c>
      <c r="Z10" s="164">
        <f>'Yearly Summary '!$V$30</f>
        <v>33062.949633195967</v>
      </c>
      <c r="AA10" s="164">
        <f>'Yearly Summary '!$X$30</f>
        <v>12772.454268926478</v>
      </c>
      <c r="AB10" s="164">
        <f>'Yearly Summary '!$Z$30</f>
        <v>190842.44224247645</v>
      </c>
      <c r="AC10" s="165">
        <f>('Yearly Summary '!$AB$30)*AI6</f>
        <v>0</v>
      </c>
      <c r="AD10" s="166">
        <f>'Yearly Summary '!$AC$30</f>
        <v>9290.9783685205857</v>
      </c>
      <c r="AE10" s="164">
        <f>'Yearly Summary '!$AD$30</f>
        <v>0</v>
      </c>
      <c r="AF10" s="167" t="s">
        <v>107</v>
      </c>
      <c r="AG10" s="168">
        <f>'[1]Yearly Summary '!$Q$29</f>
        <v>42.185885911956788</v>
      </c>
      <c r="AH10" s="167" t="s">
        <v>108</v>
      </c>
      <c r="AI10" s="169">
        <f>'[1]Yearly Summary '!$R$29</f>
        <v>89.382557874206555</v>
      </c>
    </row>
    <row r="11" spans="1:35" ht="15.75" thickBot="1" x14ac:dyDescent="0.3">
      <c r="A11" s="216"/>
      <c r="B11" s="217"/>
      <c r="C11" s="534" t="s">
        <v>117</v>
      </c>
      <c r="D11" s="535"/>
      <c r="E11" s="535"/>
      <c r="F11" s="220">
        <f>SUM(C10:P10)</f>
        <v>997576.14803061099</v>
      </c>
      <c r="G11" s="536" t="s">
        <v>118</v>
      </c>
      <c r="H11" s="535"/>
      <c r="I11" s="535"/>
      <c r="J11" s="221">
        <f>SUM(Q10:AE10)</f>
        <v>568559.55835997732</v>
      </c>
      <c r="K11" s="536" t="s">
        <v>119</v>
      </c>
      <c r="L11" s="537"/>
      <c r="M11" s="537">
        <f>SUM(C10:AE10)</f>
        <v>1566135.7063905883</v>
      </c>
      <c r="N11" s="545"/>
      <c r="O11" s="546" t="s">
        <v>120</v>
      </c>
      <c r="P11" s="547"/>
      <c r="Q11" s="547"/>
      <c r="R11" s="222">
        <f>($AG$6+$AH$6)/($AG$19+$AI$19)</f>
        <v>1.7857696044054845</v>
      </c>
      <c r="S11" s="218"/>
      <c r="T11" s="218"/>
      <c r="U11" s="218"/>
      <c r="V11" s="218"/>
      <c r="W11" s="218"/>
      <c r="X11" s="218"/>
      <c r="Y11" s="218"/>
      <c r="Z11" s="218"/>
      <c r="AA11" s="218"/>
      <c r="AB11" s="218"/>
      <c r="AC11" s="218"/>
      <c r="AD11" s="218"/>
      <c r="AE11" s="184"/>
      <c r="AF11" s="596" t="s">
        <v>110</v>
      </c>
      <c r="AG11" s="596" t="s">
        <v>111</v>
      </c>
      <c r="AH11" s="596" t="s">
        <v>112</v>
      </c>
      <c r="AI11" s="596" t="s">
        <v>113</v>
      </c>
    </row>
    <row r="12" spans="1:35" ht="21.75" customHeight="1" thickBot="1" x14ac:dyDescent="0.3">
      <c r="A12" s="502">
        <f>A1+1</f>
        <v>2020</v>
      </c>
      <c r="B12" s="532"/>
      <c r="C12" s="533" t="s">
        <v>109</v>
      </c>
      <c r="D12" s="533"/>
      <c r="E12" s="533"/>
      <c r="F12" s="533"/>
      <c r="G12" s="533"/>
      <c r="H12" s="533"/>
      <c r="I12" s="533"/>
      <c r="J12" s="533"/>
      <c r="K12" s="533"/>
      <c r="L12" s="533"/>
      <c r="M12" s="533"/>
      <c r="N12" s="533"/>
      <c r="O12" s="533"/>
      <c r="P12" s="533"/>
      <c r="Q12" s="533"/>
      <c r="R12" s="533"/>
      <c r="S12" s="506"/>
      <c r="T12" s="506"/>
      <c r="U12" s="506"/>
      <c r="V12" s="506"/>
      <c r="W12" s="506"/>
      <c r="X12" s="506"/>
      <c r="Y12" s="506"/>
      <c r="Z12" s="506"/>
      <c r="AA12" s="506"/>
      <c r="AB12" s="506"/>
      <c r="AC12" s="506"/>
      <c r="AD12" s="506"/>
      <c r="AE12" s="506"/>
      <c r="AF12" s="597"/>
      <c r="AG12" s="597"/>
      <c r="AH12" s="597"/>
      <c r="AI12" s="597"/>
    </row>
    <row r="13" spans="1:35" ht="15" customHeight="1" x14ac:dyDescent="0.25">
      <c r="A13" s="541" t="s">
        <v>114</v>
      </c>
      <c r="B13" s="557"/>
      <c r="C13" s="170" t="s">
        <v>100</v>
      </c>
      <c r="D13" s="171" t="s">
        <v>100</v>
      </c>
      <c r="E13" s="171" t="s">
        <v>100</v>
      </c>
      <c r="F13" s="171" t="s">
        <v>100</v>
      </c>
      <c r="G13" s="171" t="s">
        <v>100</v>
      </c>
      <c r="H13" s="171" t="s">
        <v>101</v>
      </c>
      <c r="I13" s="171" t="s">
        <v>100</v>
      </c>
      <c r="J13" s="171" t="s">
        <v>100</v>
      </c>
      <c r="K13" s="171" t="s">
        <v>100</v>
      </c>
      <c r="L13" s="171" t="s">
        <v>100</v>
      </c>
      <c r="M13" s="171" t="s">
        <v>101</v>
      </c>
      <c r="N13" s="171" t="s">
        <v>100</v>
      </c>
      <c r="O13" s="171" t="s">
        <v>100</v>
      </c>
      <c r="P13" s="172" t="s">
        <v>100</v>
      </c>
      <c r="Q13" s="141" t="s">
        <v>100</v>
      </c>
      <c r="R13" s="142" t="s">
        <v>100</v>
      </c>
      <c r="S13" s="142" t="s">
        <v>100</v>
      </c>
      <c r="T13" s="142" t="s">
        <v>100</v>
      </c>
      <c r="U13" s="142" t="s">
        <v>100</v>
      </c>
      <c r="V13" s="142" t="s">
        <v>100</v>
      </c>
      <c r="W13" s="142" t="s">
        <v>100</v>
      </c>
      <c r="X13" s="142" t="s">
        <v>100</v>
      </c>
      <c r="Y13" s="142" t="s">
        <v>100</v>
      </c>
      <c r="Z13" s="142" t="s">
        <v>101</v>
      </c>
      <c r="AA13" s="142" t="s">
        <v>100</v>
      </c>
      <c r="AB13" s="142" t="s">
        <v>100</v>
      </c>
      <c r="AC13" s="143" t="s">
        <v>100</v>
      </c>
      <c r="AD13" s="144" t="s">
        <v>101</v>
      </c>
      <c r="AE13" s="173" t="s">
        <v>100</v>
      </c>
      <c r="AF13" s="597"/>
      <c r="AG13" s="597"/>
      <c r="AH13" s="597"/>
      <c r="AI13" s="597"/>
    </row>
    <row r="14" spans="1:35" x14ac:dyDescent="0.25">
      <c r="A14" s="541"/>
      <c r="B14" s="557"/>
      <c r="C14" s="141">
        <f t="shared" ref="C14:P14" si="4">(C6/$AH$6)*$AB$18</f>
        <v>0</v>
      </c>
      <c r="D14" s="142">
        <f t="shared" si="4"/>
        <v>13967.939678754734</v>
      </c>
      <c r="E14" s="142">
        <f t="shared" si="4"/>
        <v>168141.07689257068</v>
      </c>
      <c r="F14" s="142">
        <f t="shared" si="4"/>
        <v>3895.796896300074</v>
      </c>
      <c r="G14" s="142">
        <f t="shared" si="4"/>
        <v>0</v>
      </c>
      <c r="H14" s="142">
        <f t="shared" si="4"/>
        <v>420137.19799978868</v>
      </c>
      <c r="I14" s="142">
        <f t="shared" si="4"/>
        <v>5410.7607597601564</v>
      </c>
      <c r="J14" s="142">
        <f t="shared" si="4"/>
        <v>0</v>
      </c>
      <c r="K14" s="142">
        <f t="shared" si="4"/>
        <v>0</v>
      </c>
      <c r="L14" s="142">
        <f t="shared" si="4"/>
        <v>0</v>
      </c>
      <c r="M14" s="142">
        <f t="shared" si="4"/>
        <v>31492.899317799813</v>
      </c>
      <c r="N14" s="142">
        <f t="shared" si="4"/>
        <v>4895.399795419974</v>
      </c>
      <c r="O14" s="142">
        <f t="shared" si="4"/>
        <v>16855.286822531536</v>
      </c>
      <c r="P14" s="143">
        <f t="shared" si="4"/>
        <v>0</v>
      </c>
      <c r="Q14" s="141">
        <f t="shared" ref="Q14:AE14" si="5">(Q6/$AG$6)*$T$18</f>
        <v>53132.947436009097</v>
      </c>
      <c r="R14" s="142">
        <f t="shared" si="5"/>
        <v>139307.70404730027</v>
      </c>
      <c r="S14" s="142">
        <f t="shared" si="5"/>
        <v>7742.7901757006985</v>
      </c>
      <c r="T14" s="142">
        <f t="shared" si="5"/>
        <v>0.11343370898240318</v>
      </c>
      <c r="U14" s="142">
        <f t="shared" si="5"/>
        <v>0</v>
      </c>
      <c r="V14" s="142">
        <f t="shared" si="5"/>
        <v>0</v>
      </c>
      <c r="W14" s="142">
        <f t="shared" si="5"/>
        <v>0</v>
      </c>
      <c r="X14" s="142">
        <f t="shared" si="5"/>
        <v>0</v>
      </c>
      <c r="Y14" s="142">
        <f t="shared" si="5"/>
        <v>0</v>
      </c>
      <c r="Z14" s="142">
        <f t="shared" si="5"/>
        <v>97074.552516802403</v>
      </c>
      <c r="AA14" s="142">
        <f t="shared" si="5"/>
        <v>15111.316859711402</v>
      </c>
      <c r="AB14" s="142">
        <f t="shared" si="5"/>
        <v>54925.307200242947</v>
      </c>
      <c r="AC14" s="143">
        <f t="shared" si="5"/>
        <v>0</v>
      </c>
      <c r="AD14" s="144">
        <f t="shared" si="5"/>
        <v>4124.0967229824555</v>
      </c>
      <c r="AE14" s="173">
        <f t="shared" si="5"/>
        <v>0</v>
      </c>
      <c r="AF14" s="597"/>
      <c r="AG14" s="597"/>
      <c r="AH14" s="597"/>
      <c r="AI14" s="597"/>
    </row>
    <row r="15" spans="1:35" x14ac:dyDescent="0.25">
      <c r="A15" s="543" t="s">
        <v>115</v>
      </c>
      <c r="B15" s="558"/>
      <c r="C15" s="149">
        <f t="shared" ref="C15:P15" si="6">C8*$AB$18</f>
        <v>0</v>
      </c>
      <c r="D15" s="150">
        <f t="shared" si="6"/>
        <v>30.987036100936646</v>
      </c>
      <c r="E15" s="150">
        <f t="shared" si="6"/>
        <v>539.88418379435529</v>
      </c>
      <c r="F15" s="150">
        <f t="shared" si="6"/>
        <v>16.895291979874163</v>
      </c>
      <c r="G15" s="150">
        <f t="shared" si="6"/>
        <v>0</v>
      </c>
      <c r="H15" s="150">
        <f t="shared" si="6"/>
        <v>210.06859899989431</v>
      </c>
      <c r="I15" s="150">
        <f t="shared" si="6"/>
        <v>8.9631010482673901</v>
      </c>
      <c r="J15" s="150">
        <f t="shared" si="6"/>
        <v>0</v>
      </c>
      <c r="K15" s="150">
        <f t="shared" si="6"/>
        <v>0</v>
      </c>
      <c r="L15" s="150">
        <f t="shared" si="6"/>
        <v>0</v>
      </c>
      <c r="M15" s="150">
        <f t="shared" si="6"/>
        <v>15.746449658899907</v>
      </c>
      <c r="N15" s="150">
        <f t="shared" si="6"/>
        <v>5.2984062404782302</v>
      </c>
      <c r="O15" s="150">
        <f t="shared" si="6"/>
        <v>54.120640458466518</v>
      </c>
      <c r="P15" s="151">
        <f t="shared" si="6"/>
        <v>0</v>
      </c>
      <c r="Q15" s="149">
        <f t="shared" ref="Q15:AD15" si="7">Q8*$T$18</f>
        <v>6.8396927442478352</v>
      </c>
      <c r="R15" s="150">
        <f t="shared" si="7"/>
        <v>309.04578296669274</v>
      </c>
      <c r="S15" s="150">
        <f t="shared" si="7"/>
        <v>33.578932433978785</v>
      </c>
      <c r="T15" s="150">
        <f t="shared" si="7"/>
        <v>1.8790662552489279E-4</v>
      </c>
      <c r="U15" s="150">
        <f t="shared" si="7"/>
        <v>0</v>
      </c>
      <c r="V15" s="150">
        <f t="shared" si="7"/>
        <v>0</v>
      </c>
      <c r="W15" s="150">
        <f t="shared" si="7"/>
        <v>0</v>
      </c>
      <c r="X15" s="150">
        <f t="shared" si="7"/>
        <v>0</v>
      </c>
      <c r="Y15" s="150">
        <f t="shared" si="7"/>
        <v>0</v>
      </c>
      <c r="Z15" s="150">
        <f t="shared" si="7"/>
        <v>48.537276258401207</v>
      </c>
      <c r="AA15" s="150">
        <f t="shared" si="7"/>
        <v>16.355333353211851</v>
      </c>
      <c r="AB15" s="150">
        <f t="shared" si="7"/>
        <v>176.35966888926006</v>
      </c>
      <c r="AC15" s="151">
        <f t="shared" si="7"/>
        <v>0</v>
      </c>
      <c r="AD15" s="152">
        <f t="shared" si="7"/>
        <v>2.0620483614912275</v>
      </c>
      <c r="AE15" s="174">
        <f>(AE14*(1.029*8.34)*0.03)/2000</f>
        <v>0</v>
      </c>
      <c r="AF15" s="597"/>
      <c r="AG15" s="597"/>
      <c r="AH15" s="597"/>
      <c r="AI15" s="597"/>
    </row>
    <row r="16" spans="1:35" ht="15" customHeight="1" thickBot="1" x14ac:dyDescent="0.3">
      <c r="A16" s="530" t="s">
        <v>116</v>
      </c>
      <c r="B16" s="559"/>
      <c r="C16" s="175">
        <f>$AI$30*C15</f>
        <v>0</v>
      </c>
      <c r="D16" s="176">
        <f>$AI$28*D15</f>
        <v>20761.314187627551</v>
      </c>
      <c r="E16" s="176">
        <f>$AI$31*E15</f>
        <v>496693.44909080688</v>
      </c>
      <c r="F16" s="176">
        <f>$AI$26*F15</f>
        <v>16895.291979874164</v>
      </c>
      <c r="G16" s="177">
        <f>$AI$23*G15</f>
        <v>0</v>
      </c>
      <c r="H16" s="177">
        <f>$AI$24*H15</f>
        <v>25197.728450037324</v>
      </c>
      <c r="I16" s="177">
        <f>$AI$29*I15</f>
        <v>20230.999508946396</v>
      </c>
      <c r="J16" s="177">
        <v>0</v>
      </c>
      <c r="K16" s="177">
        <f>'Yearly Summary '!$S$30</f>
        <v>0</v>
      </c>
      <c r="L16" s="177">
        <f>'Yearly Summary '!$U$30</f>
        <v>0</v>
      </c>
      <c r="M16" s="177">
        <f>$AI$27*M15</f>
        <v>9435.272635612826</v>
      </c>
      <c r="N16" s="177">
        <f>$AI$22*N15</f>
        <v>474.36424017619549</v>
      </c>
      <c r="O16" s="177">
        <f>$AI$31*O15</f>
        <v>49790.989221789197</v>
      </c>
      <c r="P16" s="178">
        <v>0</v>
      </c>
      <c r="Q16" s="179">
        <f>$AI$30*Q15</f>
        <v>43637.239708301189</v>
      </c>
      <c r="R16" s="177">
        <f>$AI$28*R15</f>
        <v>207060.67458768413</v>
      </c>
      <c r="S16" s="177">
        <f>$AI$26*S15</f>
        <v>33578.932433978785</v>
      </c>
      <c r="T16" s="177">
        <f>$AI$25*T15</f>
        <v>0</v>
      </c>
      <c r="U16" s="177">
        <f>$AI$23*U15</f>
        <v>0</v>
      </c>
      <c r="V16" s="177">
        <f>$AI$23*V15</f>
        <v>0</v>
      </c>
      <c r="W16" s="177">
        <v>0</v>
      </c>
      <c r="X16" s="177">
        <v>0</v>
      </c>
      <c r="Y16" s="177">
        <f>'Yearly Summary '!$T$30</f>
        <v>0</v>
      </c>
      <c r="Z16" s="177">
        <f>$AI$27*Z15</f>
        <v>29083.535934034004</v>
      </c>
      <c r="AA16" s="177">
        <f>$AI$22*AA15</f>
        <v>1464.2866037060346</v>
      </c>
      <c r="AB16" s="177">
        <f>$AI$31*AB15</f>
        <v>162250.89537811925</v>
      </c>
      <c r="AC16" s="178">
        <v>0</v>
      </c>
      <c r="AD16" s="180">
        <f>$AI$27*AD15</f>
        <v>1235.5793782055437</v>
      </c>
      <c r="AE16" s="181">
        <f>$AI$30*AE15</f>
        <v>0</v>
      </c>
      <c r="AF16" s="597"/>
      <c r="AG16" s="597"/>
      <c r="AH16" s="597"/>
      <c r="AI16" s="597"/>
    </row>
    <row r="17" spans="1:35" ht="15" customHeight="1" thickBot="1" x14ac:dyDescent="0.3">
      <c r="A17" s="560"/>
      <c r="B17" s="561"/>
      <c r="C17" s="562" t="s">
        <v>117</v>
      </c>
      <c r="D17" s="563"/>
      <c r="E17" s="563"/>
      <c r="F17" s="182">
        <f>SUM(C16:P16)</f>
        <v>639479.4093148706</v>
      </c>
      <c r="G17" s="564" t="s">
        <v>118</v>
      </c>
      <c r="H17" s="563"/>
      <c r="I17" s="563"/>
      <c r="J17" s="183">
        <f>SUM(Q16:AE16)</f>
        <v>478311.14402402885</v>
      </c>
      <c r="K17" s="564" t="s">
        <v>119</v>
      </c>
      <c r="L17" s="565"/>
      <c r="M17" s="566">
        <f>SUM(C16:AE16)</f>
        <v>1117790.5533388995</v>
      </c>
      <c r="N17" s="567"/>
      <c r="O17" s="568"/>
      <c r="P17" s="569"/>
      <c r="Q17" s="569"/>
      <c r="R17" s="223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598"/>
      <c r="AG17" s="598"/>
      <c r="AH17" s="598"/>
      <c r="AI17" s="598"/>
    </row>
    <row r="18" spans="1:35" ht="15" customHeight="1" thickTop="1" thickBot="1" x14ac:dyDescent="0.3">
      <c r="A18" s="185" t="s">
        <v>121</v>
      </c>
      <c r="B18" s="186"/>
      <c r="C18" s="186"/>
      <c r="D18" s="187">
        <v>5001.1000000000004</v>
      </c>
      <c r="E18" s="188" t="s">
        <v>122</v>
      </c>
      <c r="F18" s="189"/>
      <c r="G18" s="189"/>
      <c r="H18" s="190">
        <f>D18*((AF19+AH19)/(AG6+AH6))</f>
        <v>2907.7817859300353</v>
      </c>
      <c r="I18" s="191" t="s">
        <v>123</v>
      </c>
      <c r="J18" s="189"/>
      <c r="K18" s="189"/>
      <c r="L18" s="192">
        <v>0.755</v>
      </c>
      <c r="M18" s="191" t="s">
        <v>124</v>
      </c>
      <c r="N18" s="189"/>
      <c r="O18" s="189"/>
      <c r="P18" s="193">
        <f>L18/(1-L18)</f>
        <v>3.0816326530612246</v>
      </c>
      <c r="Q18" s="191" t="s">
        <v>125</v>
      </c>
      <c r="R18" s="189"/>
      <c r="S18" s="189"/>
      <c r="T18" s="190">
        <f>D18*L18</f>
        <v>3775.8305000000005</v>
      </c>
      <c r="U18" s="191" t="s">
        <v>126</v>
      </c>
      <c r="V18" s="189"/>
      <c r="W18" s="189"/>
      <c r="X18" s="190">
        <f>H18*L18</f>
        <v>2195.3752483771768</v>
      </c>
      <c r="Y18" s="191" t="s">
        <v>127</v>
      </c>
      <c r="Z18" s="189"/>
      <c r="AA18" s="189"/>
      <c r="AB18" s="190">
        <f>D18-T18</f>
        <v>1225.2694999999999</v>
      </c>
      <c r="AC18" s="191" t="s">
        <v>128</v>
      </c>
      <c r="AD18" s="189"/>
      <c r="AE18" s="194">
        <f>H18-X18</f>
        <v>712.40653755285848</v>
      </c>
      <c r="AF18" s="224" t="s">
        <v>102</v>
      </c>
      <c r="AG18" s="225" t="s">
        <v>102</v>
      </c>
      <c r="AH18" s="225" t="s">
        <v>102</v>
      </c>
      <c r="AI18" s="225" t="s">
        <v>102</v>
      </c>
    </row>
    <row r="19" spans="1:35" ht="16.5" thickTop="1" thickBot="1" x14ac:dyDescent="0.3">
      <c r="O19" s="548"/>
      <c r="P19" s="548"/>
      <c r="AF19" s="195">
        <f>'[1]Yearly Summary '!$C$29</f>
        <v>3046.1644149070598</v>
      </c>
      <c r="AG19" s="195">
        <f>AF19-AG10</f>
        <v>3003.9785289951033</v>
      </c>
      <c r="AH19" s="195">
        <f>'[1]Yearly Summary '!$D$29</f>
        <v>520.85895995015176</v>
      </c>
      <c r="AI19" s="195">
        <f>AH19-AI10</f>
        <v>431.4764020759452</v>
      </c>
    </row>
    <row r="20" spans="1:35" ht="15" customHeight="1" x14ac:dyDescent="0.25">
      <c r="A20" s="549">
        <f>A12</f>
        <v>2020</v>
      </c>
      <c r="B20" s="550"/>
      <c r="C20" s="550" t="s">
        <v>129</v>
      </c>
      <c r="D20" s="550"/>
      <c r="E20" s="550"/>
      <c r="F20" s="550"/>
      <c r="G20" s="550"/>
      <c r="H20" s="550"/>
      <c r="I20" s="550"/>
      <c r="J20" s="550" t="s">
        <v>130</v>
      </c>
      <c r="K20" s="550"/>
      <c r="L20" s="550"/>
      <c r="M20" s="550"/>
      <c r="N20" s="550"/>
      <c r="O20" s="550"/>
      <c r="P20" s="551"/>
      <c r="Q20" s="196"/>
      <c r="R20" s="197">
        <f>A1</f>
        <v>2019</v>
      </c>
      <c r="S20" s="552" t="s">
        <v>131</v>
      </c>
      <c r="T20" s="553"/>
      <c r="U20" s="554" t="s">
        <v>132</v>
      </c>
      <c r="V20" s="555"/>
      <c r="W20" s="555"/>
      <c r="X20" s="555"/>
      <c r="Y20" s="556"/>
      <c r="Z20" s="570" t="s">
        <v>133</v>
      </c>
      <c r="AA20" s="571"/>
      <c r="AB20" s="571"/>
      <c r="AC20" s="571"/>
      <c r="AD20" s="572"/>
      <c r="AE20" s="573" t="s">
        <v>134</v>
      </c>
      <c r="AF20" s="574"/>
      <c r="AG20" s="574"/>
      <c r="AH20" s="574"/>
      <c r="AI20" s="575"/>
    </row>
    <row r="21" spans="1:35" ht="15.75" thickBot="1" x14ac:dyDescent="0.3">
      <c r="A21" s="576" t="s">
        <v>135</v>
      </c>
      <c r="B21" s="577"/>
      <c r="C21" s="578" t="s">
        <v>161</v>
      </c>
      <c r="D21" s="578"/>
      <c r="E21" s="578" t="s">
        <v>162</v>
      </c>
      <c r="F21" s="579"/>
      <c r="G21" s="579" t="s">
        <v>163</v>
      </c>
      <c r="H21" s="580"/>
      <c r="I21" s="580"/>
      <c r="J21" s="581" t="s">
        <v>164</v>
      </c>
      <c r="K21" s="581"/>
      <c r="L21" s="582"/>
      <c r="M21" s="581" t="s">
        <v>165</v>
      </c>
      <c r="N21" s="582"/>
      <c r="O21" s="578" t="s">
        <v>136</v>
      </c>
      <c r="P21" s="583"/>
      <c r="Q21" s="196"/>
      <c r="R21" s="584" t="s">
        <v>135</v>
      </c>
      <c r="S21" s="585"/>
      <c r="T21" s="585"/>
      <c r="U21" s="198" t="s">
        <v>137</v>
      </c>
      <c r="V21" s="248" t="s">
        <v>138</v>
      </c>
      <c r="W21" s="248" t="s">
        <v>139</v>
      </c>
      <c r="X21" s="248" t="s">
        <v>58</v>
      </c>
      <c r="Y21" s="248" t="s">
        <v>140</v>
      </c>
      <c r="Z21" s="199" t="s">
        <v>137</v>
      </c>
      <c r="AA21" s="199" t="s">
        <v>138</v>
      </c>
      <c r="AB21" s="199" t="s">
        <v>139</v>
      </c>
      <c r="AC21" s="199" t="s">
        <v>58</v>
      </c>
      <c r="AD21" s="199" t="s">
        <v>140</v>
      </c>
      <c r="AE21" s="200" t="s">
        <v>137</v>
      </c>
      <c r="AF21" s="200" t="s">
        <v>138</v>
      </c>
      <c r="AG21" s="200" t="s">
        <v>139</v>
      </c>
      <c r="AH21" s="200" t="s">
        <v>58</v>
      </c>
      <c r="AI21" s="201" t="s">
        <v>140</v>
      </c>
    </row>
    <row r="22" spans="1:35" ht="15.75" thickTop="1" x14ac:dyDescent="0.25">
      <c r="A22" s="587" t="s">
        <v>141</v>
      </c>
      <c r="B22" s="588"/>
      <c r="C22" s="589">
        <f>N15+AA15</f>
        <v>21.65373959369008</v>
      </c>
      <c r="D22" s="578"/>
      <c r="E22" s="590">
        <f>N16+AA16</f>
        <v>1938.6508438822302</v>
      </c>
      <c r="F22" s="591"/>
      <c r="G22" s="592">
        <f>(C22*2000)/(8.34*0.895*0.29)</f>
        <v>20006.716655131371</v>
      </c>
      <c r="H22" s="592"/>
      <c r="I22" s="202" t="s">
        <v>142</v>
      </c>
      <c r="J22" s="593">
        <f>(G22*8.34*0.895)/27000</f>
        <v>5.5309679677369292</v>
      </c>
      <c r="K22" s="594"/>
      <c r="L22" s="203" t="s">
        <v>143</v>
      </c>
      <c r="M22" s="595">
        <f>ROUNDUP(J22,0)</f>
        <v>6</v>
      </c>
      <c r="N22" s="579"/>
      <c r="O22" s="586">
        <f>((M22*27000)/(8.34*0.895))*$Y$22</f>
        <v>2103.0505204774727</v>
      </c>
      <c r="P22" s="583"/>
      <c r="Q22" s="196"/>
      <c r="R22" s="584" t="s">
        <v>141</v>
      </c>
      <c r="S22" s="585"/>
      <c r="T22" s="585"/>
      <c r="U22" s="244" t="s">
        <v>146</v>
      </c>
      <c r="V22" s="360">
        <v>9.69E-2</v>
      </c>
      <c r="W22" s="361">
        <v>9.69E-2</v>
      </c>
      <c r="X22" s="361">
        <v>9.69E-2</v>
      </c>
      <c r="Y22" s="249">
        <v>9.69E-2</v>
      </c>
      <c r="Z22" s="246" t="s">
        <v>142</v>
      </c>
      <c r="AA22" s="205">
        <f>V22*8.34*0.92</f>
        <v>0.74349432000000004</v>
      </c>
      <c r="AB22" s="205">
        <f t="shared" ref="AB22:AD22" si="8">W22*8.34*0.92</f>
        <v>0.74349432000000004</v>
      </c>
      <c r="AC22" s="205">
        <f t="shared" si="8"/>
        <v>0.74349432000000004</v>
      </c>
      <c r="AD22" s="205">
        <f t="shared" si="8"/>
        <v>0.74349432000000004</v>
      </c>
      <c r="AE22" s="206" t="s">
        <v>144</v>
      </c>
      <c r="AF22" s="207">
        <f>(V22/((0.895*8.34)*0.29))*2000</f>
        <v>89.529609215728939</v>
      </c>
      <c r="AG22" s="207">
        <f>(W22/((0.895*8.34)*0.29))*2000</f>
        <v>89.529609215728939</v>
      </c>
      <c r="AH22" s="207">
        <f>(X22/((0.895*8.34)*0.29))*2000</f>
        <v>89.529609215728939</v>
      </c>
      <c r="AI22" s="208">
        <f>(Y22/((0.895*8.34)*0.29))*2000</f>
        <v>89.529609215728939</v>
      </c>
    </row>
    <row r="23" spans="1:35" x14ac:dyDescent="0.25">
      <c r="A23" s="587" t="s">
        <v>145</v>
      </c>
      <c r="B23" s="588"/>
      <c r="C23" s="589">
        <f>G15+U15+V15</f>
        <v>0</v>
      </c>
      <c r="D23" s="578"/>
      <c r="E23" s="590">
        <f>G16+U16+V16</f>
        <v>0</v>
      </c>
      <c r="F23" s="591"/>
      <c r="G23" s="592">
        <f>C23*2000</f>
        <v>0</v>
      </c>
      <c r="H23" s="592"/>
      <c r="I23" s="202" t="s">
        <v>146</v>
      </c>
      <c r="J23" s="593">
        <f>(G23/(8.34*1.055))/400</f>
        <v>0</v>
      </c>
      <c r="K23" s="594"/>
      <c r="L23" s="203" t="s">
        <v>147</v>
      </c>
      <c r="M23" s="595">
        <f t="shared" ref="M23:M31" si="9">ROUNDUP(J23,0)</f>
        <v>0</v>
      </c>
      <c r="N23" s="579"/>
      <c r="O23" s="586">
        <f>(M23*400*8.34*1.055)*$Y$23</f>
        <v>0</v>
      </c>
      <c r="P23" s="583"/>
      <c r="Q23" s="196"/>
      <c r="R23" s="584" t="s">
        <v>145</v>
      </c>
      <c r="S23" s="585"/>
      <c r="T23" s="585"/>
      <c r="U23" s="244" t="s">
        <v>146</v>
      </c>
      <c r="V23" s="362"/>
      <c r="W23" s="363"/>
      <c r="X23" s="363"/>
      <c r="Y23" s="363"/>
      <c r="Z23" s="246" t="s">
        <v>142</v>
      </c>
      <c r="AA23" s="205">
        <f>V23*8.34*0.005</f>
        <v>0</v>
      </c>
      <c r="AB23" s="205">
        <f>W23*8.34*0.005</f>
        <v>0</v>
      </c>
      <c r="AC23" s="205">
        <f>X23*8.34*0.005</f>
        <v>0</v>
      </c>
      <c r="AD23" s="205">
        <f>Y23*8.34*0.005</f>
        <v>0</v>
      </c>
      <c r="AE23" s="206" t="s">
        <v>144</v>
      </c>
      <c r="AF23" s="207">
        <f>V23*2000</f>
        <v>0</v>
      </c>
      <c r="AG23" s="207">
        <f>W23*2000</f>
        <v>0</v>
      </c>
      <c r="AH23" s="207">
        <f>X23*2000</f>
        <v>0</v>
      </c>
      <c r="AI23" s="208">
        <f>Y23*2000</f>
        <v>0</v>
      </c>
    </row>
    <row r="24" spans="1:35" x14ac:dyDescent="0.25">
      <c r="A24" s="587" t="s">
        <v>148</v>
      </c>
      <c r="B24" s="588"/>
      <c r="C24" s="589">
        <f>H15</f>
        <v>210.06859899989431</v>
      </c>
      <c r="D24" s="578"/>
      <c r="E24" s="590">
        <f>H16</f>
        <v>25197.728450037324</v>
      </c>
      <c r="F24" s="591"/>
      <c r="G24" s="592">
        <f>C24</f>
        <v>210.06859899989431</v>
      </c>
      <c r="H24" s="592"/>
      <c r="I24" s="202" t="s">
        <v>149</v>
      </c>
      <c r="J24" s="593">
        <f>(G24*2000)/40000</f>
        <v>10.503429949994716</v>
      </c>
      <c r="K24" s="594"/>
      <c r="L24" s="203" t="s">
        <v>143</v>
      </c>
      <c r="M24" s="595">
        <f t="shared" si="9"/>
        <v>11</v>
      </c>
      <c r="N24" s="579"/>
      <c r="O24" s="586">
        <f>((M24*40000)/2000)*$Y$24</f>
        <v>26389</v>
      </c>
      <c r="P24" s="583"/>
      <c r="Q24" s="196"/>
      <c r="R24" s="584" t="s">
        <v>148</v>
      </c>
      <c r="S24" s="585"/>
      <c r="T24" s="585"/>
      <c r="U24" s="244" t="s">
        <v>149</v>
      </c>
      <c r="V24" s="362">
        <v>115.9</v>
      </c>
      <c r="W24" s="363">
        <v>115.9</v>
      </c>
      <c r="X24" s="363">
        <v>119.95</v>
      </c>
      <c r="Y24" s="251">
        <v>119.95</v>
      </c>
      <c r="Z24" s="246" t="s">
        <v>146</v>
      </c>
      <c r="AA24" s="205">
        <f>V24/2000</f>
        <v>5.7950000000000002E-2</v>
      </c>
      <c r="AB24" s="205">
        <f>W24/2000</f>
        <v>5.7950000000000002E-2</v>
      </c>
      <c r="AC24" s="205">
        <f>X24/2000</f>
        <v>5.9975000000000001E-2</v>
      </c>
      <c r="AD24" s="205">
        <f>Y24/2000</f>
        <v>5.9975000000000001E-2</v>
      </c>
      <c r="AE24" s="206" t="s">
        <v>144</v>
      </c>
      <c r="AF24" s="207">
        <f>V24</f>
        <v>115.9</v>
      </c>
      <c r="AG24" s="207">
        <f>W24</f>
        <v>115.9</v>
      </c>
      <c r="AH24" s="207">
        <f>X24</f>
        <v>119.95</v>
      </c>
      <c r="AI24" s="207">
        <f>Y24</f>
        <v>119.95</v>
      </c>
    </row>
    <row r="25" spans="1:35" ht="15.75" customHeight="1" x14ac:dyDescent="0.25">
      <c r="A25" s="587" t="s">
        <v>150</v>
      </c>
      <c r="B25" s="588"/>
      <c r="C25" s="589">
        <f>T15</f>
        <v>1.8790662552489279E-4</v>
      </c>
      <c r="D25" s="578"/>
      <c r="E25" s="590">
        <f>T16</f>
        <v>0</v>
      </c>
      <c r="F25" s="591"/>
      <c r="G25" s="592">
        <f>C25*2000</f>
        <v>0.37581325104978558</v>
      </c>
      <c r="H25" s="592"/>
      <c r="I25" s="202" t="s">
        <v>151</v>
      </c>
      <c r="J25" s="593">
        <f>G25/45000</f>
        <v>8.3514055788841236E-6</v>
      </c>
      <c r="K25" s="594"/>
      <c r="L25" s="203" t="s">
        <v>143</v>
      </c>
      <c r="M25" s="595">
        <f t="shared" si="9"/>
        <v>1</v>
      </c>
      <c r="N25" s="579"/>
      <c r="O25" s="586">
        <f>J25*45000*$Y$25</f>
        <v>0</v>
      </c>
      <c r="P25" s="583"/>
      <c r="Q25" s="196"/>
      <c r="R25" s="584" t="s">
        <v>150</v>
      </c>
      <c r="S25" s="585"/>
      <c r="T25" s="585"/>
      <c r="U25" s="244" t="s">
        <v>151</v>
      </c>
      <c r="V25" s="250"/>
      <c r="W25" s="204"/>
      <c r="X25" s="204"/>
      <c r="Y25" s="251"/>
      <c r="Z25" s="246" t="s">
        <v>142</v>
      </c>
      <c r="AA25" s="205">
        <f>V25*8.34*0.055</f>
        <v>0</v>
      </c>
      <c r="AB25" s="205">
        <f>W25*8.34*0.055</f>
        <v>0</v>
      </c>
      <c r="AC25" s="205">
        <f>X25*8.34*0.055</f>
        <v>0</v>
      </c>
      <c r="AD25" s="205">
        <f>Y25*8.34*0.055</f>
        <v>0</v>
      </c>
      <c r="AE25" s="206" t="s">
        <v>144</v>
      </c>
      <c r="AF25" s="207">
        <f>V25*2000</f>
        <v>0</v>
      </c>
      <c r="AG25" s="207">
        <f>W25*2000</f>
        <v>0</v>
      </c>
      <c r="AH25" s="207">
        <f>X25*2000</f>
        <v>0</v>
      </c>
      <c r="AI25" s="208">
        <f>Y25*2000</f>
        <v>0</v>
      </c>
    </row>
    <row r="26" spans="1:35" x14ac:dyDescent="0.25">
      <c r="A26" s="587" t="s">
        <v>152</v>
      </c>
      <c r="B26" s="588"/>
      <c r="C26" s="589">
        <f>F15+S15</f>
        <v>50.474224413852951</v>
      </c>
      <c r="D26" s="578"/>
      <c r="E26" s="590">
        <f>F16+S16</f>
        <v>50474.22441385295</v>
      </c>
      <c r="F26" s="591"/>
      <c r="G26" s="592">
        <f>C26</f>
        <v>50.474224413852951</v>
      </c>
      <c r="H26" s="592"/>
      <c r="I26" s="202" t="s">
        <v>149</v>
      </c>
      <c r="J26" s="593">
        <f>(G26*2000)/45000</f>
        <v>2.2432988628379089</v>
      </c>
      <c r="K26" s="594"/>
      <c r="L26" s="203" t="s">
        <v>143</v>
      </c>
      <c r="M26" s="595">
        <f t="shared" si="9"/>
        <v>3</v>
      </c>
      <c r="N26" s="579"/>
      <c r="O26" s="586">
        <f>((M26*45000)/2000)*$Y$26</f>
        <v>67500</v>
      </c>
      <c r="P26" s="583"/>
      <c r="Q26" s="196"/>
      <c r="R26" s="584" t="s">
        <v>152</v>
      </c>
      <c r="S26" s="585"/>
      <c r="T26" s="585"/>
      <c r="U26" s="244" t="s">
        <v>149</v>
      </c>
      <c r="V26" s="362">
        <v>920</v>
      </c>
      <c r="W26" s="363">
        <v>1000</v>
      </c>
      <c r="X26" s="363">
        <v>1000</v>
      </c>
      <c r="Y26" s="251">
        <v>1000</v>
      </c>
      <c r="Z26" s="246" t="s">
        <v>142</v>
      </c>
      <c r="AA26" s="205">
        <f>(V26/2000)*8.34*1.04*1</f>
        <v>3.9898560000000005</v>
      </c>
      <c r="AB26" s="205">
        <f t="shared" ref="AB26:AD26" si="10">(W26/2000)*8.34*1.04*1</f>
        <v>4.3368000000000002</v>
      </c>
      <c r="AC26" s="205">
        <f t="shared" si="10"/>
        <v>4.3368000000000002</v>
      </c>
      <c r="AD26" s="205">
        <f t="shared" si="10"/>
        <v>4.3368000000000002</v>
      </c>
      <c r="AE26" s="206" t="s">
        <v>144</v>
      </c>
      <c r="AF26" s="207">
        <f t="shared" ref="AF26:AI28" si="11">V26</f>
        <v>920</v>
      </c>
      <c r="AG26" s="207">
        <f t="shared" si="11"/>
        <v>1000</v>
      </c>
      <c r="AH26" s="207">
        <f t="shared" si="11"/>
        <v>1000</v>
      </c>
      <c r="AI26" s="208">
        <f t="shared" si="11"/>
        <v>1000</v>
      </c>
    </row>
    <row r="27" spans="1:35" x14ac:dyDescent="0.25">
      <c r="A27" s="587" t="s">
        <v>153</v>
      </c>
      <c r="B27" s="588"/>
      <c r="C27" s="589">
        <f>M15+Z15+AD15</f>
        <v>66.345774278792334</v>
      </c>
      <c r="D27" s="578"/>
      <c r="E27" s="590">
        <f>M16+Z16+AD16</f>
        <v>39754.387947852374</v>
      </c>
      <c r="F27" s="591"/>
      <c r="G27" s="592">
        <f>C27</f>
        <v>66.345774278792334</v>
      </c>
      <c r="H27" s="592"/>
      <c r="I27" s="202" t="s">
        <v>149</v>
      </c>
      <c r="J27" s="593">
        <f>G27/8</f>
        <v>8.2932217848490417</v>
      </c>
      <c r="K27" s="594"/>
      <c r="L27" s="203" t="s">
        <v>143</v>
      </c>
      <c r="M27" s="595">
        <f t="shared" si="9"/>
        <v>9</v>
      </c>
      <c r="N27" s="579"/>
      <c r="O27" s="586">
        <f>M27*8*$Y$27</f>
        <v>43142.400000000001</v>
      </c>
      <c r="P27" s="583"/>
      <c r="Q27" s="196"/>
      <c r="R27" s="584" t="s">
        <v>153</v>
      </c>
      <c r="S27" s="585"/>
      <c r="T27" s="585"/>
      <c r="U27" s="244" t="s">
        <v>149</v>
      </c>
      <c r="V27" s="362">
        <v>599.20000000000005</v>
      </c>
      <c r="W27" s="363">
        <v>599.20000000000005</v>
      </c>
      <c r="X27" s="363">
        <v>599.20000000000005</v>
      </c>
      <c r="Y27" s="251">
        <v>599.20000000000005</v>
      </c>
      <c r="Z27" s="246" t="s">
        <v>146</v>
      </c>
      <c r="AA27" s="205">
        <f>V27/2000</f>
        <v>0.29960000000000003</v>
      </c>
      <c r="AB27" s="205">
        <f>W27/2000</f>
        <v>0.29960000000000003</v>
      </c>
      <c r="AC27" s="205">
        <f>X27/2000</f>
        <v>0.29960000000000003</v>
      </c>
      <c r="AD27" s="205">
        <f>Y27/2000</f>
        <v>0.29960000000000003</v>
      </c>
      <c r="AE27" s="206" t="s">
        <v>144</v>
      </c>
      <c r="AF27" s="207">
        <f t="shared" si="11"/>
        <v>599.20000000000005</v>
      </c>
      <c r="AG27" s="207">
        <f t="shared" si="11"/>
        <v>599.20000000000005</v>
      </c>
      <c r="AH27" s="207">
        <f t="shared" si="11"/>
        <v>599.20000000000005</v>
      </c>
      <c r="AI27" s="208">
        <f t="shared" si="11"/>
        <v>599.20000000000005</v>
      </c>
    </row>
    <row r="28" spans="1:35" x14ac:dyDescent="0.25">
      <c r="A28" s="587" t="s">
        <v>154</v>
      </c>
      <c r="B28" s="588"/>
      <c r="C28" s="589">
        <f>D15+L15+R15+Y15</f>
        <v>340.03281906762936</v>
      </c>
      <c r="D28" s="578"/>
      <c r="E28" s="590">
        <f>D16+L16+R16+Y16</f>
        <v>227821.98877531168</v>
      </c>
      <c r="F28" s="591"/>
      <c r="G28" s="592">
        <f>C28</f>
        <v>340.03281906762936</v>
      </c>
      <c r="H28" s="592"/>
      <c r="I28" s="202" t="s">
        <v>144</v>
      </c>
      <c r="J28" s="593">
        <f>((G28/0.38)*2000)/45000</f>
        <v>39.769920358787061</v>
      </c>
      <c r="K28" s="594"/>
      <c r="L28" s="203" t="s">
        <v>143</v>
      </c>
      <c r="M28" s="595">
        <f t="shared" si="9"/>
        <v>40</v>
      </c>
      <c r="N28" s="579"/>
      <c r="O28" s="586">
        <f>((M28*45000*0.38)/2000)*$Y$28</f>
        <v>229140</v>
      </c>
      <c r="P28" s="583"/>
      <c r="Q28" s="196"/>
      <c r="R28" s="584" t="s">
        <v>154</v>
      </c>
      <c r="S28" s="585"/>
      <c r="T28" s="585"/>
      <c r="U28" s="244" t="s">
        <v>144</v>
      </c>
      <c r="V28" s="250">
        <v>670</v>
      </c>
      <c r="W28" s="204">
        <v>670</v>
      </c>
      <c r="X28" s="204">
        <v>670</v>
      </c>
      <c r="Y28" s="251">
        <v>670</v>
      </c>
      <c r="Z28" s="246" t="s">
        <v>142</v>
      </c>
      <c r="AA28" s="205">
        <f>(V28/2000)*8.34*1.4*0.38</f>
        <v>1.4863548</v>
      </c>
      <c r="AB28" s="205">
        <f>(W28/2000)*8.34*1.4*0.38</f>
        <v>1.4863548</v>
      </c>
      <c r="AC28" s="205">
        <f>(X28/2000)*8.34*1.4*0.38</f>
        <v>1.4863548</v>
      </c>
      <c r="AD28" s="205">
        <f>(Y28/2000)*8.34*1.4*0.38</f>
        <v>1.4863548</v>
      </c>
      <c r="AE28" s="206" t="s">
        <v>144</v>
      </c>
      <c r="AF28" s="207">
        <f t="shared" si="11"/>
        <v>670</v>
      </c>
      <c r="AG28" s="207">
        <f t="shared" si="11"/>
        <v>670</v>
      </c>
      <c r="AH28" s="207">
        <f t="shared" si="11"/>
        <v>670</v>
      </c>
      <c r="AI28" s="208">
        <f t="shared" si="11"/>
        <v>670</v>
      </c>
    </row>
    <row r="29" spans="1:35" x14ac:dyDescent="0.25">
      <c r="A29" s="587" t="s">
        <v>155</v>
      </c>
      <c r="B29" s="588"/>
      <c r="C29" s="589">
        <f>I15</f>
        <v>8.9631010482673901</v>
      </c>
      <c r="D29" s="578"/>
      <c r="E29" s="590">
        <f>I16</f>
        <v>20230.999508946396</v>
      </c>
      <c r="F29" s="591"/>
      <c r="G29" s="592">
        <f>C29/0.35</f>
        <v>25.608860137906831</v>
      </c>
      <c r="H29" s="592"/>
      <c r="I29" s="202" t="s">
        <v>149</v>
      </c>
      <c r="J29" s="593">
        <f>(G29*2000)/45000</f>
        <v>1.1381715616847481</v>
      </c>
      <c r="K29" s="594"/>
      <c r="L29" s="203" t="s">
        <v>143</v>
      </c>
      <c r="M29" s="595">
        <f t="shared" si="9"/>
        <v>2</v>
      </c>
      <c r="N29" s="579"/>
      <c r="O29" s="586">
        <f>((M29*45000)/2000)*$Y$29</f>
        <v>35550</v>
      </c>
      <c r="P29" s="583"/>
      <c r="Q29" s="196"/>
      <c r="R29" s="584" t="s">
        <v>155</v>
      </c>
      <c r="S29" s="585"/>
      <c r="T29" s="585"/>
      <c r="U29" s="244" t="s">
        <v>149</v>
      </c>
      <c r="V29" s="250">
        <v>790</v>
      </c>
      <c r="W29" s="204">
        <v>790</v>
      </c>
      <c r="X29" s="204">
        <v>790</v>
      </c>
      <c r="Y29" s="251">
        <v>790</v>
      </c>
      <c r="Z29" s="246" t="s">
        <v>142</v>
      </c>
      <c r="AA29" s="205">
        <f>(V29/2000)*8.34*1.135</f>
        <v>3.7390305000000001</v>
      </c>
      <c r="AB29" s="205">
        <f>(W29/2000)*8.34*1.135</f>
        <v>3.7390305000000001</v>
      </c>
      <c r="AC29" s="205">
        <f>(X29/2000)*8.34*1.135</f>
        <v>3.7390305000000001</v>
      </c>
      <c r="AD29" s="205">
        <f>(Y29/2000)*8.34*1.135</f>
        <v>3.7390305000000001</v>
      </c>
      <c r="AE29" s="206" t="s">
        <v>144</v>
      </c>
      <c r="AF29" s="207">
        <f>V29/0.35</f>
        <v>2257.1428571428573</v>
      </c>
      <c r="AG29" s="207">
        <f>W29/0.35</f>
        <v>2257.1428571428573</v>
      </c>
      <c r="AH29" s="207">
        <f>X29/0.35</f>
        <v>2257.1428571428573</v>
      </c>
      <c r="AI29" s="208">
        <f>Y29/0.35</f>
        <v>2257.1428571428573</v>
      </c>
    </row>
    <row r="30" spans="1:35" x14ac:dyDescent="0.25">
      <c r="A30" s="587" t="s">
        <v>156</v>
      </c>
      <c r="B30" s="588"/>
      <c r="C30" s="589">
        <f>C15+Q15+AE15</f>
        <v>6.8396927442478352</v>
      </c>
      <c r="D30" s="578"/>
      <c r="E30" s="590">
        <f>C16+Q16+AE16</f>
        <v>43637.239708301189</v>
      </c>
      <c r="F30" s="591"/>
      <c r="G30" s="592">
        <f>C30*2000</f>
        <v>13679.385488495671</v>
      </c>
      <c r="H30" s="592"/>
      <c r="I30" s="202" t="s">
        <v>151</v>
      </c>
      <c r="J30" s="593">
        <f>G30/3300</f>
        <v>4.1452683298471733</v>
      </c>
      <c r="K30" s="594"/>
      <c r="L30" s="203" t="s">
        <v>157</v>
      </c>
      <c r="M30" s="595">
        <f t="shared" si="9"/>
        <v>5</v>
      </c>
      <c r="N30" s="579"/>
      <c r="O30" s="586">
        <f>M30*3300*$Y$30</f>
        <v>52635</v>
      </c>
      <c r="P30" s="583"/>
      <c r="Q30" s="196"/>
      <c r="R30" s="584" t="s">
        <v>156</v>
      </c>
      <c r="S30" s="585"/>
      <c r="T30" s="585"/>
      <c r="U30" s="244" t="s">
        <v>151</v>
      </c>
      <c r="V30" s="250">
        <v>3.19</v>
      </c>
      <c r="W30" s="204">
        <v>3.19</v>
      </c>
      <c r="X30" s="204">
        <v>3.19</v>
      </c>
      <c r="Y30" s="251">
        <v>3.19</v>
      </c>
      <c r="Z30" s="246" t="s">
        <v>142</v>
      </c>
      <c r="AA30" s="205">
        <f>(8.34*1.029*0.03)*V30</f>
        <v>0.82128400199999985</v>
      </c>
      <c r="AB30" s="205">
        <f>(8.34*1.029*0.03)*W30</f>
        <v>0.82128400199999985</v>
      </c>
      <c r="AC30" s="205">
        <f>(8.34*1.029*0.03)*X30</f>
        <v>0.82128400199999985</v>
      </c>
      <c r="AD30" s="205">
        <f>(8.34*1.029*0.03)*Y30</f>
        <v>0.82128400199999985</v>
      </c>
      <c r="AE30" s="206" t="s">
        <v>144</v>
      </c>
      <c r="AF30" s="207">
        <f>V30*2000</f>
        <v>6380</v>
      </c>
      <c r="AG30" s="207">
        <f>W30*2000</f>
        <v>6380</v>
      </c>
      <c r="AH30" s="207">
        <f>X30*2000</f>
        <v>6380</v>
      </c>
      <c r="AI30" s="208">
        <f>Y30*2000</f>
        <v>6380</v>
      </c>
    </row>
    <row r="31" spans="1:35" ht="15.75" thickBot="1" x14ac:dyDescent="0.3">
      <c r="A31" s="599" t="s">
        <v>158</v>
      </c>
      <c r="B31" s="600"/>
      <c r="C31" s="601">
        <f>E15+O15+AB15</f>
        <v>770.36449314208187</v>
      </c>
      <c r="D31" s="602"/>
      <c r="E31" s="603">
        <f>E16+O16+AB16</f>
        <v>708735.33369071526</v>
      </c>
      <c r="F31" s="604"/>
      <c r="G31" s="605">
        <f>(C31/0.5)*2000</f>
        <v>3081457.9725683276</v>
      </c>
      <c r="H31" s="605"/>
      <c r="I31" s="209" t="s">
        <v>146</v>
      </c>
      <c r="J31" s="606">
        <f>G31/45000</f>
        <v>68.476843834851721</v>
      </c>
      <c r="K31" s="607"/>
      <c r="L31" s="210" t="s">
        <v>143</v>
      </c>
      <c r="M31" s="608">
        <f t="shared" si="9"/>
        <v>69</v>
      </c>
      <c r="N31" s="609"/>
      <c r="O31" s="610">
        <f>M31*45000*$Y$31</f>
        <v>714150</v>
      </c>
      <c r="P31" s="611"/>
      <c r="Q31" s="196"/>
      <c r="R31" s="612" t="s">
        <v>158</v>
      </c>
      <c r="S31" s="613"/>
      <c r="T31" s="613"/>
      <c r="U31" s="245" t="s">
        <v>146</v>
      </c>
      <c r="V31" s="252">
        <v>0.24</v>
      </c>
      <c r="W31" s="253">
        <v>0.24</v>
      </c>
      <c r="X31" s="253">
        <v>0.24</v>
      </c>
      <c r="Y31" s="338">
        <v>0.23</v>
      </c>
      <c r="Z31" s="247" t="s">
        <v>142</v>
      </c>
      <c r="AA31" s="211">
        <f>V31*8.34*1.54</f>
        <v>3.0824639999999999</v>
      </c>
      <c r="AB31" s="211">
        <f>W31*8.34*1.54</f>
        <v>3.0824639999999999</v>
      </c>
      <c r="AC31" s="211">
        <f>X31*8.34*1.54</f>
        <v>3.0824639999999999</v>
      </c>
      <c r="AD31" s="211">
        <f>Y31*8.34*1.54</f>
        <v>2.9540280000000001</v>
      </c>
      <c r="AE31" s="212" t="s">
        <v>144</v>
      </c>
      <c r="AF31" s="213">
        <f>(V31*2000)/0.5</f>
        <v>960</v>
      </c>
      <c r="AG31" s="213">
        <f>(W31*2000)/0.5</f>
        <v>960</v>
      </c>
      <c r="AH31" s="213">
        <f>(X31*2000)/0.5</f>
        <v>960</v>
      </c>
      <c r="AI31" s="214">
        <f>(Y31*2000)/0.5</f>
        <v>920</v>
      </c>
    </row>
    <row r="32" spans="1:35" x14ac:dyDescent="0.25">
      <c r="F32" s="215"/>
    </row>
    <row r="34" spans="7:7" x14ac:dyDescent="0.25">
      <c r="G34" s="196"/>
    </row>
    <row r="35" spans="7:7" x14ac:dyDescent="0.25">
      <c r="G35" s="196"/>
    </row>
    <row r="36" spans="7:7" x14ac:dyDescent="0.25">
      <c r="G36" s="196"/>
    </row>
    <row r="37" spans="7:7" x14ac:dyDescent="0.25">
      <c r="G37" s="196"/>
    </row>
    <row r="38" spans="7:7" x14ac:dyDescent="0.25">
      <c r="G38" s="196"/>
    </row>
    <row r="39" spans="7:7" x14ac:dyDescent="0.25">
      <c r="G39" s="196"/>
    </row>
    <row r="40" spans="7:7" x14ac:dyDescent="0.25">
      <c r="G40" s="196"/>
    </row>
    <row r="41" spans="7:7" x14ac:dyDescent="0.25">
      <c r="G41" s="196"/>
    </row>
    <row r="42" spans="7:7" x14ac:dyDescent="0.25">
      <c r="G42" s="196"/>
    </row>
    <row r="43" spans="7:7" x14ac:dyDescent="0.25">
      <c r="G43" s="196"/>
    </row>
    <row r="44" spans="7:7" x14ac:dyDescent="0.25">
      <c r="G44" s="196"/>
    </row>
    <row r="45" spans="7:7" x14ac:dyDescent="0.25">
      <c r="G45" s="196"/>
    </row>
  </sheetData>
  <sheetProtection algorithmName="SHA-512" hashValue="2EayjlVK/jiX0nOT1EBhDb1/5+PQVk2Hp4dfOK+Vo6oxD1LONrS3BDQvoYTdtCrWiiZElgWs/L3NBKoO3z3QpA==" saltValue="en6K5Wr8WO4EuDl6JepXMg==" spinCount="100000" sheet="1" objects="1" scenarios="1" selectLockedCells="1" selectUnlockedCells="1"/>
  <mergeCells count="135">
    <mergeCell ref="AF11:AF17"/>
    <mergeCell ref="AG11:AG17"/>
    <mergeCell ref="AH11:AH17"/>
    <mergeCell ref="AI11:AI17"/>
    <mergeCell ref="O30:P30"/>
    <mergeCell ref="R30:T30"/>
    <mergeCell ref="A31:B31"/>
    <mergeCell ref="C31:D31"/>
    <mergeCell ref="E31:F31"/>
    <mergeCell ref="G31:H31"/>
    <mergeCell ref="J31:K31"/>
    <mergeCell ref="M31:N31"/>
    <mergeCell ref="O31:P31"/>
    <mergeCell ref="R31:T31"/>
    <mergeCell ref="A30:B30"/>
    <mergeCell ref="C30:D30"/>
    <mergeCell ref="E30:F30"/>
    <mergeCell ref="G30:H30"/>
    <mergeCell ref="J30:K30"/>
    <mergeCell ref="M30:N30"/>
    <mergeCell ref="O28:P28"/>
    <mergeCell ref="R28:T28"/>
    <mergeCell ref="A29:B29"/>
    <mergeCell ref="C29:D29"/>
    <mergeCell ref="E29:F29"/>
    <mergeCell ref="G29:H29"/>
    <mergeCell ref="J29:K29"/>
    <mergeCell ref="M29:N29"/>
    <mergeCell ref="O29:P29"/>
    <mergeCell ref="R29:T29"/>
    <mergeCell ref="A28:B28"/>
    <mergeCell ref="C28:D28"/>
    <mergeCell ref="E28:F28"/>
    <mergeCell ref="G28:H28"/>
    <mergeCell ref="J28:K28"/>
    <mergeCell ref="M28:N28"/>
    <mergeCell ref="O26:P26"/>
    <mergeCell ref="R26:T26"/>
    <mergeCell ref="A27:B27"/>
    <mergeCell ref="C27:D27"/>
    <mergeCell ref="E27:F27"/>
    <mergeCell ref="G27:H27"/>
    <mergeCell ref="J27:K27"/>
    <mergeCell ref="M27:N27"/>
    <mergeCell ref="O27:P27"/>
    <mergeCell ref="R27:T27"/>
    <mergeCell ref="A26:B26"/>
    <mergeCell ref="C26:D26"/>
    <mergeCell ref="E26:F26"/>
    <mergeCell ref="G26:H26"/>
    <mergeCell ref="J26:K26"/>
    <mergeCell ref="M26:N26"/>
    <mergeCell ref="O24:P24"/>
    <mergeCell ref="R24:T24"/>
    <mergeCell ref="A25:B25"/>
    <mergeCell ref="C25:D25"/>
    <mergeCell ref="E25:F25"/>
    <mergeCell ref="G25:H25"/>
    <mergeCell ref="J25:K25"/>
    <mergeCell ref="M25:N25"/>
    <mergeCell ref="O25:P25"/>
    <mergeCell ref="R25:T25"/>
    <mergeCell ref="A24:B24"/>
    <mergeCell ref="C24:D24"/>
    <mergeCell ref="E24:F24"/>
    <mergeCell ref="G24:H24"/>
    <mergeCell ref="J24:K24"/>
    <mergeCell ref="M24:N24"/>
    <mergeCell ref="O22:P22"/>
    <mergeCell ref="R22:T22"/>
    <mergeCell ref="A23:B23"/>
    <mergeCell ref="C23:D23"/>
    <mergeCell ref="E23:F23"/>
    <mergeCell ref="G23:H23"/>
    <mergeCell ref="J23:K23"/>
    <mergeCell ref="M23:N23"/>
    <mergeCell ref="O23:P23"/>
    <mergeCell ref="R23:T23"/>
    <mergeCell ref="A22:B22"/>
    <mergeCell ref="C22:D22"/>
    <mergeCell ref="E22:F22"/>
    <mergeCell ref="G22:H22"/>
    <mergeCell ref="J22:K22"/>
    <mergeCell ref="M22:N22"/>
    <mergeCell ref="Z20:AD20"/>
    <mergeCell ref="AE20:AI20"/>
    <mergeCell ref="A21:B21"/>
    <mergeCell ref="C21:D21"/>
    <mergeCell ref="E21:F21"/>
    <mergeCell ref="G21:I21"/>
    <mergeCell ref="J21:L21"/>
    <mergeCell ref="M21:N21"/>
    <mergeCell ref="O21:P21"/>
    <mergeCell ref="R21:T21"/>
    <mergeCell ref="O19:P19"/>
    <mergeCell ref="A20:B20"/>
    <mergeCell ref="C20:I20"/>
    <mergeCell ref="J20:P20"/>
    <mergeCell ref="S20:T20"/>
    <mergeCell ref="U20:Y20"/>
    <mergeCell ref="A13:B14"/>
    <mergeCell ref="A15:B15"/>
    <mergeCell ref="A16:B16"/>
    <mergeCell ref="A17:B17"/>
    <mergeCell ref="C17:E17"/>
    <mergeCell ref="G17:I17"/>
    <mergeCell ref="K17:L17"/>
    <mergeCell ref="M17:N17"/>
    <mergeCell ref="O17:Q17"/>
    <mergeCell ref="A10:B10"/>
    <mergeCell ref="A12:B12"/>
    <mergeCell ref="C12:AE12"/>
    <mergeCell ref="C11:E11"/>
    <mergeCell ref="G11:I11"/>
    <mergeCell ref="K11:L11"/>
    <mergeCell ref="Q3:V3"/>
    <mergeCell ref="W3:Y3"/>
    <mergeCell ref="Z3:AC3"/>
    <mergeCell ref="A5:B6"/>
    <mergeCell ref="A7:B7"/>
    <mergeCell ref="M11:N11"/>
    <mergeCell ref="O11:Q11"/>
    <mergeCell ref="AF7:AI9"/>
    <mergeCell ref="A8:B8"/>
    <mergeCell ref="A9:B9"/>
    <mergeCell ref="A1:B1"/>
    <mergeCell ref="C1:AI1"/>
    <mergeCell ref="A2:B4"/>
    <mergeCell ref="C2:P2"/>
    <mergeCell ref="Q2:AC2"/>
    <mergeCell ref="AD2:AE3"/>
    <mergeCell ref="AF2:AI3"/>
    <mergeCell ref="C3:I3"/>
    <mergeCell ref="J3:L3"/>
    <mergeCell ref="M3:P3"/>
  </mergeCells>
  <pageMargins left="0.7" right="0.7" top="0.75" bottom="0.75" header="0.3" footer="0.3"/>
  <pageSetup paperSize="17" scale="61" orientation="landscape" r:id="rId1"/>
  <ignoredErrors>
    <ignoredError sqref="J11 F11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W63"/>
  <sheetViews>
    <sheetView tabSelected="1" topLeftCell="A44" zoomScale="75" zoomScaleNormal="75" workbookViewId="0">
      <selection activeCell="E47" sqref="E47"/>
    </sheetView>
  </sheetViews>
  <sheetFormatPr defaultRowHeight="15" x14ac:dyDescent="0.25"/>
  <cols>
    <col min="1" max="1" width="36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7.4257812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37" t="s">
        <v>3</v>
      </c>
      <c r="C4" s="638"/>
      <c r="D4" s="638"/>
      <c r="E4" s="638"/>
      <c r="F4" s="638"/>
      <c r="G4" s="638"/>
      <c r="H4" s="639"/>
      <c r="I4" s="637" t="s">
        <v>4</v>
      </c>
      <c r="J4" s="638"/>
      <c r="K4" s="638"/>
      <c r="L4" s="638"/>
      <c r="M4" s="638"/>
      <c r="N4" s="639"/>
      <c r="O4" s="643" t="s">
        <v>5</v>
      </c>
      <c r="P4" s="644"/>
      <c r="Q4" s="645"/>
      <c r="R4" s="645"/>
      <c r="S4" s="645"/>
      <c r="T4" s="646"/>
      <c r="U4" s="637" t="s">
        <v>6</v>
      </c>
      <c r="V4" s="650"/>
      <c r="W4" s="650"/>
      <c r="X4" s="650"/>
      <c r="Y4" s="650"/>
      <c r="Z4" s="650"/>
      <c r="AA4" s="651"/>
      <c r="AB4" s="655" t="s">
        <v>7</v>
      </c>
      <c r="AC4" s="657" t="s">
        <v>8</v>
      </c>
      <c r="AD4" s="621" t="s">
        <v>222</v>
      </c>
      <c r="AE4" s="621" t="s">
        <v>221</v>
      </c>
      <c r="AF4" s="621" t="s">
        <v>27</v>
      </c>
      <c r="AG4" s="621" t="s">
        <v>31</v>
      </c>
      <c r="AH4" s="621" t="s">
        <v>32</v>
      </c>
      <c r="AI4" s="621" t="s">
        <v>33</v>
      </c>
      <c r="AJ4" s="655" t="s">
        <v>173</v>
      </c>
      <c r="AK4" s="655" t="s">
        <v>174</v>
      </c>
      <c r="AL4" s="655" t="s">
        <v>175</v>
      </c>
      <c r="AM4" s="655" t="s">
        <v>176</v>
      </c>
      <c r="AN4" s="655" t="s">
        <v>177</v>
      </c>
      <c r="AO4" s="655" t="s">
        <v>178</v>
      </c>
      <c r="AP4" s="655" t="s">
        <v>179</v>
      </c>
      <c r="AQ4" s="655" t="s">
        <v>182</v>
      </c>
      <c r="AR4" s="655" t="s">
        <v>180</v>
      </c>
      <c r="AS4" s="655" t="s">
        <v>181</v>
      </c>
    </row>
    <row r="5" spans="1:49" ht="30" customHeight="1" thickBot="1" x14ac:dyDescent="0.3">
      <c r="A5" s="13"/>
      <c r="B5" s="640"/>
      <c r="C5" s="641"/>
      <c r="D5" s="641"/>
      <c r="E5" s="641"/>
      <c r="F5" s="641"/>
      <c r="G5" s="641"/>
      <c r="H5" s="642"/>
      <c r="I5" s="640"/>
      <c r="J5" s="641"/>
      <c r="K5" s="641"/>
      <c r="L5" s="641"/>
      <c r="M5" s="641"/>
      <c r="N5" s="642"/>
      <c r="O5" s="647"/>
      <c r="P5" s="648"/>
      <c r="Q5" s="648"/>
      <c r="R5" s="648"/>
      <c r="S5" s="648"/>
      <c r="T5" s="649"/>
      <c r="U5" s="652"/>
      <c r="V5" s="653"/>
      <c r="W5" s="653"/>
      <c r="X5" s="653"/>
      <c r="Y5" s="653"/>
      <c r="Z5" s="653"/>
      <c r="AA5" s="654"/>
      <c r="AB5" s="656"/>
      <c r="AC5" s="658"/>
      <c r="AD5" s="622"/>
      <c r="AE5" s="622"/>
      <c r="AF5" s="636"/>
      <c r="AG5" s="636"/>
      <c r="AH5" s="636"/>
      <c r="AI5" s="636"/>
      <c r="AJ5" s="622"/>
      <c r="AK5" s="622"/>
      <c r="AL5" s="622"/>
      <c r="AM5" s="622"/>
      <c r="AN5" s="622"/>
      <c r="AO5" s="622"/>
      <c r="AP5" s="622"/>
      <c r="AQ5" s="622"/>
      <c r="AR5" s="622"/>
      <c r="AS5" s="622"/>
      <c r="AV5" t="s">
        <v>169</v>
      </c>
      <c r="AW5" s="336" t="s">
        <v>207</v>
      </c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2" t="s">
        <v>23</v>
      </c>
      <c r="AD7" s="407" t="s">
        <v>28</v>
      </c>
      <c r="AE7" s="407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43466</v>
      </c>
      <c r="B8" s="59"/>
      <c r="C8" s="60">
        <v>75.598013083139733</v>
      </c>
      <c r="D8" s="60">
        <v>829.99877274831192</v>
      </c>
      <c r="E8" s="60">
        <v>21.159407014151473</v>
      </c>
      <c r="F8" s="60">
        <v>0</v>
      </c>
      <c r="G8" s="60">
        <v>1693.9287197113065</v>
      </c>
      <c r="H8" s="61">
        <v>26.694363860289279</v>
      </c>
      <c r="I8" s="59">
        <v>118.86798605918879</v>
      </c>
      <c r="J8" s="60">
        <v>339.36097791989681</v>
      </c>
      <c r="K8" s="60">
        <v>18.402588325242185</v>
      </c>
      <c r="L8" s="60">
        <v>0</v>
      </c>
      <c r="M8" s="50">
        <v>0</v>
      </c>
      <c r="N8" s="61">
        <v>0</v>
      </c>
      <c r="O8" s="49">
        <v>0</v>
      </c>
      <c r="P8" s="60">
        <v>0</v>
      </c>
      <c r="Q8" s="50">
        <v>0</v>
      </c>
      <c r="R8" s="63">
        <v>0</v>
      </c>
      <c r="S8" s="60">
        <v>0</v>
      </c>
      <c r="T8" s="64">
        <v>0</v>
      </c>
      <c r="U8" s="65">
        <v>211.41917393549369</v>
      </c>
      <c r="V8" s="62">
        <v>158.53974018549764</v>
      </c>
      <c r="W8" s="62">
        <v>29.969254571978734</v>
      </c>
      <c r="X8" s="62">
        <v>22.473448102886945</v>
      </c>
      <c r="Y8" s="66">
        <v>62.846495456235651</v>
      </c>
      <c r="Z8" s="66">
        <v>47.127547022961515</v>
      </c>
      <c r="AA8" s="67">
        <v>0</v>
      </c>
      <c r="AB8" s="68">
        <v>58.725813052388524</v>
      </c>
      <c r="AC8" s="69">
        <v>0</v>
      </c>
      <c r="AD8" s="406">
        <v>8.3507524699064319</v>
      </c>
      <c r="AE8" s="406">
        <v>6.1013119929484665</v>
      </c>
      <c r="AF8" s="69">
        <v>14.006094259023669</v>
      </c>
      <c r="AG8" s="68">
        <v>7.9340750517483416</v>
      </c>
      <c r="AH8" s="68">
        <v>5.949631596329148</v>
      </c>
      <c r="AI8" s="68">
        <v>0.57146663011977372</v>
      </c>
      <c r="AJ8" s="69">
        <v>400.47592649459835</v>
      </c>
      <c r="AK8" s="69">
        <v>1420.2071979522705</v>
      </c>
      <c r="AL8" s="69">
        <v>2834.6983489990234</v>
      </c>
      <c r="AM8" s="69">
        <v>520.52519385019946</v>
      </c>
      <c r="AN8" s="69">
        <v>3906.6800537109375</v>
      </c>
      <c r="AO8" s="69">
        <v>2673.1881258646649</v>
      </c>
      <c r="AP8" s="69">
        <v>848.71023575464881</v>
      </c>
      <c r="AQ8" s="69">
        <v>1956.524907811483</v>
      </c>
      <c r="AR8" s="69">
        <v>502.45810872713719</v>
      </c>
      <c r="AS8" s="69">
        <v>517.45704097747807</v>
      </c>
    </row>
    <row r="9" spans="1:49" x14ac:dyDescent="0.25">
      <c r="A9" s="11">
        <v>43467</v>
      </c>
      <c r="B9" s="59"/>
      <c r="C9" s="60">
        <v>75.455522338549784</v>
      </c>
      <c r="D9" s="60">
        <v>815.01018231709895</v>
      </c>
      <c r="E9" s="60">
        <v>21.200411256651094</v>
      </c>
      <c r="F9" s="60">
        <v>0</v>
      </c>
      <c r="G9" s="60">
        <v>1679.1634674708107</v>
      </c>
      <c r="H9" s="61">
        <v>26.731783201297155</v>
      </c>
      <c r="I9" s="59">
        <v>117.68283409277592</v>
      </c>
      <c r="J9" s="60">
        <v>336.07524220148787</v>
      </c>
      <c r="K9" s="60">
        <v>18.187313487132378</v>
      </c>
      <c r="L9" s="60">
        <v>0</v>
      </c>
      <c r="M9" s="50">
        <v>0</v>
      </c>
      <c r="N9" s="61">
        <v>0</v>
      </c>
      <c r="O9" s="59">
        <v>0</v>
      </c>
      <c r="P9" s="60">
        <v>0</v>
      </c>
      <c r="Q9" s="60">
        <v>0</v>
      </c>
      <c r="R9" s="63">
        <v>0</v>
      </c>
      <c r="S9" s="60">
        <v>0</v>
      </c>
      <c r="T9" s="64">
        <v>0</v>
      </c>
      <c r="U9" s="65">
        <v>217.86874373978318</v>
      </c>
      <c r="V9" s="62">
        <v>163.37501736522697</v>
      </c>
      <c r="W9" s="62">
        <v>29.644090002475945</v>
      </c>
      <c r="X9" s="62">
        <v>22.229456303816288</v>
      </c>
      <c r="Y9" s="66">
        <v>63.697954446444541</v>
      </c>
      <c r="Z9" s="66">
        <v>47.765706246724193</v>
      </c>
      <c r="AA9" s="67">
        <v>0</v>
      </c>
      <c r="AB9" s="68">
        <v>58.401147715250538</v>
      </c>
      <c r="AC9" s="69">
        <v>0</v>
      </c>
      <c r="AD9" s="405">
        <v>8.2702525903407675</v>
      </c>
      <c r="AE9" s="405">
        <v>6.0965755931464596</v>
      </c>
      <c r="AF9" s="69">
        <v>14.12983027299245</v>
      </c>
      <c r="AG9" s="68">
        <v>8.0003022400360067</v>
      </c>
      <c r="AH9" s="68">
        <v>5.9992520953535839</v>
      </c>
      <c r="AI9" s="68">
        <v>0.57146835166116516</v>
      </c>
      <c r="AJ9" s="69">
        <v>369.72605431874587</v>
      </c>
      <c r="AK9" s="69">
        <v>1368.8997723897301</v>
      </c>
      <c r="AL9" s="69">
        <v>2782.145505523682</v>
      </c>
      <c r="AM9" s="69">
        <v>521.45635986328125</v>
      </c>
      <c r="AN9" s="69">
        <v>3906.6800537109375</v>
      </c>
      <c r="AO9" s="69">
        <v>2688.35365079244</v>
      </c>
      <c r="AP9" s="69">
        <v>792.12368024190255</v>
      </c>
      <c r="AQ9" s="69">
        <v>1940.3368874867754</v>
      </c>
      <c r="AR9" s="69">
        <v>466.00232642491665</v>
      </c>
      <c r="AS9" s="69">
        <v>645.75704294840489</v>
      </c>
    </row>
    <row r="10" spans="1:49" x14ac:dyDescent="0.25">
      <c r="A10" s="11">
        <v>43468</v>
      </c>
      <c r="B10" s="59"/>
      <c r="C10" s="60">
        <v>75.339958568412214</v>
      </c>
      <c r="D10" s="60">
        <v>813.20621757507536</v>
      </c>
      <c r="E10" s="60">
        <v>24.288033775488554</v>
      </c>
      <c r="F10" s="60">
        <v>0</v>
      </c>
      <c r="G10" s="60">
        <v>1600.7110003153477</v>
      </c>
      <c r="H10" s="61">
        <v>26.734689686695749</v>
      </c>
      <c r="I10" s="59">
        <v>117.91162951787278</v>
      </c>
      <c r="J10" s="60">
        <v>336.52093159357798</v>
      </c>
      <c r="K10" s="60">
        <v>18.271757585306972</v>
      </c>
      <c r="L10" s="60">
        <v>0</v>
      </c>
      <c r="M10" s="5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214.31154464829649</v>
      </c>
      <c r="V10" s="62">
        <v>154.02594980979609</v>
      </c>
      <c r="W10" s="62">
        <v>28.950288283057255</v>
      </c>
      <c r="X10" s="62">
        <v>20.806604970269149</v>
      </c>
      <c r="Y10" s="66">
        <v>63.449659028196173</v>
      </c>
      <c r="Z10" s="66">
        <v>45.601341789420495</v>
      </c>
      <c r="AA10" s="67">
        <v>0</v>
      </c>
      <c r="AB10" s="68">
        <v>58.408851594395649</v>
      </c>
      <c r="AC10" s="69">
        <v>0</v>
      </c>
      <c r="AD10" s="405">
        <v>8.2802261584743011</v>
      </c>
      <c r="AE10" s="405">
        <v>6.0964447879481485</v>
      </c>
      <c r="AF10" s="69">
        <v>13.543475319941823</v>
      </c>
      <c r="AG10" s="68">
        <v>7.8071592491798674</v>
      </c>
      <c r="AH10" s="68">
        <v>5.6110141926543298</v>
      </c>
      <c r="AI10" s="68">
        <v>0.58183472460113528</v>
      </c>
      <c r="AJ10" s="69">
        <v>338.53744834264114</v>
      </c>
      <c r="AK10" s="69">
        <v>1339.0329806645709</v>
      </c>
      <c r="AL10" s="69">
        <v>2792.7927871704105</v>
      </c>
      <c r="AM10" s="69">
        <v>521.45635986328125</v>
      </c>
      <c r="AN10" s="69">
        <v>3906.6800537109375</v>
      </c>
      <c r="AO10" s="69">
        <v>2629.8950772603353</v>
      </c>
      <c r="AP10" s="69">
        <v>729.33080212275183</v>
      </c>
      <c r="AQ10" s="69">
        <v>1951.3578369140623</v>
      </c>
      <c r="AR10" s="69">
        <v>430.62150378227233</v>
      </c>
      <c r="AS10" s="69">
        <v>609.14639285405474</v>
      </c>
    </row>
    <row r="11" spans="1:49" x14ac:dyDescent="0.25">
      <c r="A11" s="11">
        <v>43469</v>
      </c>
      <c r="B11" s="59"/>
      <c r="C11" s="60">
        <v>75.126360261439729</v>
      </c>
      <c r="D11" s="60">
        <v>814.59278119405076</v>
      </c>
      <c r="E11" s="60">
        <v>28.99251842449101</v>
      </c>
      <c r="F11" s="60">
        <v>0</v>
      </c>
      <c r="G11" s="60">
        <v>1589.8181348164912</v>
      </c>
      <c r="H11" s="61">
        <v>26.78985524972282</v>
      </c>
      <c r="I11" s="59">
        <v>117.08377486069971</v>
      </c>
      <c r="J11" s="60">
        <v>341.04934835433949</v>
      </c>
      <c r="K11" s="60">
        <v>18.542322707672913</v>
      </c>
      <c r="L11" s="60">
        <v>0</v>
      </c>
      <c r="M11" s="5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214.70292859672827</v>
      </c>
      <c r="V11" s="62">
        <v>159.9296804739426</v>
      </c>
      <c r="W11" s="62">
        <v>30.976915014324877</v>
      </c>
      <c r="X11" s="62">
        <v>23.07433882103528</v>
      </c>
      <c r="Y11" s="66">
        <v>64.873347232747591</v>
      </c>
      <c r="Z11" s="66">
        <v>48.323391590507406</v>
      </c>
      <c r="AA11" s="67">
        <v>0</v>
      </c>
      <c r="AB11" s="68">
        <v>59.043447248140808</v>
      </c>
      <c r="AC11" s="69">
        <v>0</v>
      </c>
      <c r="AD11" s="405">
        <v>8.3912415676565821</v>
      </c>
      <c r="AE11" s="405">
        <v>6.1047512635798018</v>
      </c>
      <c r="AF11" s="69">
        <v>13.734392744965021</v>
      </c>
      <c r="AG11" s="68">
        <v>7.7865796395520492</v>
      </c>
      <c r="AH11" s="68">
        <v>5.8001313809626485</v>
      </c>
      <c r="AI11" s="68">
        <v>0.57310261679924024</v>
      </c>
      <c r="AJ11" s="69">
        <v>313.74149266878766</v>
      </c>
      <c r="AK11" s="69">
        <v>1294.8662490208947</v>
      </c>
      <c r="AL11" s="69">
        <v>2792.3768989562991</v>
      </c>
      <c r="AM11" s="69">
        <v>521.45635986328125</v>
      </c>
      <c r="AN11" s="69">
        <v>3906.6800537109375</v>
      </c>
      <c r="AO11" s="69">
        <v>2620.0783133188884</v>
      </c>
      <c r="AP11" s="69">
        <v>692.393138472239</v>
      </c>
      <c r="AQ11" s="69">
        <v>1958.1464318593344</v>
      </c>
      <c r="AR11" s="69">
        <v>399.65284423828126</v>
      </c>
      <c r="AS11" s="69">
        <v>567.6795604705809</v>
      </c>
    </row>
    <row r="12" spans="1:49" x14ac:dyDescent="0.25">
      <c r="A12" s="11">
        <v>43470</v>
      </c>
      <c r="B12" s="59"/>
      <c r="C12" s="60">
        <v>75.329889750480717</v>
      </c>
      <c r="D12" s="60">
        <v>814.98187109629271</v>
      </c>
      <c r="E12" s="60">
        <v>30.336403072376896</v>
      </c>
      <c r="F12" s="60">
        <v>0</v>
      </c>
      <c r="G12" s="60">
        <v>1631.1995308558205</v>
      </c>
      <c r="H12" s="61">
        <v>26.802286607027067</v>
      </c>
      <c r="I12" s="59">
        <v>114.0111282904942</v>
      </c>
      <c r="J12" s="60">
        <v>341.02464952468927</v>
      </c>
      <c r="K12" s="60">
        <v>18.743799972037493</v>
      </c>
      <c r="L12" s="60">
        <v>0</v>
      </c>
      <c r="M12" s="5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212.85534375444985</v>
      </c>
      <c r="V12" s="62">
        <v>155.87997578578586</v>
      </c>
      <c r="W12" s="62">
        <v>31.248923237130747</v>
      </c>
      <c r="X12" s="62">
        <v>22.884468445176111</v>
      </c>
      <c r="Y12" s="66">
        <v>64.827160385852864</v>
      </c>
      <c r="Z12" s="66">
        <v>47.474759209547656</v>
      </c>
      <c r="AA12" s="67">
        <v>0</v>
      </c>
      <c r="AB12" s="68">
        <v>59.353248993555404</v>
      </c>
      <c r="AC12" s="69">
        <v>0</v>
      </c>
      <c r="AD12" s="405">
        <v>8.3914253002817389</v>
      </c>
      <c r="AE12" s="405">
        <v>6.1083220712173381</v>
      </c>
      <c r="AF12" s="69">
        <v>13.730699434545311</v>
      </c>
      <c r="AG12" s="68">
        <v>7.8005973346971844</v>
      </c>
      <c r="AH12" s="68">
        <v>5.7125975895159673</v>
      </c>
      <c r="AI12" s="68">
        <v>0.57725781197161252</v>
      </c>
      <c r="AJ12" s="69">
        <v>304.94645244280508</v>
      </c>
      <c r="AK12" s="69">
        <v>1287.2733205795291</v>
      </c>
      <c r="AL12" s="69">
        <v>2837.3825162251792</v>
      </c>
      <c r="AM12" s="69">
        <v>521.45635986328125</v>
      </c>
      <c r="AN12" s="69">
        <v>3906.6800537109375</v>
      </c>
      <c r="AO12" s="69">
        <v>2497.4603991190597</v>
      </c>
      <c r="AP12" s="69">
        <v>626.37396399180091</v>
      </c>
      <c r="AQ12" s="69">
        <v>1919.0026708602907</v>
      </c>
      <c r="AR12" s="69">
        <v>388.21465802192688</v>
      </c>
      <c r="AS12" s="69">
        <v>605.29958505630498</v>
      </c>
    </row>
    <row r="13" spans="1:49" x14ac:dyDescent="0.25">
      <c r="A13" s="11">
        <v>43471</v>
      </c>
      <c r="B13" s="59"/>
      <c r="C13" s="60">
        <v>75.260418196518941</v>
      </c>
      <c r="D13" s="60">
        <v>820.44005114237666</v>
      </c>
      <c r="E13" s="60">
        <v>30.393435593942716</v>
      </c>
      <c r="F13" s="60">
        <v>0</v>
      </c>
      <c r="G13" s="60">
        <v>1610.831481742862</v>
      </c>
      <c r="H13" s="61">
        <v>26.875483129421958</v>
      </c>
      <c r="I13" s="59">
        <v>113.45119060675304</v>
      </c>
      <c r="J13" s="60">
        <v>339.17113620440261</v>
      </c>
      <c r="K13" s="60">
        <v>18.263246484100812</v>
      </c>
      <c r="L13" s="60">
        <v>0</v>
      </c>
      <c r="M13" s="5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216.03802968316234</v>
      </c>
      <c r="V13" s="62">
        <v>162.00024491231159</v>
      </c>
      <c r="W13" s="62">
        <v>31.72626763247624</v>
      </c>
      <c r="X13" s="62">
        <v>23.790548053749777</v>
      </c>
      <c r="Y13" s="66">
        <v>65.077298824625601</v>
      </c>
      <c r="Z13" s="66">
        <v>48.799456110956662</v>
      </c>
      <c r="AA13" s="67">
        <v>0</v>
      </c>
      <c r="AB13" s="68">
        <v>59.720248892570936</v>
      </c>
      <c r="AC13" s="69">
        <v>0</v>
      </c>
      <c r="AD13" s="405">
        <v>8.3462436848783046</v>
      </c>
      <c r="AE13" s="405">
        <v>6.1239882690245828</v>
      </c>
      <c r="AF13" s="69">
        <v>14.099391309420263</v>
      </c>
      <c r="AG13" s="68">
        <v>7.9323461728602869</v>
      </c>
      <c r="AH13" s="68">
        <v>5.9482213599949239</v>
      </c>
      <c r="AI13" s="68">
        <v>0.57147131441740229</v>
      </c>
      <c r="AJ13" s="69">
        <v>306.79087656339004</v>
      </c>
      <c r="AK13" s="69">
        <v>1290.4737741470333</v>
      </c>
      <c r="AL13" s="69">
        <v>2782.4701002756756</v>
      </c>
      <c r="AM13" s="69">
        <v>521.45635986328125</v>
      </c>
      <c r="AN13" s="69">
        <v>3906.6800537109375</v>
      </c>
      <c r="AO13" s="69">
        <v>2502.673596191406</v>
      </c>
      <c r="AP13" s="69">
        <v>587.95423262914028</v>
      </c>
      <c r="AQ13" s="69">
        <v>1911.706376838684</v>
      </c>
      <c r="AR13" s="69">
        <v>390.15872656504314</v>
      </c>
      <c r="AS13" s="69">
        <v>594.53092727661135</v>
      </c>
    </row>
    <row r="14" spans="1:49" x14ac:dyDescent="0.25">
      <c r="A14" s="11">
        <v>43472</v>
      </c>
      <c r="B14" s="59"/>
      <c r="C14" s="60">
        <v>75.854619836807714</v>
      </c>
      <c r="D14" s="60">
        <v>829.4995758056657</v>
      </c>
      <c r="E14" s="60">
        <v>30.372855218748157</v>
      </c>
      <c r="F14" s="60">
        <v>0</v>
      </c>
      <c r="G14" s="60">
        <v>1664.267901802066</v>
      </c>
      <c r="H14" s="61">
        <v>27.028173923492478</v>
      </c>
      <c r="I14" s="59">
        <v>113.55079989433287</v>
      </c>
      <c r="J14" s="60">
        <v>343.0040517807011</v>
      </c>
      <c r="K14" s="60">
        <v>18.631505683064475</v>
      </c>
      <c r="L14" s="60">
        <v>0</v>
      </c>
      <c r="M14" s="5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212.64539663352738</v>
      </c>
      <c r="V14" s="62">
        <v>159.23329518810127</v>
      </c>
      <c r="W14" s="62">
        <v>31.056638185601717</v>
      </c>
      <c r="X14" s="62">
        <v>23.255856529453165</v>
      </c>
      <c r="Y14" s="66">
        <v>64.735272324447848</v>
      </c>
      <c r="Z14" s="66">
        <v>48.475118155911595</v>
      </c>
      <c r="AA14" s="67">
        <v>0</v>
      </c>
      <c r="AB14" s="68">
        <v>59.928708412911355</v>
      </c>
      <c r="AC14" s="69">
        <v>0</v>
      </c>
      <c r="AD14" s="405">
        <v>8.4386261400750442</v>
      </c>
      <c r="AE14" s="405">
        <v>6.1618703248089846</v>
      </c>
      <c r="AF14" s="69">
        <v>13.888439405626713</v>
      </c>
      <c r="AG14" s="68">
        <v>7.8092774955428386</v>
      </c>
      <c r="AH14" s="68">
        <v>5.8477493909572313</v>
      </c>
      <c r="AI14" s="68">
        <v>0.57181387724016897</v>
      </c>
      <c r="AJ14" s="69">
        <v>327.15160932540897</v>
      </c>
      <c r="AK14" s="69">
        <v>1316.3960029602054</v>
      </c>
      <c r="AL14" s="69">
        <v>2808.4391910552981</v>
      </c>
      <c r="AM14" s="69">
        <v>521.45635986328125</v>
      </c>
      <c r="AN14" s="69">
        <v>3906.6800537109375</v>
      </c>
      <c r="AO14" s="69">
        <v>2583.0775577545164</v>
      </c>
      <c r="AP14" s="69">
        <v>612.9568068504334</v>
      </c>
      <c r="AQ14" s="69">
        <v>1950.8960081736248</v>
      </c>
      <c r="AR14" s="69">
        <v>406.26941870053605</v>
      </c>
      <c r="AS14" s="69">
        <v>649.11485862731945</v>
      </c>
    </row>
    <row r="15" spans="1:49" x14ac:dyDescent="0.25">
      <c r="A15" s="11">
        <v>43473</v>
      </c>
      <c r="B15" s="59"/>
      <c r="C15" s="60">
        <v>75.641354191302625</v>
      </c>
      <c r="D15" s="60">
        <v>813.32247428894118</v>
      </c>
      <c r="E15" s="60">
        <v>30.19765314112097</v>
      </c>
      <c r="F15" s="60">
        <v>0</v>
      </c>
      <c r="G15" s="60">
        <v>1685.5631052017213</v>
      </c>
      <c r="H15" s="61">
        <v>26.789819236596447</v>
      </c>
      <c r="I15" s="59">
        <v>108.31404629548344</v>
      </c>
      <c r="J15" s="60">
        <v>339.57907144228653</v>
      </c>
      <c r="K15" s="60">
        <v>18.511151467760413</v>
      </c>
      <c r="L15" s="60">
        <v>0</v>
      </c>
      <c r="M15" s="5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214.94391762289263</v>
      </c>
      <c r="V15" s="62">
        <v>161.26200497012013</v>
      </c>
      <c r="W15" s="62">
        <v>31.838646387682488</v>
      </c>
      <c r="X15" s="62">
        <v>23.886993448311067</v>
      </c>
      <c r="Y15" s="66">
        <v>65.03285085442451</v>
      </c>
      <c r="Z15" s="66">
        <v>48.790996431481858</v>
      </c>
      <c r="AA15" s="67">
        <v>0</v>
      </c>
      <c r="AB15" s="68">
        <v>59.716422396235096</v>
      </c>
      <c r="AC15" s="69">
        <v>0</v>
      </c>
      <c r="AD15" s="405">
        <v>8.3567258489056755</v>
      </c>
      <c r="AE15" s="405">
        <v>6.1053907414952135</v>
      </c>
      <c r="AF15" s="69">
        <v>14.213185292482375</v>
      </c>
      <c r="AG15" s="68">
        <v>7.9985106875407919</v>
      </c>
      <c r="AH15" s="68">
        <v>6.0008949520997534</v>
      </c>
      <c r="AI15" s="68">
        <v>0.5713464480872178</v>
      </c>
      <c r="AJ15" s="69">
        <v>335.6590806166331</v>
      </c>
      <c r="AK15" s="69">
        <v>1331.3941633224483</v>
      </c>
      <c r="AL15" s="69">
        <v>2812.2346420288086</v>
      </c>
      <c r="AM15" s="69">
        <v>521.45635986328125</v>
      </c>
      <c r="AN15" s="69">
        <v>3906.6800537109375</v>
      </c>
      <c r="AO15" s="69">
        <v>2560.3615872701007</v>
      </c>
      <c r="AP15" s="69">
        <v>630.80339794158942</v>
      </c>
      <c r="AQ15" s="69">
        <v>1960.1996153513594</v>
      </c>
      <c r="AR15" s="69">
        <v>415.34594594637559</v>
      </c>
      <c r="AS15" s="69">
        <v>641.35692739486717</v>
      </c>
    </row>
    <row r="16" spans="1:49" x14ac:dyDescent="0.25">
      <c r="A16" s="11">
        <v>43474</v>
      </c>
      <c r="B16" s="49"/>
      <c r="C16" s="50">
        <v>74.927073395252165</v>
      </c>
      <c r="D16" s="50">
        <v>806.88917831580045</v>
      </c>
      <c r="E16" s="50">
        <v>30.123585786421973</v>
      </c>
      <c r="F16" s="50">
        <v>0</v>
      </c>
      <c r="G16" s="50">
        <v>1645.4697514216132</v>
      </c>
      <c r="H16" s="51">
        <v>26.688157345851263</v>
      </c>
      <c r="I16" s="49">
        <v>108.25484866301227</v>
      </c>
      <c r="J16" s="50">
        <v>339.95969578425132</v>
      </c>
      <c r="K16" s="50">
        <v>18.565994014342646</v>
      </c>
      <c r="L16" s="60">
        <v>0</v>
      </c>
      <c r="M16" s="50">
        <v>0</v>
      </c>
      <c r="N16" s="51">
        <v>0</v>
      </c>
      <c r="O16" s="49">
        <v>0</v>
      </c>
      <c r="P16" s="50">
        <v>0</v>
      </c>
      <c r="Q16" s="50">
        <v>0</v>
      </c>
      <c r="R16" s="70">
        <v>0</v>
      </c>
      <c r="S16" s="50">
        <v>0</v>
      </c>
      <c r="T16" s="52">
        <v>0</v>
      </c>
      <c r="U16" s="71">
        <v>209.77437147118874</v>
      </c>
      <c r="V16" s="66">
        <v>157.33445258056415</v>
      </c>
      <c r="W16" s="62">
        <v>31.138295446258102</v>
      </c>
      <c r="X16" s="62">
        <v>23.354266939142075</v>
      </c>
      <c r="Y16" s="66">
        <v>64.452356975116018</v>
      </c>
      <c r="Z16" s="66">
        <v>48.34039654648533</v>
      </c>
      <c r="AA16" s="67">
        <v>0</v>
      </c>
      <c r="AB16" s="68">
        <v>59.719327521322754</v>
      </c>
      <c r="AC16" s="69">
        <v>0</v>
      </c>
      <c r="AD16" s="405">
        <v>8.3658712614971851</v>
      </c>
      <c r="AE16" s="405">
        <v>6.1136893991999006</v>
      </c>
      <c r="AF16" s="69">
        <v>14.073369846741388</v>
      </c>
      <c r="AG16" s="68">
        <v>7.9237288851954997</v>
      </c>
      <c r="AH16" s="68">
        <v>5.9429354396624241</v>
      </c>
      <c r="AI16" s="68">
        <v>0.57142285264604797</v>
      </c>
      <c r="AJ16" s="69">
        <v>327.644256178538</v>
      </c>
      <c r="AK16" s="69">
        <v>1315.7350982666014</v>
      </c>
      <c r="AL16" s="69">
        <v>2826.0258593241374</v>
      </c>
      <c r="AM16" s="69">
        <v>521.45635986328125</v>
      </c>
      <c r="AN16" s="69">
        <v>3906.6800537109375</v>
      </c>
      <c r="AO16" s="69">
        <v>2609.6394632975257</v>
      </c>
      <c r="AP16" s="69">
        <v>626.78147487640388</v>
      </c>
      <c r="AQ16" s="69">
        <v>1953.0368904113768</v>
      </c>
      <c r="AR16" s="69">
        <v>416.02041325569149</v>
      </c>
      <c r="AS16" s="69">
        <v>645.24581012725832</v>
      </c>
    </row>
    <row r="17" spans="1:45" x14ac:dyDescent="0.25">
      <c r="A17" s="11">
        <v>43475</v>
      </c>
      <c r="B17" s="59"/>
      <c r="C17" s="60">
        <v>75.218494145074132</v>
      </c>
      <c r="D17" s="60">
        <v>812.87227007548029</v>
      </c>
      <c r="E17" s="60">
        <v>29.939920713007307</v>
      </c>
      <c r="F17" s="60">
        <v>0</v>
      </c>
      <c r="G17" s="60">
        <v>1925.1151826222736</v>
      </c>
      <c r="H17" s="61">
        <v>26.721776610612885</v>
      </c>
      <c r="I17" s="59">
        <v>109.32998689810442</v>
      </c>
      <c r="J17" s="60">
        <v>343.01338152885501</v>
      </c>
      <c r="K17" s="60">
        <v>18.723360511163872</v>
      </c>
      <c r="L17" s="60">
        <v>0</v>
      </c>
      <c r="M17" s="60">
        <v>0</v>
      </c>
      <c r="N17" s="61">
        <v>0</v>
      </c>
      <c r="O17" s="59">
        <v>0</v>
      </c>
      <c r="P17" s="60">
        <v>0</v>
      </c>
      <c r="Q17" s="60">
        <v>0</v>
      </c>
      <c r="R17" s="63">
        <v>0</v>
      </c>
      <c r="S17" s="60">
        <v>0</v>
      </c>
      <c r="T17" s="64">
        <v>0</v>
      </c>
      <c r="U17" s="65">
        <v>203.83466800001176</v>
      </c>
      <c r="V17" s="62">
        <v>152.45458510769336</v>
      </c>
      <c r="W17" s="62">
        <v>29.767298174671939</v>
      </c>
      <c r="X17" s="62">
        <v>22.263931535907059</v>
      </c>
      <c r="Y17" s="66">
        <v>63.419272881946348</v>
      </c>
      <c r="Z17" s="66">
        <v>47.433339136638715</v>
      </c>
      <c r="AA17" s="67">
        <v>0</v>
      </c>
      <c r="AB17" s="68">
        <v>59.800441161791134</v>
      </c>
      <c r="AC17" s="69">
        <v>0</v>
      </c>
      <c r="AD17" s="405">
        <v>8.4355488870299133</v>
      </c>
      <c r="AE17" s="405">
        <v>6.0913888039939419</v>
      </c>
      <c r="AF17" s="69">
        <v>13.709919576512448</v>
      </c>
      <c r="AG17" s="68">
        <v>7.7298905653787413</v>
      </c>
      <c r="AH17" s="68">
        <v>5.7814368411197901</v>
      </c>
      <c r="AI17" s="68">
        <v>0.57210445227320172</v>
      </c>
      <c r="AJ17" s="69">
        <v>307.58299632072453</v>
      </c>
      <c r="AK17" s="69">
        <v>1287.4127077738447</v>
      </c>
      <c r="AL17" s="69">
        <v>2831.6552080790198</v>
      </c>
      <c r="AM17" s="69">
        <v>521.45635986328125</v>
      </c>
      <c r="AN17" s="69">
        <v>3906.6800537109375</v>
      </c>
      <c r="AO17" s="69">
        <v>2663.0867912292488</v>
      </c>
      <c r="AP17" s="69">
        <v>595.11738888422644</v>
      </c>
      <c r="AQ17" s="69">
        <v>1951.4969551086424</v>
      </c>
      <c r="AR17" s="69">
        <v>390.68979667027787</v>
      </c>
      <c r="AS17" s="69">
        <v>685.01859776179015</v>
      </c>
    </row>
    <row r="18" spans="1:45" x14ac:dyDescent="0.25">
      <c r="A18" s="11">
        <v>43476</v>
      </c>
      <c r="B18" s="59"/>
      <c r="C18" s="60">
        <v>75.199776240190175</v>
      </c>
      <c r="D18" s="60">
        <v>814.64582157135055</v>
      </c>
      <c r="E18" s="60">
        <v>29.788850227494947</v>
      </c>
      <c r="F18" s="60">
        <v>0</v>
      </c>
      <c r="G18" s="60">
        <v>2180.7860075632743</v>
      </c>
      <c r="H18" s="61">
        <v>26.843860979874965</v>
      </c>
      <c r="I18" s="59">
        <v>106.51968818902935</v>
      </c>
      <c r="J18" s="60">
        <v>335.14187426567162</v>
      </c>
      <c r="K18" s="60">
        <v>18.111933705707386</v>
      </c>
      <c r="L18" s="6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211.49480358987253</v>
      </c>
      <c r="V18" s="62">
        <v>155.97395639192123</v>
      </c>
      <c r="W18" s="62">
        <v>32.154427063789974</v>
      </c>
      <c r="X18" s="62">
        <v>23.713363730582671</v>
      </c>
      <c r="Y18" s="66">
        <v>64.615271894670329</v>
      </c>
      <c r="Z18" s="66">
        <v>47.652705549660347</v>
      </c>
      <c r="AA18" s="67">
        <v>0</v>
      </c>
      <c r="AB18" s="68">
        <v>58.510164438353627</v>
      </c>
      <c r="AC18" s="69">
        <v>0</v>
      </c>
      <c r="AD18" s="405">
        <v>8.2609722227696878</v>
      </c>
      <c r="AE18" s="405">
        <v>6.1280402456541685</v>
      </c>
      <c r="AF18" s="69">
        <v>14.206895093123151</v>
      </c>
      <c r="AG18" s="68">
        <v>7.896374135496143</v>
      </c>
      <c r="AH18" s="68">
        <v>5.8234466954210644</v>
      </c>
      <c r="AI18" s="68">
        <v>0.57554498945801824</v>
      </c>
      <c r="AJ18" s="69">
        <v>329.09176789919536</v>
      </c>
      <c r="AK18" s="69">
        <v>1312.5389624595641</v>
      </c>
      <c r="AL18" s="69">
        <v>2835.7699896494541</v>
      </c>
      <c r="AM18" s="69">
        <v>457.14662785530095</v>
      </c>
      <c r="AN18" s="69">
        <v>3141.726286570231</v>
      </c>
      <c r="AO18" s="69">
        <v>2853.2294329325359</v>
      </c>
      <c r="AP18" s="69">
        <v>627.05713876088453</v>
      </c>
      <c r="AQ18" s="69">
        <v>1996.1670316060383</v>
      </c>
      <c r="AR18" s="69">
        <v>417.64269825617475</v>
      </c>
      <c r="AS18" s="69">
        <v>660.53468901316319</v>
      </c>
    </row>
    <row r="19" spans="1:45" x14ac:dyDescent="0.25">
      <c r="A19" s="11">
        <v>43477</v>
      </c>
      <c r="B19" s="59"/>
      <c r="C19" s="60">
        <v>75.28010202248953</v>
      </c>
      <c r="D19" s="60">
        <v>811.70668869018812</v>
      </c>
      <c r="E19" s="60">
        <v>29.691493345300245</v>
      </c>
      <c r="F19" s="60">
        <v>0</v>
      </c>
      <c r="G19" s="60">
        <v>2230.2665639241527</v>
      </c>
      <c r="H19" s="61">
        <v>26.676135057210978</v>
      </c>
      <c r="I19" s="59">
        <v>107.14828547636654</v>
      </c>
      <c r="J19" s="60">
        <v>336.45184448560127</v>
      </c>
      <c r="K19" s="60">
        <v>18.262775612374138</v>
      </c>
      <c r="L19" s="6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208.87726420922166</v>
      </c>
      <c r="V19" s="62">
        <v>156.67063507937979</v>
      </c>
      <c r="W19" s="62">
        <v>31.826913664446973</v>
      </c>
      <c r="X19" s="62">
        <v>23.87211837201647</v>
      </c>
      <c r="Y19" s="66">
        <v>63.673062808108952</v>
      </c>
      <c r="Z19" s="66">
        <v>47.758664521781185</v>
      </c>
      <c r="AA19" s="67">
        <v>0</v>
      </c>
      <c r="AB19" s="68">
        <v>59.720293471547002</v>
      </c>
      <c r="AC19" s="69">
        <v>0</v>
      </c>
      <c r="AD19" s="405">
        <v>8.2792874181491705</v>
      </c>
      <c r="AE19" s="405">
        <v>6.0829095581201313</v>
      </c>
      <c r="AF19" s="69">
        <v>13.937326103448868</v>
      </c>
      <c r="AG19" s="68">
        <v>7.8874120587621217</v>
      </c>
      <c r="AH19" s="68">
        <v>5.9160381148101262</v>
      </c>
      <c r="AI19" s="68">
        <v>0.57140873908924383</v>
      </c>
      <c r="AJ19" s="69">
        <v>339.35440130233769</v>
      </c>
      <c r="AK19" s="69">
        <v>1334.0430622736615</v>
      </c>
      <c r="AL19" s="69">
        <v>2823.7328188578281</v>
      </c>
      <c r="AM19" s="69">
        <v>185.58645629882813</v>
      </c>
      <c r="AN19" s="69">
        <v>1122.6849060058594</v>
      </c>
      <c r="AO19" s="69">
        <v>2566.7383358001707</v>
      </c>
      <c r="AP19" s="69">
        <v>649.53059857686344</v>
      </c>
      <c r="AQ19" s="69">
        <v>1940.9742652893065</v>
      </c>
      <c r="AR19" s="69">
        <v>426.96013828913368</v>
      </c>
      <c r="AS19" s="69">
        <v>564.88794485727931</v>
      </c>
    </row>
    <row r="20" spans="1:45" x14ac:dyDescent="0.25">
      <c r="A20" s="11">
        <v>43478</v>
      </c>
      <c r="B20" s="59"/>
      <c r="C20" s="60">
        <v>74.219923454523069</v>
      </c>
      <c r="D20" s="60">
        <v>807.57049191792885</v>
      </c>
      <c r="E20" s="60">
        <v>29.580764639874239</v>
      </c>
      <c r="F20" s="60">
        <v>0</v>
      </c>
      <c r="G20" s="60">
        <v>2127.5225683848043</v>
      </c>
      <c r="H20" s="61">
        <v>26.698715845743855</v>
      </c>
      <c r="I20" s="59">
        <v>107.85825297037768</v>
      </c>
      <c r="J20" s="60">
        <v>339.46255348523499</v>
      </c>
      <c r="K20" s="60">
        <v>18.408678186436486</v>
      </c>
      <c r="L20" s="6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208.91414137111576</v>
      </c>
      <c r="V20" s="62">
        <v>156.61816335029374</v>
      </c>
      <c r="W20" s="62">
        <v>30.934425740583961</v>
      </c>
      <c r="X20" s="62">
        <v>23.190832903837887</v>
      </c>
      <c r="Y20" s="66">
        <v>62.710972022254431</v>
      </c>
      <c r="Z20" s="66">
        <v>47.012984356046466</v>
      </c>
      <c r="AA20" s="67">
        <v>0</v>
      </c>
      <c r="AB20" s="68">
        <v>59.64747705194641</v>
      </c>
      <c r="AC20" s="69">
        <v>0</v>
      </c>
      <c r="AD20" s="405">
        <v>8.3639144290288883</v>
      </c>
      <c r="AE20" s="405">
        <v>6.0800588564095062</v>
      </c>
      <c r="AF20" s="69">
        <v>13.926814462078932</v>
      </c>
      <c r="AG20" s="68">
        <v>7.8595459673409813</v>
      </c>
      <c r="AH20" s="68">
        <v>5.892122218694106</v>
      </c>
      <c r="AI20" s="68">
        <v>0.57153400307625257</v>
      </c>
      <c r="AJ20" s="69">
        <v>339.19015620549521</v>
      </c>
      <c r="AK20" s="69">
        <v>1327.0641484260561</v>
      </c>
      <c r="AL20" s="69">
        <v>2801.2860257466637</v>
      </c>
      <c r="AM20" s="69">
        <v>442.26705129941303</v>
      </c>
      <c r="AN20" s="69">
        <v>1126.893642171224</v>
      </c>
      <c r="AO20" s="69">
        <v>2520.5181377410881</v>
      </c>
      <c r="AP20" s="69">
        <v>647.64970703125016</v>
      </c>
      <c r="AQ20" s="69">
        <v>1959.343823750814</v>
      </c>
      <c r="AR20" s="69">
        <v>426.01599904696155</v>
      </c>
      <c r="AS20" s="69">
        <v>580.58131920496623</v>
      </c>
    </row>
    <row r="21" spans="1:45" x14ac:dyDescent="0.25">
      <c r="A21" s="11">
        <v>43479</v>
      </c>
      <c r="B21" s="59"/>
      <c r="C21" s="60">
        <v>74.775718092918524</v>
      </c>
      <c r="D21" s="60">
        <v>830.46411425272697</v>
      </c>
      <c r="E21" s="60">
        <v>30.026608565449614</v>
      </c>
      <c r="F21" s="60">
        <v>0</v>
      </c>
      <c r="G21" s="60">
        <v>2227.5351782480884</v>
      </c>
      <c r="H21" s="61">
        <v>26.677758526802059</v>
      </c>
      <c r="I21" s="59">
        <v>106.6520865201949</v>
      </c>
      <c r="J21" s="60">
        <v>335.05390990575205</v>
      </c>
      <c r="K21" s="60">
        <v>18.067323036491874</v>
      </c>
      <c r="L21" s="6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216.28344083147343</v>
      </c>
      <c r="V21" s="62">
        <v>162.07075306789423</v>
      </c>
      <c r="W21" s="62">
        <v>32.487975578950866</v>
      </c>
      <c r="X21" s="62">
        <v>24.344677740884702</v>
      </c>
      <c r="Y21" s="66">
        <v>64.828042696185008</v>
      </c>
      <c r="Z21" s="66">
        <v>48.578521126243217</v>
      </c>
      <c r="AA21" s="67">
        <v>0</v>
      </c>
      <c r="AB21" s="68">
        <v>58.520379945967136</v>
      </c>
      <c r="AC21" s="69">
        <v>0</v>
      </c>
      <c r="AD21" s="405">
        <v>8.2450425375282475</v>
      </c>
      <c r="AE21" s="405">
        <v>6.0786899984749576</v>
      </c>
      <c r="AF21" s="69">
        <v>14.160700885454814</v>
      </c>
      <c r="AG21" s="68">
        <v>7.9992247565492338</v>
      </c>
      <c r="AH21" s="68">
        <v>5.9941730872658674</v>
      </c>
      <c r="AI21" s="68">
        <v>0.57164277367307093</v>
      </c>
      <c r="AJ21" s="69">
        <v>337.44436683654783</v>
      </c>
      <c r="AK21" s="69">
        <v>1333.1763595581058</v>
      </c>
      <c r="AL21" s="69">
        <v>2826.8445707956948</v>
      </c>
      <c r="AM21" s="69">
        <v>209.26883697509766</v>
      </c>
      <c r="AN21" s="69">
        <v>1157.3206787109375</v>
      </c>
      <c r="AO21" s="69">
        <v>2668.0632957458497</v>
      </c>
      <c r="AP21" s="69">
        <v>647.34779361089068</v>
      </c>
      <c r="AQ21" s="69">
        <v>1936.7360527038579</v>
      </c>
      <c r="AR21" s="69">
        <v>427.67790805498754</v>
      </c>
      <c r="AS21" s="69">
        <v>610.29235439300533</v>
      </c>
    </row>
    <row r="22" spans="1:45" x14ac:dyDescent="0.25">
      <c r="A22" s="11">
        <v>43480</v>
      </c>
      <c r="B22" s="59"/>
      <c r="C22" s="60">
        <v>75.085589249928987</v>
      </c>
      <c r="D22" s="60">
        <v>843.13231887817415</v>
      </c>
      <c r="E22" s="60">
        <v>30.017214563985551</v>
      </c>
      <c r="F22" s="60">
        <v>0</v>
      </c>
      <c r="G22" s="60">
        <v>2429.9051008860242</v>
      </c>
      <c r="H22" s="61">
        <v>26.658068339029974</v>
      </c>
      <c r="I22" s="59">
        <v>106.98211708863568</v>
      </c>
      <c r="J22" s="60">
        <v>335.98098549842916</v>
      </c>
      <c r="K22" s="60">
        <v>18.349588361879171</v>
      </c>
      <c r="L22" s="6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214.42181394792198</v>
      </c>
      <c r="V22" s="62">
        <v>160.81712574002103</v>
      </c>
      <c r="W22" s="62">
        <v>32.284405356095881</v>
      </c>
      <c r="X22" s="62">
        <v>24.213419241262766</v>
      </c>
      <c r="Y22" s="66">
        <v>64.485349992861941</v>
      </c>
      <c r="Z22" s="66">
        <v>48.364242645153887</v>
      </c>
      <c r="AA22" s="67">
        <v>0</v>
      </c>
      <c r="AB22" s="68">
        <v>59.068700419532256</v>
      </c>
      <c r="AC22" s="69">
        <v>0</v>
      </c>
      <c r="AD22" s="405">
        <v>8.2673246037555348</v>
      </c>
      <c r="AE22" s="405">
        <v>6.0774106760779407</v>
      </c>
      <c r="AF22" s="69">
        <v>14.123173669311724</v>
      </c>
      <c r="AG22" s="68">
        <v>8.0001100490692032</v>
      </c>
      <c r="AH22" s="68">
        <v>6.0001110894791756</v>
      </c>
      <c r="AI22" s="68">
        <v>0.5714274060315806</v>
      </c>
      <c r="AJ22" s="69">
        <v>337.66754902203877</v>
      </c>
      <c r="AK22" s="69">
        <v>1342.0634964625042</v>
      </c>
      <c r="AL22" s="69">
        <v>2865.7720591227217</v>
      </c>
      <c r="AM22" s="69">
        <v>209.26883697509766</v>
      </c>
      <c r="AN22" s="69">
        <v>1157.3206787109375</v>
      </c>
      <c r="AO22" s="69">
        <v>2675.7699577331546</v>
      </c>
      <c r="AP22" s="69">
        <v>640.59423319498694</v>
      </c>
      <c r="AQ22" s="69">
        <v>1950.2357419331872</v>
      </c>
      <c r="AR22" s="69">
        <v>418.60765539805095</v>
      </c>
      <c r="AS22" s="69">
        <v>622.67884925206499</v>
      </c>
    </row>
    <row r="23" spans="1:45" x14ac:dyDescent="0.25">
      <c r="A23" s="11">
        <v>43481</v>
      </c>
      <c r="B23" s="59"/>
      <c r="C23" s="60">
        <v>75.002046283086429</v>
      </c>
      <c r="D23" s="60">
        <v>829.18315505981616</v>
      </c>
      <c r="E23" s="60">
        <v>29.810866344471695</v>
      </c>
      <c r="F23" s="60">
        <v>0</v>
      </c>
      <c r="G23" s="60">
        <v>2461.2892856597955</v>
      </c>
      <c r="H23" s="61">
        <v>26.70681288441029</v>
      </c>
      <c r="I23" s="59">
        <v>108.17300202846531</v>
      </c>
      <c r="J23" s="60">
        <v>339.84082466761339</v>
      </c>
      <c r="K23" s="60">
        <v>18.494484169284501</v>
      </c>
      <c r="L23" s="6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207.58630705974079</v>
      </c>
      <c r="V23" s="62">
        <v>155.24456666275969</v>
      </c>
      <c r="W23" s="62">
        <v>31.064244782816498</v>
      </c>
      <c r="X23" s="62">
        <v>23.231567092844752</v>
      </c>
      <c r="Y23" s="66">
        <v>62.512600936497073</v>
      </c>
      <c r="Z23" s="66">
        <v>46.75039399663104</v>
      </c>
      <c r="AA23" s="67">
        <v>0</v>
      </c>
      <c r="AB23" s="68">
        <v>59.26994195249334</v>
      </c>
      <c r="AC23" s="69">
        <v>0</v>
      </c>
      <c r="AD23" s="405">
        <v>8.3591196718516478</v>
      </c>
      <c r="AE23" s="405">
        <v>6.0867103799343063</v>
      </c>
      <c r="AF23" s="69">
        <v>13.669039132197693</v>
      </c>
      <c r="AG23" s="68">
        <v>7.7469616147061613</v>
      </c>
      <c r="AH23" s="68">
        <v>5.7936080460354074</v>
      </c>
      <c r="AI23" s="68">
        <v>0.57212966727441861</v>
      </c>
      <c r="AJ23" s="69">
        <v>318.41264998118078</v>
      </c>
      <c r="AK23" s="69">
        <v>1313.5521329879762</v>
      </c>
      <c r="AL23" s="69">
        <v>3126.0988496144614</v>
      </c>
      <c r="AM23" s="69">
        <v>209.26883697509766</v>
      </c>
      <c r="AN23" s="69">
        <v>1157.3206787109375</v>
      </c>
      <c r="AO23" s="69">
        <v>2661.788278452555</v>
      </c>
      <c r="AP23" s="69">
        <v>616.56193707784018</v>
      </c>
      <c r="AQ23" s="69">
        <v>1958.0365009943644</v>
      </c>
      <c r="AR23" s="69">
        <v>395.73648770650226</v>
      </c>
      <c r="AS23" s="69">
        <v>619.43198130925498</v>
      </c>
    </row>
    <row r="24" spans="1:45" x14ac:dyDescent="0.25">
      <c r="A24" s="11">
        <v>43482</v>
      </c>
      <c r="B24" s="59"/>
      <c r="C24" s="60">
        <v>74.752422718206816</v>
      </c>
      <c r="D24" s="60">
        <v>826.41256974538351</v>
      </c>
      <c r="E24" s="60">
        <v>30.032169727484245</v>
      </c>
      <c r="F24" s="60">
        <v>0</v>
      </c>
      <c r="G24" s="60">
        <v>2419.4918290456103</v>
      </c>
      <c r="H24" s="61">
        <v>26.61116105715433</v>
      </c>
      <c r="I24" s="59">
        <v>107.13715592225401</v>
      </c>
      <c r="J24" s="60">
        <v>336.48257816632668</v>
      </c>
      <c r="K24" s="60">
        <v>18.312597426275406</v>
      </c>
      <c r="L24" s="6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206.88235195943054</v>
      </c>
      <c r="V24" s="62">
        <v>151.17505535614072</v>
      </c>
      <c r="W24" s="62">
        <v>31.086893408318435</v>
      </c>
      <c r="X24" s="62">
        <v>22.71611274399358</v>
      </c>
      <c r="Y24" s="66">
        <v>61.9512311733356</v>
      </c>
      <c r="Z24" s="66">
        <v>45.269597494940712</v>
      </c>
      <c r="AA24" s="67">
        <v>0</v>
      </c>
      <c r="AB24" s="68">
        <v>59.074989983770763</v>
      </c>
      <c r="AC24" s="69">
        <v>0</v>
      </c>
      <c r="AD24" s="405">
        <v>8.2796592878233852</v>
      </c>
      <c r="AE24" s="405">
        <v>6.073697184112393</v>
      </c>
      <c r="AF24" s="69">
        <v>13.440355701247857</v>
      </c>
      <c r="AG24" s="68">
        <v>7.6901596113996558</v>
      </c>
      <c r="AH24" s="68">
        <v>5.6194271475552329</v>
      </c>
      <c r="AI24" s="68">
        <v>0.57779101264925459</v>
      </c>
      <c r="AJ24" s="69">
        <v>317.24168709119164</v>
      </c>
      <c r="AK24" s="69">
        <v>1313.7086802164713</v>
      </c>
      <c r="AL24" s="69">
        <v>2853.961661148071</v>
      </c>
      <c r="AM24" s="69">
        <v>209.26883697509766</v>
      </c>
      <c r="AN24" s="69">
        <v>1157.3206787109375</v>
      </c>
      <c r="AO24" s="69">
        <v>2609.6709177653001</v>
      </c>
      <c r="AP24" s="69">
        <v>609.08139292399107</v>
      </c>
      <c r="AQ24" s="69">
        <v>1948.2741006851197</v>
      </c>
      <c r="AR24" s="69">
        <v>390.74053478240972</v>
      </c>
      <c r="AS24" s="69">
        <v>596.3476658821105</v>
      </c>
    </row>
    <row r="25" spans="1:45" x14ac:dyDescent="0.25">
      <c r="A25" s="11">
        <v>43483</v>
      </c>
      <c r="B25" s="59"/>
      <c r="C25" s="60">
        <v>74.674910624822388</v>
      </c>
      <c r="D25" s="60">
        <v>826.88658943176279</v>
      </c>
      <c r="E25" s="60">
        <v>29.967531864344984</v>
      </c>
      <c r="F25" s="60">
        <v>0</v>
      </c>
      <c r="G25" s="60">
        <v>2349.9052129109687</v>
      </c>
      <c r="H25" s="61">
        <v>26.722311794757868</v>
      </c>
      <c r="I25" s="59">
        <v>107.14571970303845</v>
      </c>
      <c r="J25" s="60">
        <v>336.41832739512199</v>
      </c>
      <c r="K25" s="60">
        <v>18.225114057461397</v>
      </c>
      <c r="L25" s="6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213.21042991228529</v>
      </c>
      <c r="V25" s="62">
        <v>159.87741366477962</v>
      </c>
      <c r="W25" s="62">
        <v>32.519918622038325</v>
      </c>
      <c r="X25" s="62">
        <v>24.385300869284592</v>
      </c>
      <c r="Y25" s="66">
        <v>64.696646910351461</v>
      </c>
      <c r="Z25" s="66">
        <v>48.513257935204081</v>
      </c>
      <c r="AA25" s="67">
        <v>0</v>
      </c>
      <c r="AB25" s="68">
        <v>59.075190941492806</v>
      </c>
      <c r="AC25" s="69">
        <v>0</v>
      </c>
      <c r="AD25" s="405">
        <v>8.2772708234662673</v>
      </c>
      <c r="AE25" s="405">
        <v>6.0783396022299927</v>
      </c>
      <c r="AF25" s="69">
        <v>14.132979162534065</v>
      </c>
      <c r="AG25" s="68">
        <v>8.0008898993294348</v>
      </c>
      <c r="AH25" s="68">
        <v>5.9995263113896238</v>
      </c>
      <c r="AI25" s="68">
        <v>0.57147514608913974</v>
      </c>
      <c r="AJ25" s="69">
        <v>337.29989643096928</v>
      </c>
      <c r="AK25" s="69">
        <v>1344.067248662313</v>
      </c>
      <c r="AL25" s="69">
        <v>2879.1131853739425</v>
      </c>
      <c r="AM25" s="69">
        <v>209.26883697509766</v>
      </c>
      <c r="AN25" s="69">
        <v>1157.3206787109375</v>
      </c>
      <c r="AO25" s="69">
        <v>2661.9004056294757</v>
      </c>
      <c r="AP25" s="69">
        <v>625.28473755518587</v>
      </c>
      <c r="AQ25" s="69">
        <v>1930.3774247487381</v>
      </c>
      <c r="AR25" s="69">
        <v>413.84413693745927</v>
      </c>
      <c r="AS25" s="69">
        <v>579.61558589935305</v>
      </c>
    </row>
    <row r="26" spans="1:45" x14ac:dyDescent="0.25">
      <c r="A26" s="11">
        <v>43484</v>
      </c>
      <c r="B26" s="59"/>
      <c r="C26" s="60">
        <v>74.586621300379534</v>
      </c>
      <c r="D26" s="60">
        <v>826.69182682037456</v>
      </c>
      <c r="E26" s="60">
        <v>29.950459630290563</v>
      </c>
      <c r="F26" s="60">
        <v>0</v>
      </c>
      <c r="G26" s="60">
        <v>2329.3522780100507</v>
      </c>
      <c r="H26" s="61">
        <v>26.74619345664977</v>
      </c>
      <c r="I26" s="59">
        <v>107.16682074864708</v>
      </c>
      <c r="J26" s="60">
        <v>336.54349036216774</v>
      </c>
      <c r="K26" s="60">
        <v>18.433112117151406</v>
      </c>
      <c r="L26" s="6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207.2663035716817</v>
      </c>
      <c r="V26" s="62">
        <v>155.44683786966567</v>
      </c>
      <c r="W26" s="62">
        <v>31.141438144309156</v>
      </c>
      <c r="X26" s="62">
        <v>23.355644418932165</v>
      </c>
      <c r="Y26" s="62">
        <v>63.624129832913681</v>
      </c>
      <c r="Z26" s="62">
        <v>47.717210295667002</v>
      </c>
      <c r="AA26" s="72">
        <v>0</v>
      </c>
      <c r="AB26" s="69">
        <v>59.073398661613673</v>
      </c>
      <c r="AC26" s="69">
        <v>0</v>
      </c>
      <c r="AD26" s="405">
        <v>8.280894096100905</v>
      </c>
      <c r="AE26" s="405">
        <v>6.075125144641059</v>
      </c>
      <c r="AF26" s="69">
        <v>13.838920052184001</v>
      </c>
      <c r="AG26" s="69">
        <v>7.8297829264601502</v>
      </c>
      <c r="AH26" s="69">
        <v>5.8722280281473545</v>
      </c>
      <c r="AI26" s="69">
        <v>0.57143312411579039</v>
      </c>
      <c r="AJ26" s="69">
        <v>342.84755900700895</v>
      </c>
      <c r="AK26" s="69">
        <v>1339.3744252522786</v>
      </c>
      <c r="AL26" s="69">
        <v>2835.6050465901694</v>
      </c>
      <c r="AM26" s="69">
        <v>209.26883697509766</v>
      </c>
      <c r="AN26" s="69">
        <v>1157.3206787109375</v>
      </c>
      <c r="AO26" s="69">
        <v>2643.7549681345618</v>
      </c>
      <c r="AP26" s="69">
        <v>644.61394774119071</v>
      </c>
      <c r="AQ26" s="69">
        <v>1969.2553465525307</v>
      </c>
      <c r="AR26" s="69">
        <v>414.38388401667271</v>
      </c>
      <c r="AS26" s="69">
        <v>546.0672289530437</v>
      </c>
    </row>
    <row r="27" spans="1:45" x14ac:dyDescent="0.25">
      <c r="A27" s="11">
        <v>43485</v>
      </c>
      <c r="B27" s="59"/>
      <c r="C27" s="60">
        <v>74.500943835575669</v>
      </c>
      <c r="D27" s="60">
        <v>829.24488614400377</v>
      </c>
      <c r="E27" s="60">
        <v>29.994607609013659</v>
      </c>
      <c r="F27" s="60">
        <v>0</v>
      </c>
      <c r="G27" s="60">
        <v>2290.0948671976716</v>
      </c>
      <c r="H27" s="61">
        <v>26.793297052383487</v>
      </c>
      <c r="I27" s="59">
        <v>107.78527046839429</v>
      </c>
      <c r="J27" s="60">
        <v>338.57134863535629</v>
      </c>
      <c r="K27" s="60">
        <v>18.503526856501907</v>
      </c>
      <c r="L27" s="6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209.88776306732154</v>
      </c>
      <c r="V27" s="62">
        <v>157.17740770819694</v>
      </c>
      <c r="W27" s="62">
        <v>31.273699920495428</v>
      </c>
      <c r="X27" s="62">
        <v>23.419750685373987</v>
      </c>
      <c r="Y27" s="66">
        <v>64.544978967222463</v>
      </c>
      <c r="Z27" s="66">
        <v>48.335416635957507</v>
      </c>
      <c r="AA27" s="67">
        <v>0</v>
      </c>
      <c r="AB27" s="68">
        <v>59.694036393695299</v>
      </c>
      <c r="AC27" s="69">
        <v>0</v>
      </c>
      <c r="AD27" s="405">
        <v>8.3314397062840282</v>
      </c>
      <c r="AE27" s="405">
        <v>6.0756695050796656</v>
      </c>
      <c r="AF27" s="69">
        <v>14.009730409913617</v>
      </c>
      <c r="AG27" s="68">
        <v>7.9396088042240045</v>
      </c>
      <c r="AH27" s="68">
        <v>5.9456878849332133</v>
      </c>
      <c r="AI27" s="68">
        <v>0.57179972325862538</v>
      </c>
      <c r="AJ27" s="69">
        <v>318.48939986228942</v>
      </c>
      <c r="AK27" s="69">
        <v>1303.5548102696735</v>
      </c>
      <c r="AL27" s="69">
        <v>2828.6746387481689</v>
      </c>
      <c r="AM27" s="69">
        <v>209.26883697509766</v>
      </c>
      <c r="AN27" s="69">
        <v>1157.3206787109375</v>
      </c>
      <c r="AO27" s="69">
        <v>2562.6598420461019</v>
      </c>
      <c r="AP27" s="69">
        <v>611.89238630930572</v>
      </c>
      <c r="AQ27" s="69">
        <v>1943.7301207224527</v>
      </c>
      <c r="AR27" s="69">
        <v>389.9560149033864</v>
      </c>
      <c r="AS27" s="69">
        <v>538.60640395482392</v>
      </c>
    </row>
    <row r="28" spans="1:45" x14ac:dyDescent="0.25">
      <c r="A28" s="11">
        <v>43486</v>
      </c>
      <c r="B28" s="59"/>
      <c r="C28" s="60">
        <v>74.599646592140331</v>
      </c>
      <c r="D28" s="60">
        <v>834.69423929850348</v>
      </c>
      <c r="E28" s="60">
        <v>30.004686921834843</v>
      </c>
      <c r="F28" s="60">
        <v>0</v>
      </c>
      <c r="G28" s="60">
        <v>2323.3494691213004</v>
      </c>
      <c r="H28" s="61">
        <v>26.651219620307337</v>
      </c>
      <c r="I28" s="59">
        <v>107.15877321163808</v>
      </c>
      <c r="J28" s="60">
        <v>336.35750072797185</v>
      </c>
      <c r="K28" s="60">
        <v>18.252161649366212</v>
      </c>
      <c r="L28" s="6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211.6969908775616</v>
      </c>
      <c r="V28" s="62">
        <v>158.7435946403219</v>
      </c>
      <c r="W28" s="62">
        <v>31.401769387451875</v>
      </c>
      <c r="X28" s="62">
        <v>23.54700333701761</v>
      </c>
      <c r="Y28" s="66">
        <v>65.080108538508824</v>
      </c>
      <c r="Z28" s="66">
        <v>48.801120536287307</v>
      </c>
      <c r="AA28" s="67">
        <v>0</v>
      </c>
      <c r="AB28" s="68">
        <v>59.726928904320189</v>
      </c>
      <c r="AC28" s="69">
        <v>0</v>
      </c>
      <c r="AD28" s="405">
        <v>8.2765128188307919</v>
      </c>
      <c r="AE28" s="405">
        <v>6.0766389263682177</v>
      </c>
      <c r="AF28" s="69">
        <v>14.119500867525749</v>
      </c>
      <c r="AG28" s="68">
        <v>8.001548729259035</v>
      </c>
      <c r="AH28" s="68">
        <v>6.0000598152427997</v>
      </c>
      <c r="AI28" s="68">
        <v>0.57147353490332298</v>
      </c>
      <c r="AJ28" s="69">
        <v>314.1253323237101</v>
      </c>
      <c r="AK28" s="69">
        <v>1294.897438875834</v>
      </c>
      <c r="AL28" s="69">
        <v>2885.7339640299474</v>
      </c>
      <c r="AM28" s="69">
        <v>209.26883697509766</v>
      </c>
      <c r="AN28" s="69">
        <v>1157.3206787109375</v>
      </c>
      <c r="AO28" s="69">
        <v>2525.2428525288897</v>
      </c>
      <c r="AP28" s="69">
        <v>590.30545975367227</v>
      </c>
      <c r="AQ28" s="69">
        <v>1930.5473110198975</v>
      </c>
      <c r="AR28" s="69">
        <v>391.95687152544662</v>
      </c>
      <c r="AS28" s="69">
        <v>544.64007740020747</v>
      </c>
    </row>
    <row r="29" spans="1:45" x14ac:dyDescent="0.25">
      <c r="A29" s="11">
        <v>43487</v>
      </c>
      <c r="B29" s="59"/>
      <c r="C29" s="60">
        <v>75.532083229224767</v>
      </c>
      <c r="D29" s="60">
        <v>831.66326395670626</v>
      </c>
      <c r="E29" s="60">
        <v>29.701498778164275</v>
      </c>
      <c r="F29" s="60">
        <v>0</v>
      </c>
      <c r="G29" s="60">
        <v>2379.7073210398353</v>
      </c>
      <c r="H29" s="61">
        <v>26.679828308026067</v>
      </c>
      <c r="I29" s="59">
        <v>106.94157778422034</v>
      </c>
      <c r="J29" s="60">
        <v>336.07194676399286</v>
      </c>
      <c r="K29" s="60">
        <v>18.261807210743399</v>
      </c>
      <c r="L29" s="6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207.60704817658089</v>
      </c>
      <c r="V29" s="62">
        <v>155.67234306979546</v>
      </c>
      <c r="W29" s="62">
        <v>31.216044365664036</v>
      </c>
      <c r="X29" s="62">
        <v>23.407079915901331</v>
      </c>
      <c r="Y29" s="66">
        <v>63.786378946519577</v>
      </c>
      <c r="Z29" s="66">
        <v>47.829662594579972</v>
      </c>
      <c r="AA29" s="67">
        <v>0</v>
      </c>
      <c r="AB29" s="68">
        <v>59.714200883441194</v>
      </c>
      <c r="AC29" s="69">
        <v>0</v>
      </c>
      <c r="AD29" s="405">
        <v>8.2707385889338347</v>
      </c>
      <c r="AE29" s="405">
        <v>6.0818832872786448</v>
      </c>
      <c r="AF29" s="69">
        <v>13.828595489263547</v>
      </c>
      <c r="AG29" s="68">
        <v>7.8310068853879171</v>
      </c>
      <c r="AH29" s="68">
        <v>5.8720125407647661</v>
      </c>
      <c r="AI29" s="68">
        <v>0.57148038996735062</v>
      </c>
      <c r="AJ29" s="69">
        <v>364.55588467915857</v>
      </c>
      <c r="AK29" s="69">
        <v>1365.3684111277264</v>
      </c>
      <c r="AL29" s="69">
        <v>2874.8967882792158</v>
      </c>
      <c r="AM29" s="69">
        <v>209.26883697509766</v>
      </c>
      <c r="AN29" s="69">
        <v>1157.3206787109375</v>
      </c>
      <c r="AO29" s="69">
        <v>2699.449001057942</v>
      </c>
      <c r="AP29" s="69">
        <v>662.73453687032054</v>
      </c>
      <c r="AQ29" s="69">
        <v>1941.8537838617958</v>
      </c>
      <c r="AR29" s="69">
        <v>456.26435993512467</v>
      </c>
      <c r="AS29" s="69">
        <v>614.85089728037497</v>
      </c>
    </row>
    <row r="30" spans="1:45" x14ac:dyDescent="0.25">
      <c r="A30" s="11">
        <v>43488</v>
      </c>
      <c r="B30" s="59"/>
      <c r="C30" s="60">
        <v>75.157890077432</v>
      </c>
      <c r="D30" s="60">
        <v>802.99684168497743</v>
      </c>
      <c r="E30" s="60">
        <v>29.828487388292828</v>
      </c>
      <c r="F30" s="60">
        <v>0</v>
      </c>
      <c r="G30" s="60">
        <v>2264.2222952524767</v>
      </c>
      <c r="H30" s="61">
        <v>26.651059081157069</v>
      </c>
      <c r="I30" s="59">
        <v>110.98642168045016</v>
      </c>
      <c r="J30" s="60">
        <v>341.0846181869515</v>
      </c>
      <c r="K30" s="60">
        <v>18.541698453327029</v>
      </c>
      <c r="L30" s="6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206.80721615432176</v>
      </c>
      <c r="V30" s="62">
        <v>151.17923178396242</v>
      </c>
      <c r="W30" s="62">
        <v>30.91189684114271</v>
      </c>
      <c r="X30" s="62">
        <v>22.597068440502721</v>
      </c>
      <c r="Y30" s="66">
        <v>63.118420296251074</v>
      </c>
      <c r="Z30" s="66">
        <v>46.140528697431961</v>
      </c>
      <c r="AA30" s="67">
        <v>0</v>
      </c>
      <c r="AB30" s="68">
        <v>59.290723326471003</v>
      </c>
      <c r="AC30" s="69">
        <v>0</v>
      </c>
      <c r="AD30" s="405">
        <v>8.3910454020788201</v>
      </c>
      <c r="AE30" s="405">
        <v>6.078604552783303</v>
      </c>
      <c r="AF30" s="69">
        <v>13.556971604294253</v>
      </c>
      <c r="AG30" s="68">
        <v>7.7105231867696133</v>
      </c>
      <c r="AH30" s="68">
        <v>5.6365101455571249</v>
      </c>
      <c r="AI30" s="68">
        <v>0.57769565676400891</v>
      </c>
      <c r="AJ30" s="69">
        <v>369.35656739870706</v>
      </c>
      <c r="AK30" s="69">
        <v>1360.8783884048462</v>
      </c>
      <c r="AL30" s="69">
        <v>2985.3820035298668</v>
      </c>
      <c r="AM30" s="69">
        <v>209.26883697509766</v>
      </c>
      <c r="AN30" s="69">
        <v>1157.3206787109375</v>
      </c>
      <c r="AO30" s="69">
        <v>2698.5225645701089</v>
      </c>
      <c r="AP30" s="69">
        <v>680.33945687611879</v>
      </c>
      <c r="AQ30" s="69">
        <v>1961.3778476715086</v>
      </c>
      <c r="AR30" s="69">
        <v>430.88436190287268</v>
      </c>
      <c r="AS30" s="69">
        <v>624.4011662801106</v>
      </c>
    </row>
    <row r="31" spans="1:45" x14ac:dyDescent="0.25">
      <c r="A31" s="11">
        <v>43489</v>
      </c>
      <c r="B31" s="59"/>
      <c r="C31" s="60">
        <v>68.567304704586292</v>
      </c>
      <c r="D31" s="60">
        <v>735.5228422919904</v>
      </c>
      <c r="E31" s="60">
        <v>27.244601142903115</v>
      </c>
      <c r="F31" s="60">
        <v>0</v>
      </c>
      <c r="G31" s="60">
        <v>1690.9826014200828</v>
      </c>
      <c r="H31" s="61">
        <v>24.527449484666207</v>
      </c>
      <c r="I31" s="59">
        <v>124.62731294234584</v>
      </c>
      <c r="J31" s="60">
        <v>398.5078277587894</v>
      </c>
      <c r="K31" s="60">
        <v>21.832793740431498</v>
      </c>
      <c r="L31" s="6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249.37307500030047</v>
      </c>
      <c r="V31" s="62">
        <v>123.26866325551678</v>
      </c>
      <c r="W31" s="62">
        <v>38.330159373445753</v>
      </c>
      <c r="X31" s="62">
        <v>18.947143785791155</v>
      </c>
      <c r="Y31" s="66">
        <v>84.136939763501871</v>
      </c>
      <c r="Z31" s="66">
        <v>41.590087843462314</v>
      </c>
      <c r="AA31" s="67">
        <v>0</v>
      </c>
      <c r="AB31" s="68">
        <v>63.317691940731542</v>
      </c>
      <c r="AC31" s="69">
        <v>0</v>
      </c>
      <c r="AD31" s="405">
        <v>9.8002655360757878</v>
      </c>
      <c r="AE31" s="405">
        <v>5.5619337617873237</v>
      </c>
      <c r="AF31" s="69">
        <v>14.003630415267411</v>
      </c>
      <c r="AG31" s="68">
        <v>9.243491211873101</v>
      </c>
      <c r="AH31" s="68">
        <v>4.5691893782050892</v>
      </c>
      <c r="AI31" s="68">
        <v>0.66920328401083917</v>
      </c>
      <c r="AJ31" s="69">
        <v>364.12864950497948</v>
      </c>
      <c r="AK31" s="69">
        <v>1357.344628206889</v>
      </c>
      <c r="AL31" s="69">
        <v>2825.0253678639729</v>
      </c>
      <c r="AM31" s="69">
        <v>209.26883697509766</v>
      </c>
      <c r="AN31" s="69">
        <v>1157.3206787109375</v>
      </c>
      <c r="AO31" s="69">
        <v>2666.2849452972409</v>
      </c>
      <c r="AP31" s="69">
        <v>682.50539325078319</v>
      </c>
      <c r="AQ31" s="69">
        <v>1930.5099414825438</v>
      </c>
      <c r="AR31" s="69">
        <v>409.3787475426991</v>
      </c>
      <c r="AS31" s="69">
        <v>645.68912932078035</v>
      </c>
    </row>
    <row r="32" spans="1:45" x14ac:dyDescent="0.25">
      <c r="A32" s="11">
        <v>43490</v>
      </c>
      <c r="B32" s="59"/>
      <c r="C32" s="60">
        <v>75.063758651415625</v>
      </c>
      <c r="D32" s="60">
        <v>786.54990704854447</v>
      </c>
      <c r="E32" s="60">
        <v>29.733290576934724</v>
      </c>
      <c r="F32" s="60">
        <v>0</v>
      </c>
      <c r="G32" s="60">
        <v>1650.3886988957759</v>
      </c>
      <c r="H32" s="61">
        <v>26.641267800331118</v>
      </c>
      <c r="I32" s="59">
        <v>110.94922761917135</v>
      </c>
      <c r="J32" s="60">
        <v>339.94270167350811</v>
      </c>
      <c r="K32" s="60">
        <v>18.573162056505673</v>
      </c>
      <c r="L32" s="6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213.46174075566194</v>
      </c>
      <c r="V32" s="62">
        <v>160.05946131054969</v>
      </c>
      <c r="W32" s="62">
        <v>30.040828340853842</v>
      </c>
      <c r="X32" s="62">
        <v>22.525436101748937</v>
      </c>
      <c r="Y32" s="66">
        <v>68.630033379886385</v>
      </c>
      <c r="Z32" s="66">
        <v>51.460679246888844</v>
      </c>
      <c r="AA32" s="67">
        <v>0</v>
      </c>
      <c r="AB32" s="68">
        <v>59.708650416798157</v>
      </c>
      <c r="AC32" s="69">
        <v>0</v>
      </c>
      <c r="AD32" s="405">
        <v>8.3645460752752356</v>
      </c>
      <c r="AE32" s="405">
        <v>6.068230259558244</v>
      </c>
      <c r="AF32" s="69">
        <v>13.921674121088463</v>
      </c>
      <c r="AG32" s="68">
        <v>7.8313654551996805</v>
      </c>
      <c r="AH32" s="68">
        <v>5.8721723698491886</v>
      </c>
      <c r="AI32" s="68">
        <v>0.57148493733381966</v>
      </c>
      <c r="AJ32" s="69">
        <v>359.33053145408633</v>
      </c>
      <c r="AK32" s="69">
        <v>1359.217727788289</v>
      </c>
      <c r="AL32" s="69">
        <v>3604.7923873901368</v>
      </c>
      <c r="AM32" s="69">
        <v>209.26883697509766</v>
      </c>
      <c r="AN32" s="69">
        <v>1157.3206787109375</v>
      </c>
      <c r="AO32" s="69">
        <v>2705.8473561604815</v>
      </c>
      <c r="AP32" s="69">
        <v>675.17927392323816</v>
      </c>
      <c r="AQ32" s="69">
        <v>1946.7098786671954</v>
      </c>
      <c r="AR32" s="69">
        <v>446.31738942464193</v>
      </c>
      <c r="AS32" s="69">
        <v>645.31365636189776</v>
      </c>
    </row>
    <row r="33" spans="1:45" x14ac:dyDescent="0.25">
      <c r="A33" s="11">
        <v>43491</v>
      </c>
      <c r="B33" s="59"/>
      <c r="C33" s="60">
        <v>74.909836761157436</v>
      </c>
      <c r="D33" s="60">
        <v>786.17881183624422</v>
      </c>
      <c r="E33" s="60">
        <v>29.762736999491722</v>
      </c>
      <c r="F33" s="60">
        <v>0</v>
      </c>
      <c r="G33" s="60">
        <v>1710.0545570373533</v>
      </c>
      <c r="H33" s="61">
        <v>26.623199655612389</v>
      </c>
      <c r="I33" s="59">
        <v>111.65011937618269</v>
      </c>
      <c r="J33" s="60">
        <v>341.83336973190382</v>
      </c>
      <c r="K33" s="60">
        <v>18.669459730883432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227.23910205558047</v>
      </c>
      <c r="V33" s="62">
        <v>170.24082174372012</v>
      </c>
      <c r="W33" s="62">
        <v>31.623744593875731</v>
      </c>
      <c r="X33" s="62">
        <v>23.69157516279105</v>
      </c>
      <c r="Y33" s="66">
        <v>68.343278422335061</v>
      </c>
      <c r="Z33" s="66">
        <v>51.20076507093578</v>
      </c>
      <c r="AA33" s="67">
        <v>0</v>
      </c>
      <c r="AB33" s="68">
        <v>59.342170657052016</v>
      </c>
      <c r="AC33" s="69">
        <v>0</v>
      </c>
      <c r="AD33" s="405">
        <v>8.4115029172350315</v>
      </c>
      <c r="AE33" s="405">
        <v>6.0698689132104349</v>
      </c>
      <c r="AF33" s="69">
        <v>14.072484532329772</v>
      </c>
      <c r="AG33" s="68">
        <v>7.9345284390561241</v>
      </c>
      <c r="AH33" s="68">
        <v>5.9443142900795447</v>
      </c>
      <c r="AI33" s="68">
        <v>0.57169957134821292</v>
      </c>
      <c r="AJ33" s="69">
        <v>350.06433110237128</v>
      </c>
      <c r="AK33" s="69">
        <v>1355.4307725270589</v>
      </c>
      <c r="AL33" s="69">
        <v>3076.4016658782966</v>
      </c>
      <c r="AM33" s="69">
        <v>209.26883697509766</v>
      </c>
      <c r="AN33" s="69">
        <v>1157.3206787109375</v>
      </c>
      <c r="AO33" s="69">
        <v>2618.6411526997881</v>
      </c>
      <c r="AP33" s="69">
        <v>650.28835646311438</v>
      </c>
      <c r="AQ33" s="69">
        <v>1947.7376855214434</v>
      </c>
      <c r="AR33" s="69">
        <v>440.83529747327162</v>
      </c>
      <c r="AS33" s="69">
        <v>589.44273659388227</v>
      </c>
    </row>
    <row r="34" spans="1:45" x14ac:dyDescent="0.25">
      <c r="A34" s="11">
        <v>43492</v>
      </c>
      <c r="B34" s="59"/>
      <c r="C34" s="60">
        <v>74.789742426078647</v>
      </c>
      <c r="D34" s="60">
        <v>786.16367969513021</v>
      </c>
      <c r="E34" s="60">
        <v>29.823210237920197</v>
      </c>
      <c r="F34" s="60">
        <v>0</v>
      </c>
      <c r="G34" s="60">
        <v>1755.7256407419875</v>
      </c>
      <c r="H34" s="61">
        <v>26.568373749653514</v>
      </c>
      <c r="I34" s="59">
        <v>111.02944350242581</v>
      </c>
      <c r="J34" s="60">
        <v>339.63720078468407</v>
      </c>
      <c r="K34" s="60">
        <v>18.359643936157223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233.22551750899373</v>
      </c>
      <c r="V34" s="62">
        <v>174.93592037332382</v>
      </c>
      <c r="W34" s="62">
        <v>32.543074544799786</v>
      </c>
      <c r="X34" s="62">
        <v>24.409647615221619</v>
      </c>
      <c r="Y34" s="66">
        <v>68.978361660902365</v>
      </c>
      <c r="Z34" s="66">
        <v>51.738734731411299</v>
      </c>
      <c r="AA34" s="67">
        <v>0</v>
      </c>
      <c r="AB34" s="68">
        <v>58.5429440948703</v>
      </c>
      <c r="AC34" s="69">
        <v>0</v>
      </c>
      <c r="AD34" s="405">
        <v>8.3576934221309251</v>
      </c>
      <c r="AE34" s="405">
        <v>6.0697893643672289</v>
      </c>
      <c r="AF34" s="69">
        <v>14.21590987311469</v>
      </c>
      <c r="AG34" s="68">
        <v>7.9994359044864218</v>
      </c>
      <c r="AH34" s="68">
        <v>6.0001525449065856</v>
      </c>
      <c r="AI34" s="68">
        <v>0.57140507618516889</v>
      </c>
      <c r="AJ34" s="69">
        <v>332.24628750483191</v>
      </c>
      <c r="AK34" s="69">
        <v>1327.8618298212689</v>
      </c>
      <c r="AL34" s="69">
        <v>2917.9599433898925</v>
      </c>
      <c r="AM34" s="69">
        <v>209.26883697509766</v>
      </c>
      <c r="AN34" s="69">
        <v>1157.3206787109375</v>
      </c>
      <c r="AO34" s="69">
        <v>2621.0088134765624</v>
      </c>
      <c r="AP34" s="69">
        <v>630.805921649933</v>
      </c>
      <c r="AQ34" s="69">
        <v>1950.1252674102782</v>
      </c>
      <c r="AR34" s="69">
        <v>416.5785082022349</v>
      </c>
      <c r="AS34" s="69">
        <v>584.29621038436881</v>
      </c>
    </row>
    <row r="35" spans="1:45" x14ac:dyDescent="0.25">
      <c r="A35" s="11">
        <v>43493</v>
      </c>
      <c r="B35" s="59"/>
      <c r="C35" s="60">
        <v>74.850635639827388</v>
      </c>
      <c r="D35" s="60">
        <v>786.30286102294906</v>
      </c>
      <c r="E35" s="60">
        <v>29.745039900143855</v>
      </c>
      <c r="F35" s="60">
        <v>0</v>
      </c>
      <c r="G35" s="60">
        <v>1817.2850050608356</v>
      </c>
      <c r="H35" s="61">
        <v>26.569764266411543</v>
      </c>
      <c r="I35" s="59">
        <v>110.94464800357798</v>
      </c>
      <c r="J35" s="60">
        <v>339.9265641053521</v>
      </c>
      <c r="K35" s="60">
        <v>18.286387987434857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213.44252801550391</v>
      </c>
      <c r="V35" s="62">
        <v>160.05665053182798</v>
      </c>
      <c r="W35" s="62">
        <v>31.64715462816724</v>
      </c>
      <c r="X35" s="62">
        <v>23.731622820168969</v>
      </c>
      <c r="Y35" s="66">
        <v>64.543111925703315</v>
      </c>
      <c r="Z35" s="66">
        <v>48.399699936924335</v>
      </c>
      <c r="AA35" s="67">
        <v>0</v>
      </c>
      <c r="AB35" s="68">
        <v>58.881250845061032</v>
      </c>
      <c r="AC35" s="69">
        <v>0</v>
      </c>
      <c r="AD35" s="405">
        <v>8.3647577200801813</v>
      </c>
      <c r="AE35" s="405">
        <v>6.0711389151563582</v>
      </c>
      <c r="AF35" s="69">
        <v>13.794846547312204</v>
      </c>
      <c r="AG35" s="68">
        <v>7.7587282127648276</v>
      </c>
      <c r="AH35" s="68">
        <v>5.8181284754635696</v>
      </c>
      <c r="AI35" s="68">
        <v>0.57146719531126167</v>
      </c>
      <c r="AJ35" s="69">
        <v>347.261309782664</v>
      </c>
      <c r="AK35" s="69">
        <v>1352.6864370981853</v>
      </c>
      <c r="AL35" s="69">
        <v>2880.3697230021157</v>
      </c>
      <c r="AM35" s="69">
        <v>209.26883697509766</v>
      </c>
      <c r="AN35" s="69">
        <v>1157.3206787109375</v>
      </c>
      <c r="AO35" s="69">
        <v>2744.3059848785397</v>
      </c>
      <c r="AP35" s="69">
        <v>649.7036293347677</v>
      </c>
      <c r="AQ35" s="69">
        <v>1944.4966344197594</v>
      </c>
      <c r="AR35" s="69">
        <v>448.05526321729025</v>
      </c>
      <c r="AS35" s="69">
        <v>620.34220501581831</v>
      </c>
    </row>
    <row r="36" spans="1:45" x14ac:dyDescent="0.25">
      <c r="A36" s="11">
        <v>43494</v>
      </c>
      <c r="B36" s="59"/>
      <c r="C36" s="60">
        <v>74.631786712010623</v>
      </c>
      <c r="D36" s="60">
        <v>763.7759928703307</v>
      </c>
      <c r="E36" s="60">
        <v>29.715062616765344</v>
      </c>
      <c r="F36" s="60">
        <v>0</v>
      </c>
      <c r="G36" s="60">
        <v>1851.5033360163422</v>
      </c>
      <c r="H36" s="61">
        <v>26.676456755399755</v>
      </c>
      <c r="I36" s="59">
        <v>110.92842273712161</v>
      </c>
      <c r="J36" s="60">
        <v>340.14722528457702</v>
      </c>
      <c r="K36" s="60">
        <v>18.50198231190442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218.37960307080328</v>
      </c>
      <c r="V36" s="62">
        <v>153.43789764762784</v>
      </c>
      <c r="W36" s="62">
        <v>29.18547604852332</v>
      </c>
      <c r="X36" s="62">
        <v>20.506301979487986</v>
      </c>
      <c r="Y36" s="66">
        <v>64.647472692093743</v>
      </c>
      <c r="Z36" s="66">
        <v>45.422613461254549</v>
      </c>
      <c r="AA36" s="67">
        <v>0</v>
      </c>
      <c r="AB36" s="68">
        <v>59.375011783175182</v>
      </c>
      <c r="AC36" s="69">
        <v>0</v>
      </c>
      <c r="AD36" s="405">
        <v>8.3660796620089783</v>
      </c>
      <c r="AE36" s="405">
        <v>6.0700398198259737</v>
      </c>
      <c r="AF36" s="69">
        <v>13.407590192556373</v>
      </c>
      <c r="AG36" s="68">
        <v>7.7735808113511746</v>
      </c>
      <c r="AH36" s="68">
        <v>5.4618740949947897</v>
      </c>
      <c r="AI36" s="68">
        <v>0.58733008169020307</v>
      </c>
      <c r="AJ36" s="69">
        <v>358.66461453437807</v>
      </c>
      <c r="AK36" s="69">
        <v>1368.7232069651282</v>
      </c>
      <c r="AL36" s="69">
        <v>2990.7390727996826</v>
      </c>
      <c r="AM36" s="69">
        <v>209.26883697509766</v>
      </c>
      <c r="AN36" s="69">
        <v>1157.3206787109375</v>
      </c>
      <c r="AO36" s="69">
        <v>2713.1375469207765</v>
      </c>
      <c r="AP36" s="69">
        <v>679.15599498748782</v>
      </c>
      <c r="AQ36" s="69">
        <v>1938.8269954045613</v>
      </c>
      <c r="AR36" s="69">
        <v>459.82226839065555</v>
      </c>
      <c r="AS36" s="69">
        <v>664.64721733729061</v>
      </c>
    </row>
    <row r="37" spans="1:45" x14ac:dyDescent="0.25">
      <c r="A37" s="11">
        <v>43495</v>
      </c>
      <c r="B37" s="65"/>
      <c r="C37" s="383">
        <v>74.651725868383778</v>
      </c>
      <c r="D37" s="383">
        <v>762.02072108586742</v>
      </c>
      <c r="E37" s="383">
        <v>29.728121910989149</v>
      </c>
      <c r="F37" s="383">
        <v>0</v>
      </c>
      <c r="G37" s="383">
        <v>1868.3232678731299</v>
      </c>
      <c r="H37" s="393">
        <v>26.642498266696929</v>
      </c>
      <c r="I37" s="382">
        <v>109.87185700734466</v>
      </c>
      <c r="J37" s="383">
        <v>336.46601279576686</v>
      </c>
      <c r="K37" s="383">
        <v>18.280955379207921</v>
      </c>
      <c r="L37" s="60">
        <v>0</v>
      </c>
      <c r="M37" s="383">
        <v>0</v>
      </c>
      <c r="N37" s="393">
        <v>0</v>
      </c>
      <c r="O37" s="382">
        <v>0</v>
      </c>
      <c r="P37" s="383">
        <v>0</v>
      </c>
      <c r="Q37" s="383">
        <v>0</v>
      </c>
      <c r="R37" s="394">
        <v>0</v>
      </c>
      <c r="S37" s="383">
        <v>0</v>
      </c>
      <c r="T37" s="395">
        <v>0</v>
      </c>
      <c r="U37" s="396">
        <v>227.81339940959217</v>
      </c>
      <c r="V37" s="81">
        <v>170.87094047399731</v>
      </c>
      <c r="W37" s="81">
        <v>30.864834208246268</v>
      </c>
      <c r="X37" s="81">
        <v>23.15010118985558</v>
      </c>
      <c r="Y37" s="80">
        <v>68.708084431845052</v>
      </c>
      <c r="Z37" s="80">
        <v>51.534348003508399</v>
      </c>
      <c r="AA37" s="82">
        <v>0</v>
      </c>
      <c r="AB37" s="397">
        <v>59.067801568243731</v>
      </c>
      <c r="AC37" s="85">
        <v>0</v>
      </c>
      <c r="AD37" s="405">
        <v>8.2792775950354383</v>
      </c>
      <c r="AE37" s="405">
        <v>6.067323260158985</v>
      </c>
      <c r="AF37" s="85">
        <v>14.129686395989538</v>
      </c>
      <c r="AG37" s="397">
        <v>8.0000516604017289</v>
      </c>
      <c r="AH37" s="397">
        <v>6.0004211982091613</v>
      </c>
      <c r="AI37" s="397">
        <v>0.5714129616330319</v>
      </c>
      <c r="AJ37" s="85">
        <v>341.89059273401892</v>
      </c>
      <c r="AK37" s="85">
        <v>1350.7284464518229</v>
      </c>
      <c r="AL37" s="85">
        <v>2900.3414474487304</v>
      </c>
      <c r="AM37" s="85">
        <v>209.26883697509766</v>
      </c>
      <c r="AN37" s="85">
        <v>1157.3206787109375</v>
      </c>
      <c r="AO37" s="85">
        <v>2691.2719127655032</v>
      </c>
      <c r="AP37" s="85">
        <v>658.41139068603513</v>
      </c>
      <c r="AQ37" s="85">
        <v>1961.4104145050048</v>
      </c>
      <c r="AR37" s="85">
        <v>441.92690830230691</v>
      </c>
      <c r="AS37" s="85">
        <v>640.82371969223027</v>
      </c>
    </row>
    <row r="38" spans="1:45" ht="15.75" thickBot="1" x14ac:dyDescent="0.3">
      <c r="A38" s="11">
        <v>43496</v>
      </c>
      <c r="B38" s="73"/>
      <c r="C38" s="74">
        <v>74.405941184361922</v>
      </c>
      <c r="D38" s="74">
        <v>761.83074900309271</v>
      </c>
      <c r="E38" s="74">
        <v>29.783584903677195</v>
      </c>
      <c r="F38" s="74">
        <v>0</v>
      </c>
      <c r="G38" s="74">
        <v>1810.1893924713122</v>
      </c>
      <c r="H38" s="75">
        <v>26.552428436279342</v>
      </c>
      <c r="I38" s="76">
        <v>109.84600139458966</v>
      </c>
      <c r="J38" s="74">
        <v>336.31187113126168</v>
      </c>
      <c r="K38" s="74">
        <v>18.127018628021062</v>
      </c>
      <c r="L38" s="60">
        <v>0</v>
      </c>
      <c r="M38" s="74">
        <v>0</v>
      </c>
      <c r="N38" s="75">
        <v>0</v>
      </c>
      <c r="O38" s="76">
        <v>0</v>
      </c>
      <c r="P38" s="74">
        <v>0</v>
      </c>
      <c r="Q38" s="74">
        <v>0</v>
      </c>
      <c r="R38" s="77">
        <v>0</v>
      </c>
      <c r="S38" s="74">
        <v>0</v>
      </c>
      <c r="T38" s="78">
        <v>0</v>
      </c>
      <c r="U38" s="79">
        <v>219.85392306023081</v>
      </c>
      <c r="V38" s="80">
        <v>164.86760327643825</v>
      </c>
      <c r="W38" s="81">
        <v>31.321257901581927</v>
      </c>
      <c r="X38" s="81">
        <v>23.487689689404963</v>
      </c>
      <c r="Y38" s="80">
        <v>66.850720319678018</v>
      </c>
      <c r="Z38" s="80">
        <v>50.131095606555853</v>
      </c>
      <c r="AA38" s="82">
        <v>0</v>
      </c>
      <c r="AB38" s="83">
        <v>64.539466955927082</v>
      </c>
      <c r="AC38" s="84">
        <v>0</v>
      </c>
      <c r="AD38" s="405">
        <v>8.276341893671713</v>
      </c>
      <c r="AE38" s="405">
        <v>6.0659651667543919</v>
      </c>
      <c r="AF38" s="85">
        <v>14.008498434887983</v>
      </c>
      <c r="AG38" s="83">
        <v>7.9326430294150532</v>
      </c>
      <c r="AH38" s="83">
        <v>5.9486582076996273</v>
      </c>
      <c r="AI38" s="83">
        <v>0.57146249432332796</v>
      </c>
      <c r="AJ38" s="84">
        <v>329.09341516494754</v>
      </c>
      <c r="AK38" s="84">
        <v>1329.1655520121253</v>
      </c>
      <c r="AL38" s="84">
        <v>2930.8651257832848</v>
      </c>
      <c r="AM38" s="84">
        <v>209.26883697509766</v>
      </c>
      <c r="AN38" s="84">
        <v>1157.3206787109375</v>
      </c>
      <c r="AO38" s="84">
        <v>2656.4867139180506</v>
      </c>
      <c r="AP38" s="84">
        <v>619.52265361150114</v>
      </c>
      <c r="AQ38" s="84">
        <v>1958.2721267700194</v>
      </c>
      <c r="AR38" s="84">
        <v>423.09656581878653</v>
      </c>
      <c r="AS38" s="84">
        <v>611.94095608393354</v>
      </c>
    </row>
    <row r="39" spans="1:45" ht="15.75" thickTop="1" x14ac:dyDescent="0.25">
      <c r="A39" s="46" t="s">
        <v>171</v>
      </c>
      <c r="B39" s="29">
        <f t="shared" ref="B39:AC39" si="0">SUM(B8:B38)</f>
        <v>0</v>
      </c>
      <c r="C39" s="30">
        <f t="shared" si="0"/>
        <v>2318.9901094357178</v>
      </c>
      <c r="D39" s="30">
        <f t="shared" si="0"/>
        <v>25054.451746865143</v>
      </c>
      <c r="E39" s="30">
        <f t="shared" si="0"/>
        <v>900.93511189122705</v>
      </c>
      <c r="F39" s="30">
        <f t="shared" si="0"/>
        <v>0</v>
      </c>
      <c r="G39" s="30">
        <f t="shared" si="0"/>
        <v>60893.948752721182</v>
      </c>
      <c r="H39" s="31">
        <f t="shared" si="0"/>
        <v>825.77424926956598</v>
      </c>
      <c r="I39" s="29">
        <f t="shared" si="0"/>
        <v>3435.960429553189</v>
      </c>
      <c r="J39" s="30">
        <f t="shared" si="0"/>
        <v>10554.993062146523</v>
      </c>
      <c r="K39" s="30">
        <f t="shared" si="0"/>
        <v>573.69924485137039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6662.1188816907315</v>
      </c>
      <c r="V39" s="262">
        <f t="shared" si="0"/>
        <v>4898.4399893771733</v>
      </c>
      <c r="W39" s="262">
        <f t="shared" si="0"/>
        <v>972.177199451256</v>
      </c>
      <c r="X39" s="262">
        <f t="shared" si="0"/>
        <v>714.46337098665231</v>
      </c>
      <c r="Y39" s="262">
        <f t="shared" si="0"/>
        <v>2026.8768660216631</v>
      </c>
      <c r="Z39" s="262">
        <f t="shared" si="0"/>
        <v>1488.3343825271618</v>
      </c>
      <c r="AA39" s="270">
        <f t="shared" si="0"/>
        <v>0</v>
      </c>
      <c r="AB39" s="273">
        <f t="shared" si="0"/>
        <v>1845.9790716250661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10480.013143094378</v>
      </c>
      <c r="AK39" s="273">
        <f t="shared" si="1"/>
        <v>41337.137432924901</v>
      </c>
      <c r="AL39" s="273">
        <f t="shared" si="1"/>
        <v>89649.587392679852</v>
      </c>
      <c r="AM39" s="273">
        <f t="shared" si="1"/>
        <v>10065.471633625031</v>
      </c>
      <c r="AN39" s="273">
        <f t="shared" si="1"/>
        <v>65289.877588653559</v>
      </c>
      <c r="AO39" s="273">
        <f t="shared" si="1"/>
        <v>81792.106978352851</v>
      </c>
      <c r="AP39" s="273">
        <f t="shared" si="1"/>
        <v>20241.111061954496</v>
      </c>
      <c r="AQ39" s="273">
        <f t="shared" si="1"/>
        <v>60397.702876536045</v>
      </c>
      <c r="AR39" s="273">
        <f t="shared" si="1"/>
        <v>13092.115741459527</v>
      </c>
      <c r="AS39" s="273">
        <f t="shared" si="1"/>
        <v>18866.038737964631</v>
      </c>
    </row>
    <row r="40" spans="1:45" ht="15.75" thickBot="1" x14ac:dyDescent="0.3">
      <c r="A40" s="47" t="s">
        <v>172</v>
      </c>
      <c r="B40" s="32">
        <f>Projection!$AA$30</f>
        <v>0.82128400199999985</v>
      </c>
      <c r="C40" s="33">
        <f>Projection!$AA$28</f>
        <v>1.4863548</v>
      </c>
      <c r="D40" s="33">
        <f>Projection!$AA$31</f>
        <v>3.0824639999999999</v>
      </c>
      <c r="E40" s="33">
        <f>Projection!$AA$26</f>
        <v>3.9898560000000005</v>
      </c>
      <c r="F40" s="33">
        <f>Projection!$AA$23</f>
        <v>0</v>
      </c>
      <c r="G40" s="33">
        <f>Projection!$AA$24</f>
        <v>5.7950000000000002E-2</v>
      </c>
      <c r="H40" s="34">
        <f>Projection!$AA$29</f>
        <v>3.7390305000000001</v>
      </c>
      <c r="I40" s="32">
        <f>Projection!$AA$30</f>
        <v>0.82128400199999985</v>
      </c>
      <c r="J40" s="33">
        <f>Projection!$AA$28</f>
        <v>1.4863548</v>
      </c>
      <c r="K40" s="33">
        <f>Projection!$AA$26</f>
        <v>3.9898560000000005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Projection!$AA$28</f>
        <v>1.4863548</v>
      </c>
      <c r="T40" s="38">
        <f>Projection!$AA$28</f>
        <v>1.4863548</v>
      </c>
      <c r="U40" s="26">
        <f>Projection!$AA$27</f>
        <v>0.29960000000000003</v>
      </c>
      <c r="V40" s="27">
        <f>Projection!$AA$27</f>
        <v>0.29960000000000003</v>
      </c>
      <c r="W40" s="27">
        <f>Projection!$AA$22</f>
        <v>0.74349432000000004</v>
      </c>
      <c r="X40" s="27">
        <f>Projection!$AA$22</f>
        <v>0.74349432000000004</v>
      </c>
      <c r="Y40" s="27">
        <f>Projection!$AA$31</f>
        <v>3.0824639999999999</v>
      </c>
      <c r="Z40" s="27">
        <f>Projection!$AA$31</f>
        <v>3.0824639999999999</v>
      </c>
      <c r="AA40" s="28">
        <v>0</v>
      </c>
      <c r="AB40" s="41">
        <f>Projection!$AA$27</f>
        <v>0.29960000000000003</v>
      </c>
      <c r="AC40" s="41">
        <f>Projection!$AA$30</f>
        <v>0.82128400199999985</v>
      </c>
      <c r="AD40" s="400">
        <f>SUM(AD8:AD38)</f>
        <v>259.73060033716041</v>
      </c>
      <c r="AE40" s="400">
        <f>SUM(AE8:AE38)</f>
        <v>188.22180062534605</v>
      </c>
      <c r="AF40" s="277">
        <f>SUM(AF8:AF38)</f>
        <v>431.63412060737625</v>
      </c>
      <c r="AG40" s="277">
        <f>SUM(AG8:AG38)</f>
        <v>245.58944067103343</v>
      </c>
      <c r="AH40" s="277">
        <f>SUM(AH8:AH38)</f>
        <v>180.5737265233532</v>
      </c>
      <c r="AI40" s="277">
        <f>IF(SUM(AG40:AH40)&gt;0, AG40/(AG40+AH40), 0)</f>
        <v>0.57628030664370444</v>
      </c>
      <c r="AJ40" s="312">
        <v>6.7000000000000004E-2</v>
      </c>
      <c r="AK40" s="312">
        <f t="shared" ref="AK40:AS40" si="2">$AJ$40</f>
        <v>6.7000000000000004E-2</v>
      </c>
      <c r="AL40" s="312">
        <f t="shared" si="2"/>
        <v>6.7000000000000004E-2</v>
      </c>
      <c r="AM40" s="312">
        <f t="shared" si="2"/>
        <v>6.7000000000000004E-2</v>
      </c>
      <c r="AN40" s="312">
        <f t="shared" si="2"/>
        <v>6.7000000000000004E-2</v>
      </c>
      <c r="AO40" s="312">
        <f t="shared" si="2"/>
        <v>6.7000000000000004E-2</v>
      </c>
      <c r="AP40" s="312">
        <f t="shared" si="2"/>
        <v>6.7000000000000004E-2</v>
      </c>
      <c r="AQ40" s="312">
        <f t="shared" si="2"/>
        <v>6.7000000000000004E-2</v>
      </c>
      <c r="AR40" s="312">
        <f t="shared" si="2"/>
        <v>6.7000000000000004E-2</v>
      </c>
      <c r="AS40" s="312">
        <f t="shared" si="2"/>
        <v>6.7000000000000004E-2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3446.8420803123045</v>
      </c>
      <c r="D41" s="36">
        <f t="shared" si="3"/>
        <v>77229.445549448908</v>
      </c>
      <c r="E41" s="36">
        <f t="shared" si="3"/>
        <v>3594.6013617898839</v>
      </c>
      <c r="F41" s="36">
        <f t="shared" si="3"/>
        <v>0</v>
      </c>
      <c r="G41" s="36">
        <f t="shared" si="3"/>
        <v>3528.8043302201927</v>
      </c>
      <c r="H41" s="37">
        <f t="shared" si="3"/>
        <v>3087.5951041335102</v>
      </c>
      <c r="I41" s="35">
        <f t="shared" si="3"/>
        <v>2821.8993322970814</v>
      </c>
      <c r="J41" s="36">
        <f t="shared" si="3"/>
        <v>15688.464601888183</v>
      </c>
      <c r="K41" s="36">
        <f t="shared" si="3"/>
        <v>2288.9773742657094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1995.9708169545434</v>
      </c>
      <c r="V41" s="268">
        <f t="shared" si="3"/>
        <v>1467.5726208174012</v>
      </c>
      <c r="W41" s="268">
        <f t="shared" si="3"/>
        <v>722.80822582551605</v>
      </c>
      <c r="X41" s="268">
        <f t="shared" si="3"/>
        <v>531.19945817662881</v>
      </c>
      <c r="Y41" s="268">
        <f t="shared" si="3"/>
        <v>6247.7749719445992</v>
      </c>
      <c r="Z41" s="268">
        <f t="shared" si="3"/>
        <v>4587.7371541022048</v>
      </c>
      <c r="AA41" s="272">
        <f t="shared" si="3"/>
        <v>0</v>
      </c>
      <c r="AB41" s="275">
        <f t="shared" si="3"/>
        <v>553.05532985886987</v>
      </c>
      <c r="AC41" s="275">
        <f t="shared" si="3"/>
        <v>0</v>
      </c>
      <c r="AJ41" s="278">
        <f t="shared" ref="AJ41:AS41" si="4">AJ40*AJ39</f>
        <v>702.16088058732339</v>
      </c>
      <c r="AK41" s="278">
        <f t="shared" si="4"/>
        <v>2769.5882080059687</v>
      </c>
      <c r="AL41" s="278">
        <f t="shared" si="4"/>
        <v>6006.5223553095502</v>
      </c>
      <c r="AM41" s="278">
        <f t="shared" si="4"/>
        <v>674.38659945287714</v>
      </c>
      <c r="AN41" s="278">
        <f t="shared" si="4"/>
        <v>4374.4217984397883</v>
      </c>
      <c r="AO41" s="278">
        <f t="shared" si="4"/>
        <v>5480.0711675496414</v>
      </c>
      <c r="AP41" s="278">
        <f t="shared" si="4"/>
        <v>1356.1544411509512</v>
      </c>
      <c r="AQ41" s="278">
        <f t="shared" si="4"/>
        <v>4046.6460927279154</v>
      </c>
      <c r="AR41" s="278">
        <f t="shared" si="4"/>
        <v>877.17175467778839</v>
      </c>
      <c r="AS41" s="278">
        <f t="shared" si="4"/>
        <v>1264.0245954436302</v>
      </c>
    </row>
    <row r="42" spans="1:45" ht="49.5" customHeight="1" thickTop="1" thickBot="1" x14ac:dyDescent="0.3">
      <c r="A42" s="633">
        <v>43466</v>
      </c>
      <c r="B42" s="634"/>
      <c r="C42" s="634"/>
      <c r="D42" s="634"/>
      <c r="E42" s="634"/>
      <c r="F42" s="634"/>
      <c r="G42" s="634"/>
      <c r="H42" s="634"/>
      <c r="I42" s="634"/>
      <c r="J42" s="634"/>
      <c r="K42" s="63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1677.99</v>
      </c>
      <c r="AK42" s="278" t="s">
        <v>197</v>
      </c>
      <c r="AL42" s="278">
        <v>3039.05</v>
      </c>
      <c r="AM42" s="278">
        <v>1197.68</v>
      </c>
      <c r="AN42" s="278">
        <v>1687.32</v>
      </c>
      <c r="AO42" s="278">
        <v>8722.17</v>
      </c>
      <c r="AP42" s="278">
        <v>1961.15</v>
      </c>
      <c r="AQ42" s="278" t="s">
        <v>197</v>
      </c>
      <c r="AR42" s="278">
        <v>288.83999999999997</v>
      </c>
      <c r="AS42" s="278">
        <v>650.95000000000005</v>
      </c>
    </row>
    <row r="43" spans="1:45" ht="38.25" customHeight="1" thickTop="1" thickBot="1" x14ac:dyDescent="0.3">
      <c r="A43" s="630" t="s">
        <v>49</v>
      </c>
      <c r="B43" s="626"/>
      <c r="C43" s="289"/>
      <c r="D43" s="626" t="s">
        <v>47</v>
      </c>
      <c r="E43" s="626"/>
      <c r="F43" s="289"/>
      <c r="G43" s="626" t="s">
        <v>48</v>
      </c>
      <c r="H43" s="626"/>
      <c r="I43" s="290"/>
      <c r="J43" s="626" t="s">
        <v>50</v>
      </c>
      <c r="K43" s="627"/>
      <c r="L43" s="44"/>
      <c r="M43" s="44"/>
      <c r="N43" s="44"/>
      <c r="O43" s="45"/>
      <c r="P43" s="45"/>
      <c r="Q43" s="45"/>
      <c r="R43" s="615" t="s">
        <v>166</v>
      </c>
      <c r="S43" s="616"/>
      <c r="T43" s="616"/>
      <c r="U43" s="617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127792.74831203553</v>
      </c>
      <c r="C44" s="12"/>
      <c r="D44" s="282" t="s">
        <v>135</v>
      </c>
      <c r="E44" s="283">
        <f>SUM(B41:H41)+P41+R41+T41+V41+X41+Z41</f>
        <v>97473.797659001037</v>
      </c>
      <c r="F44" s="12"/>
      <c r="G44" s="282" t="s">
        <v>135</v>
      </c>
      <c r="H44" s="283">
        <f>SUM(I41:N41)+O41+Q41+S41+U41+W41+Y41</f>
        <v>29765.895323175635</v>
      </c>
      <c r="I44" s="12"/>
      <c r="J44" s="282" t="s">
        <v>198</v>
      </c>
      <c r="K44" s="283">
        <v>105629.83</v>
      </c>
      <c r="L44" s="12"/>
      <c r="M44" s="12"/>
      <c r="N44" s="12"/>
      <c r="O44" s="12"/>
      <c r="P44" s="12"/>
      <c r="Q44" s="12"/>
      <c r="R44" s="300" t="s">
        <v>135</v>
      </c>
      <c r="S44" s="301"/>
      <c r="T44" s="297" t="s">
        <v>167</v>
      </c>
      <c r="U44" s="255" t="s">
        <v>168</v>
      </c>
    </row>
    <row r="45" spans="1:45" ht="24" thickBot="1" x14ac:dyDescent="0.4">
      <c r="A45" s="284" t="s">
        <v>183</v>
      </c>
      <c r="B45" s="285">
        <f>SUM(AJ41:AS41)</f>
        <v>27551.147893345435</v>
      </c>
      <c r="C45" s="12"/>
      <c r="D45" s="284" t="s">
        <v>183</v>
      </c>
      <c r="E45" s="285">
        <f>AJ41*(1-$AI$40)+AK41+AL41*0.5+AN41+AO41*(1-$AI$40)+AP41*(1-$AI$40)+AQ41*(1-$AI$40)+AR41*0.5+AS41*0.5</f>
        <v>16126.675812335681</v>
      </c>
      <c r="F45" s="24"/>
      <c r="G45" s="284" t="s">
        <v>183</v>
      </c>
      <c r="H45" s="285">
        <f>AJ41*AI40+AL41*0.5+AM41+AO41*AI40+AP41*AI40+AQ41*AI40+AR41*0.5+AS41*0.5</f>
        <v>11424.47208100975</v>
      </c>
      <c r="I45" s="12"/>
      <c r="J45" s="12"/>
      <c r="K45" s="288"/>
      <c r="L45" s="12"/>
      <c r="M45" s="12"/>
      <c r="N45" s="12"/>
      <c r="O45" s="12"/>
      <c r="P45" s="12"/>
      <c r="Q45" s="12"/>
      <c r="R45" s="298" t="s">
        <v>141</v>
      </c>
      <c r="S45" s="299"/>
      <c r="T45" s="254">
        <f>$W$39+$X$39</f>
        <v>1686.6405704379083</v>
      </c>
      <c r="U45" s="256">
        <f>(T45*8.34*0.895)/27000</f>
        <v>0.46628115592295111</v>
      </c>
    </row>
    <row r="46" spans="1:45" ht="32.25" thickBot="1" x14ac:dyDescent="0.3">
      <c r="A46" s="286" t="s">
        <v>184</v>
      </c>
      <c r="B46" s="287">
        <f>SUM(AJ42:AS42)</f>
        <v>19225.150000000001</v>
      </c>
      <c r="C46" s="12"/>
      <c r="D46" s="286" t="s">
        <v>184</v>
      </c>
      <c r="E46" s="287">
        <f>AJ42*(1-$AI$40)+AL42*0.5+AN42+AO42*(1-$AI$40)+AP42*(1-$AI$40)+AR42*0.5+AS42*0.5</f>
        <v>8914.4704826821089</v>
      </c>
      <c r="F46" s="23"/>
      <c r="G46" s="286" t="s">
        <v>184</v>
      </c>
      <c r="H46" s="287">
        <f>AJ42*AI40+AL42*0.5+AM42+AO42*AI40+AP42*AI40+AR42*0.5+AS42*0.5</f>
        <v>10310.679517317891</v>
      </c>
      <c r="I46" s="12"/>
      <c r="J46" s="628" t="s">
        <v>199</v>
      </c>
      <c r="K46" s="629"/>
      <c r="L46" s="12"/>
      <c r="M46" s="12"/>
      <c r="N46" s="12"/>
      <c r="O46" s="12"/>
      <c r="P46" s="12"/>
      <c r="Q46" s="12"/>
      <c r="R46" s="298" t="s">
        <v>145</v>
      </c>
      <c r="S46" s="299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105629.83</v>
      </c>
      <c r="C47" s="12"/>
      <c r="D47" s="286" t="s">
        <v>187</v>
      </c>
      <c r="E47" s="287">
        <f>K44*0.5</f>
        <v>52814.915000000001</v>
      </c>
      <c r="F47" s="24"/>
      <c r="G47" s="286" t="s">
        <v>185</v>
      </c>
      <c r="H47" s="287">
        <f>K44*0.5</f>
        <v>52814.915000000001</v>
      </c>
      <c r="I47" s="12"/>
      <c r="J47" s="282" t="s">
        <v>198</v>
      </c>
      <c r="K47" s="283">
        <v>24518.359999999993</v>
      </c>
      <c r="L47" s="12"/>
      <c r="M47" s="12"/>
      <c r="N47" s="12"/>
      <c r="O47" s="12"/>
      <c r="P47" s="12"/>
      <c r="Q47" s="12"/>
      <c r="R47" s="298" t="s">
        <v>148</v>
      </c>
      <c r="S47" s="299"/>
      <c r="T47" s="254">
        <f>$G$39</f>
        <v>60893.948752721182</v>
      </c>
      <c r="U47" s="256">
        <f>T47/40000</f>
        <v>1.5223487188180296</v>
      </c>
    </row>
    <row r="48" spans="1:45" ht="24" thickBot="1" x14ac:dyDescent="0.3">
      <c r="A48" s="286" t="s">
        <v>186</v>
      </c>
      <c r="B48" s="287">
        <f>K47</f>
        <v>24518.359999999993</v>
      </c>
      <c r="C48" s="12"/>
      <c r="D48" s="286" t="s">
        <v>186</v>
      </c>
      <c r="E48" s="287">
        <f>K47*0.5</f>
        <v>12259.179999999997</v>
      </c>
      <c r="F48" s="23"/>
      <c r="G48" s="286" t="s">
        <v>186</v>
      </c>
      <c r="H48" s="287">
        <f>K47*0.5</f>
        <v>12259.179999999997</v>
      </c>
      <c r="I48" s="12"/>
      <c r="J48" s="12"/>
      <c r="K48" s="86"/>
      <c r="L48" s="12"/>
      <c r="M48" s="12"/>
      <c r="N48" s="12"/>
      <c r="O48" s="12"/>
      <c r="P48" s="12"/>
      <c r="Q48" s="12"/>
      <c r="R48" s="298" t="s">
        <v>150</v>
      </c>
      <c r="S48" s="299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194</v>
      </c>
      <c r="B49" s="292">
        <f>AF40</f>
        <v>431.63412060737625</v>
      </c>
      <c r="C49" s="12"/>
      <c r="D49" s="291" t="s">
        <v>195</v>
      </c>
      <c r="E49" s="292">
        <f>AH40</f>
        <v>180.5737265233532</v>
      </c>
      <c r="F49" s="23"/>
      <c r="G49" s="291" t="s">
        <v>196</v>
      </c>
      <c r="H49" s="292">
        <f>AG40</f>
        <v>245.58944067103343</v>
      </c>
      <c r="I49" s="12"/>
      <c r="J49" s="12"/>
      <c r="K49" s="86"/>
      <c r="L49" s="12"/>
      <c r="M49" s="12"/>
      <c r="N49" s="12"/>
      <c r="O49" s="12"/>
      <c r="P49" s="12"/>
      <c r="Q49" s="12"/>
      <c r="R49" s="298" t="s">
        <v>152</v>
      </c>
      <c r="S49" s="299"/>
      <c r="T49" s="254">
        <f>$E$39+$K$39</f>
        <v>1474.6343567425974</v>
      </c>
      <c r="U49" s="256">
        <f>(T49*8.34*1.04)/45000</f>
        <v>0.28423085681427984</v>
      </c>
    </row>
    <row r="50" spans="1:25" ht="48" customHeight="1" thickTop="1" thickBot="1" x14ac:dyDescent="0.3">
      <c r="A50" s="291" t="s">
        <v>223</v>
      </c>
      <c r="B50" s="292">
        <f>SUM(E50,H50)</f>
        <v>447.95240096250643</v>
      </c>
      <c r="C50" s="12"/>
      <c r="D50" s="291" t="s">
        <v>224</v>
      </c>
      <c r="E50" s="292">
        <f>AE40</f>
        <v>188.22180062534605</v>
      </c>
      <c r="F50" s="23"/>
      <c r="G50" s="291" t="s">
        <v>225</v>
      </c>
      <c r="H50" s="292">
        <f>AD40</f>
        <v>259.73060033716041</v>
      </c>
      <c r="I50" s="12"/>
      <c r="J50" s="12"/>
      <c r="K50" s="86"/>
      <c r="L50" s="12"/>
      <c r="M50" s="12"/>
      <c r="N50" s="12"/>
      <c r="O50" s="12"/>
      <c r="P50" s="12"/>
      <c r="Q50" s="12"/>
      <c r="R50" s="317"/>
      <c r="S50" s="318"/>
      <c r="T50" s="254"/>
      <c r="U50" s="256"/>
    </row>
    <row r="51" spans="1:25" ht="48" thickTop="1" thickBot="1" x14ac:dyDescent="0.3">
      <c r="A51" s="291" t="s">
        <v>190</v>
      </c>
      <c r="B51" s="293">
        <f>(SUM(B44:B48)/B50)</f>
        <v>680.24467677958876</v>
      </c>
      <c r="C51" s="12"/>
      <c r="D51" s="291" t="s">
        <v>188</v>
      </c>
      <c r="E51" s="293">
        <f>SUM(E44:E48)/E50</f>
        <v>996.63821263411069</v>
      </c>
      <c r="F51" s="23"/>
      <c r="G51" s="291" t="s">
        <v>189</v>
      </c>
      <c r="H51" s="293">
        <f>SUM(H44:H48)/H50</f>
        <v>448.83098783961236</v>
      </c>
      <c r="I51" s="12"/>
      <c r="J51" s="12"/>
      <c r="K51" s="86"/>
      <c r="L51" s="12"/>
      <c r="M51" s="12"/>
      <c r="N51" s="12"/>
      <c r="O51" s="12"/>
      <c r="P51" s="12"/>
      <c r="Q51" s="12"/>
      <c r="R51" s="298" t="s">
        <v>153</v>
      </c>
      <c r="S51" s="299"/>
      <c r="T51" s="254">
        <f>$U$39+$V$39+$AB$39</f>
        <v>13406.53794269297</v>
      </c>
      <c r="U51" s="256">
        <f>T51/2000/8</f>
        <v>0.83790862141831068</v>
      </c>
    </row>
    <row r="52" spans="1:25" ht="47.25" customHeight="1" thickTop="1" thickBot="1" x14ac:dyDescent="0.3">
      <c r="A52" s="281" t="s">
        <v>191</v>
      </c>
      <c r="B52" s="294">
        <f>B51/1000</f>
        <v>0.68024467677958877</v>
      </c>
      <c r="C52" s="12"/>
      <c r="D52" s="281" t="s">
        <v>192</v>
      </c>
      <c r="E52" s="294">
        <f>E51/1000</f>
        <v>0.99663821263411068</v>
      </c>
      <c r="F52" s="373">
        <f>E44/E49</f>
        <v>539.80055424283978</v>
      </c>
      <c r="G52" s="281" t="s">
        <v>193</v>
      </c>
      <c r="H52" s="294">
        <f>H51/1000</f>
        <v>0.44883098783961234</v>
      </c>
      <c r="I52" s="373">
        <f>H44/H49</f>
        <v>121.20185314908142</v>
      </c>
      <c r="J52" s="12"/>
      <c r="K52" s="86"/>
      <c r="L52" s="12"/>
      <c r="M52" s="12"/>
      <c r="N52" s="12"/>
      <c r="O52" s="12"/>
      <c r="P52" s="12"/>
      <c r="Q52" s="12"/>
      <c r="R52" s="298" t="s">
        <v>154</v>
      </c>
      <c r="S52" s="299"/>
      <c r="T52" s="254">
        <f>$C$39+$J$39+$S$39+$T$39</f>
        <v>12873.98317158224</v>
      </c>
      <c r="U52" s="256">
        <f>(T52*8.34*1.4)/45000</f>
        <v>3.3403695002532046</v>
      </c>
    </row>
    <row r="53" spans="1:25" ht="16.5" thickTop="1" thickBot="1" x14ac:dyDescent="0.3">
      <c r="A53" s="302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298" t="s">
        <v>155</v>
      </c>
      <c r="S53" s="299"/>
      <c r="T53" s="254">
        <f>$H$39</f>
        <v>825.77424926956598</v>
      </c>
      <c r="U53" s="256">
        <f>(T53*8.34*1.135)/45000</f>
        <v>0.17370436591468411</v>
      </c>
    </row>
    <row r="54" spans="1:25" ht="48" customHeight="1" thickTop="1" thickBot="1" x14ac:dyDescent="0.3">
      <c r="A54" s="618" t="s">
        <v>51</v>
      </c>
      <c r="B54" s="619"/>
      <c r="C54" s="619"/>
      <c r="D54" s="619"/>
      <c r="E54" s="62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298" t="s">
        <v>156</v>
      </c>
      <c r="S54" s="299"/>
      <c r="T54" s="254">
        <f>$B$39+$I$39+$AC$39</f>
        <v>3435.960429553189</v>
      </c>
      <c r="U54" s="256">
        <f>(T54*8.34*1.029*0.03)/3300</f>
        <v>0.2680630124724121</v>
      </c>
    </row>
    <row r="55" spans="1:25" ht="57" customHeight="1" thickBot="1" x14ac:dyDescent="0.3">
      <c r="A55" s="623" t="s">
        <v>200</v>
      </c>
      <c r="B55" s="624"/>
      <c r="C55" s="624"/>
      <c r="D55" s="624"/>
      <c r="E55" s="62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1" t="s">
        <v>158</v>
      </c>
      <c r="S55" s="632"/>
      <c r="T55" s="258">
        <f>$D$39+$Y$39+$Z$39</f>
        <v>28569.662995413968</v>
      </c>
      <c r="U55" s="259">
        <f>(T55*1.54*8.34)/45000</f>
        <v>8.1541627477310854</v>
      </c>
    </row>
    <row r="56" spans="1:25" ht="15.75" thickTop="1" x14ac:dyDescent="0.25">
      <c r="A56" s="303"/>
      <c r="B56" s="303"/>
      <c r="C56" s="303"/>
      <c r="D56" s="303"/>
      <c r="E56" s="303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614"/>
      <c r="S56" s="614"/>
      <c r="T56" s="310"/>
      <c r="U56" s="311"/>
    </row>
    <row r="57" spans="1:25" x14ac:dyDescent="0.25">
      <c r="A57" s="314"/>
      <c r="B57" s="315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321"/>
      <c r="B58" s="315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315"/>
      <c r="B59" s="315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321"/>
      <c r="B60" s="315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315"/>
      <c r="B61" s="315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</sheetData>
  <sheetProtection algorithmName="SHA-512" hashValue="inmA4yUjiGmP0MLPuC1837d8UO99LwDiVbHJnIuhTIsV1xQpzRhjjEdyxNa7yaFVG6RypsebWxNwjyfqG6IORQ==" saltValue="Wt0rr1orOzMvoXut+v1ZXA==" spinCount="100000" sheet="1" objects="1" scenarios="1" selectLockedCells="1" selectUnlockedCells="1"/>
  <mergeCells count="33">
    <mergeCell ref="AP4:AP5"/>
    <mergeCell ref="AQ4:AQ5"/>
    <mergeCell ref="AR4:AR5"/>
    <mergeCell ref="AS4:AS5"/>
    <mergeCell ref="AJ4:AJ5"/>
    <mergeCell ref="AK4:AK5"/>
    <mergeCell ref="AL4:AL5"/>
    <mergeCell ref="AM4:AM5"/>
    <mergeCell ref="AO4:AO5"/>
    <mergeCell ref="AN4:AN5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  <mergeCell ref="AE4:AE5"/>
    <mergeCell ref="R56:S56"/>
    <mergeCell ref="R43:U43"/>
    <mergeCell ref="A54:E54"/>
    <mergeCell ref="AD4:AD5"/>
    <mergeCell ref="A55:E55"/>
    <mergeCell ref="J43:K43"/>
    <mergeCell ref="J46:K46"/>
    <mergeCell ref="A43:B43"/>
    <mergeCell ref="D43:E43"/>
    <mergeCell ref="G43:H43"/>
    <mergeCell ref="R55:S55"/>
    <mergeCell ref="A42:K42"/>
  </mergeCells>
  <pageMargins left="0.33" right="0.19" top="0.75" bottom="0.75" header="0.3" footer="0.3"/>
  <pageSetup scale="52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W64"/>
  <sheetViews>
    <sheetView topLeftCell="A45" zoomScale="80" zoomScaleNormal="80" workbookViewId="0">
      <selection activeCell="L37" sqref="L37"/>
    </sheetView>
  </sheetViews>
  <sheetFormatPr defaultRowHeight="15" x14ac:dyDescent="0.25"/>
  <cols>
    <col min="1" max="1" width="35.140625" bestFit="1" customWidth="1"/>
    <col min="2" max="2" width="19.2851562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7.42578125" bestFit="1" customWidth="1"/>
    <col min="9" max="9" width="15" bestFit="1" customWidth="1"/>
    <col min="10" max="10" width="16.42578125" bestFit="1" customWidth="1"/>
    <col min="11" max="11" width="19.140625" bestFit="1" customWidth="1"/>
    <col min="12" max="12" width="17" bestFit="1" customWidth="1"/>
    <col min="13" max="13" width="16.140625" bestFit="1" customWidth="1"/>
    <col min="14" max="14" width="15.140625" bestFit="1" customWidth="1"/>
    <col min="15" max="16" width="16.28515625" bestFit="1" customWidth="1"/>
    <col min="17" max="17" width="24.140625" bestFit="1" customWidth="1"/>
    <col min="18" max="18" width="24.5703125" bestFit="1" customWidth="1"/>
    <col min="19" max="19" width="26.140625" bestFit="1" customWidth="1"/>
    <col min="20" max="20" width="26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6" width="20.28515625" customWidth="1"/>
    <col min="47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37" t="s">
        <v>3</v>
      </c>
      <c r="C4" s="638"/>
      <c r="D4" s="638"/>
      <c r="E4" s="638"/>
      <c r="F4" s="638"/>
      <c r="G4" s="638"/>
      <c r="H4" s="639"/>
      <c r="I4" s="637" t="s">
        <v>4</v>
      </c>
      <c r="J4" s="638"/>
      <c r="K4" s="638"/>
      <c r="L4" s="638"/>
      <c r="M4" s="638"/>
      <c r="N4" s="639"/>
      <c r="O4" s="643" t="s">
        <v>5</v>
      </c>
      <c r="P4" s="644"/>
      <c r="Q4" s="645"/>
      <c r="R4" s="645"/>
      <c r="S4" s="645"/>
      <c r="T4" s="646"/>
      <c r="U4" s="637" t="s">
        <v>6</v>
      </c>
      <c r="V4" s="650"/>
      <c r="W4" s="650"/>
      <c r="X4" s="650"/>
      <c r="Y4" s="650"/>
      <c r="Z4" s="650"/>
      <c r="AA4" s="651"/>
      <c r="AB4" s="655" t="s">
        <v>7</v>
      </c>
      <c r="AC4" s="657" t="s">
        <v>8</v>
      </c>
      <c r="AD4" s="621" t="s">
        <v>222</v>
      </c>
      <c r="AE4" s="621" t="s">
        <v>221</v>
      </c>
      <c r="AF4" s="621" t="s">
        <v>27</v>
      </c>
      <c r="AG4" s="621" t="s">
        <v>31</v>
      </c>
      <c r="AH4" s="621" t="s">
        <v>32</v>
      </c>
      <c r="AI4" s="621" t="s">
        <v>33</v>
      </c>
      <c r="AJ4" s="655" t="s">
        <v>173</v>
      </c>
      <c r="AK4" s="655" t="s">
        <v>174</v>
      </c>
      <c r="AL4" s="655" t="s">
        <v>175</v>
      </c>
      <c r="AM4" s="655" t="s">
        <v>176</v>
      </c>
      <c r="AN4" s="655" t="s">
        <v>177</v>
      </c>
      <c r="AO4" s="655" t="s">
        <v>178</v>
      </c>
      <c r="AP4" s="655" t="s">
        <v>179</v>
      </c>
      <c r="AQ4" s="655" t="s">
        <v>182</v>
      </c>
      <c r="AR4" s="655" t="s">
        <v>180</v>
      </c>
      <c r="AS4" s="655" t="s">
        <v>181</v>
      </c>
    </row>
    <row r="5" spans="1:49" ht="30" customHeight="1" thickBot="1" x14ac:dyDescent="0.3">
      <c r="A5" s="13"/>
      <c r="B5" s="640"/>
      <c r="C5" s="641"/>
      <c r="D5" s="641"/>
      <c r="E5" s="641"/>
      <c r="F5" s="641"/>
      <c r="G5" s="641"/>
      <c r="H5" s="642"/>
      <c r="I5" s="640"/>
      <c r="J5" s="641"/>
      <c r="K5" s="641"/>
      <c r="L5" s="641"/>
      <c r="M5" s="641"/>
      <c r="N5" s="642"/>
      <c r="O5" s="647"/>
      <c r="P5" s="648"/>
      <c r="Q5" s="648"/>
      <c r="R5" s="648"/>
      <c r="S5" s="648"/>
      <c r="T5" s="649"/>
      <c r="U5" s="652"/>
      <c r="V5" s="653"/>
      <c r="W5" s="653"/>
      <c r="X5" s="653"/>
      <c r="Y5" s="653"/>
      <c r="Z5" s="653"/>
      <c r="AA5" s="654"/>
      <c r="AB5" s="656"/>
      <c r="AC5" s="658"/>
      <c r="AD5" s="622"/>
      <c r="AE5" s="622"/>
      <c r="AF5" s="636"/>
      <c r="AG5" s="636"/>
      <c r="AH5" s="636"/>
      <c r="AI5" s="636"/>
      <c r="AJ5" s="622"/>
      <c r="AK5" s="622"/>
      <c r="AL5" s="622"/>
      <c r="AM5" s="622"/>
      <c r="AN5" s="622"/>
      <c r="AO5" s="622"/>
      <c r="AP5" s="622"/>
      <c r="AQ5" s="622"/>
      <c r="AR5" s="622"/>
      <c r="AS5" s="622"/>
      <c r="AV5" t="s">
        <v>169</v>
      </c>
      <c r="AW5" s="337" t="s">
        <v>207</v>
      </c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05" t="s">
        <v>23</v>
      </c>
      <c r="AD7" s="398" t="s">
        <v>28</v>
      </c>
      <c r="AE7" s="398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43497</v>
      </c>
      <c r="B8" s="49"/>
      <c r="C8" s="50">
        <v>71.214702141285173</v>
      </c>
      <c r="D8" s="50">
        <v>756.12087825139361</v>
      </c>
      <c r="E8" s="50">
        <v>29.94651797513156</v>
      </c>
      <c r="F8" s="50">
        <v>0</v>
      </c>
      <c r="G8" s="50">
        <v>1781.9930978139223</v>
      </c>
      <c r="H8" s="51">
        <v>26.470278336604459</v>
      </c>
      <c r="I8" s="49">
        <v>110.8201236248013</v>
      </c>
      <c r="J8" s="50">
        <v>339.42719672521002</v>
      </c>
      <c r="K8" s="50">
        <v>18.323712453742822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212.08419418355109</v>
      </c>
      <c r="V8" s="54">
        <v>158.97514870941214</v>
      </c>
      <c r="W8" s="54">
        <v>30.521158546704026</v>
      </c>
      <c r="X8" s="54">
        <v>22.878205221396644</v>
      </c>
      <c r="Y8" s="54">
        <v>62.361128042311577</v>
      </c>
      <c r="Z8" s="54">
        <v>46.744971459933907</v>
      </c>
      <c r="AA8" s="55">
        <v>0</v>
      </c>
      <c r="AB8" s="56">
        <v>68.328605180316231</v>
      </c>
      <c r="AC8" s="57">
        <v>0</v>
      </c>
      <c r="AD8" s="408">
        <v>8.3527286356798029</v>
      </c>
      <c r="AE8" s="408">
        <v>6.0723788609902352</v>
      </c>
      <c r="AF8" s="57">
        <v>13.63920668231116</v>
      </c>
      <c r="AG8" s="58">
        <v>7.7126110501341021</v>
      </c>
      <c r="AH8" s="58">
        <v>5.7812582090477154</v>
      </c>
      <c r="AI8" s="58">
        <v>0.57156408603011366</v>
      </c>
      <c r="AJ8" s="57">
        <v>310.62278461456299</v>
      </c>
      <c r="AK8" s="57">
        <v>1296.713680712382</v>
      </c>
      <c r="AL8" s="57">
        <v>2932.1549622853595</v>
      </c>
      <c r="AM8" s="57">
        <v>209.26883697509766</v>
      </c>
      <c r="AN8" s="57">
        <v>1157.3206787109375</v>
      </c>
      <c r="AO8" s="57">
        <v>2619.5336673736574</v>
      </c>
      <c r="AP8" s="57">
        <v>608.60527410507189</v>
      </c>
      <c r="AQ8" s="57">
        <v>1974.2917947133385</v>
      </c>
      <c r="AR8" s="57">
        <v>409.87342995007828</v>
      </c>
      <c r="AS8" s="57">
        <v>600.21824798583975</v>
      </c>
    </row>
    <row r="9" spans="1:49" x14ac:dyDescent="0.25">
      <c r="A9" s="11">
        <v>43498</v>
      </c>
      <c r="B9" s="59"/>
      <c r="C9" s="60">
        <v>69.614152967929968</v>
      </c>
      <c r="D9" s="60">
        <v>748.38349809646661</v>
      </c>
      <c r="E9" s="60">
        <v>30.136473349233331</v>
      </c>
      <c r="F9" s="60">
        <v>0</v>
      </c>
      <c r="G9" s="60">
        <v>1744.4911852518717</v>
      </c>
      <c r="H9" s="61">
        <v>26.42900736729311</v>
      </c>
      <c r="I9" s="59">
        <v>109.54315698941514</v>
      </c>
      <c r="J9" s="60">
        <v>335.40743816693686</v>
      </c>
      <c r="K9" s="60">
        <v>18.206993207335469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212.78361348800155</v>
      </c>
      <c r="V9" s="62">
        <v>153.93393354721189</v>
      </c>
      <c r="W9" s="62">
        <v>30.672815842405221</v>
      </c>
      <c r="X9" s="62">
        <v>22.189618449434377</v>
      </c>
      <c r="Y9" s="66">
        <v>63.127140237606397</v>
      </c>
      <c r="Z9" s="66">
        <v>45.668032660368254</v>
      </c>
      <c r="AA9" s="67">
        <v>0</v>
      </c>
      <c r="AB9" s="68">
        <v>68.429283237457611</v>
      </c>
      <c r="AC9" s="69">
        <v>0</v>
      </c>
      <c r="AD9" s="409">
        <v>8.253657329291654</v>
      </c>
      <c r="AE9" s="409">
        <v>6.059592356407296</v>
      </c>
      <c r="AF9" s="69">
        <v>13.653405169977082</v>
      </c>
      <c r="AG9" s="68">
        <v>7.8513627852049659</v>
      </c>
      <c r="AH9" s="68">
        <v>5.6799071010275117</v>
      </c>
      <c r="AI9" s="68">
        <v>0.58023842929874681</v>
      </c>
      <c r="AJ9" s="69">
        <v>295.76210501988731</v>
      </c>
      <c r="AK9" s="69">
        <v>1275.7757256825764</v>
      </c>
      <c r="AL9" s="69">
        <v>2908.16280225118</v>
      </c>
      <c r="AM9" s="69">
        <v>338.24004058837892</v>
      </c>
      <c r="AN9" s="69">
        <v>1157.3206787109375</v>
      </c>
      <c r="AO9" s="69">
        <v>2555.4919746398923</v>
      </c>
      <c r="AP9" s="69">
        <v>610.7027850151062</v>
      </c>
      <c r="AQ9" s="69">
        <v>1931.0775018692013</v>
      </c>
      <c r="AR9" s="69">
        <v>395.25995761553452</v>
      </c>
      <c r="AS9" s="69">
        <v>590.88227663040163</v>
      </c>
    </row>
    <row r="10" spans="1:49" x14ac:dyDescent="0.25">
      <c r="A10" s="11">
        <v>43499</v>
      </c>
      <c r="B10" s="59"/>
      <c r="C10" s="60">
        <v>69.465203328927885</v>
      </c>
      <c r="D10" s="60">
        <v>753.66759443283081</v>
      </c>
      <c r="E10" s="60">
        <v>30.175253602365508</v>
      </c>
      <c r="F10" s="60">
        <v>0</v>
      </c>
      <c r="G10" s="60">
        <v>1741.6448417663541</v>
      </c>
      <c r="H10" s="61">
        <v>26.620827581485145</v>
      </c>
      <c r="I10" s="59">
        <v>109.61639707883181</v>
      </c>
      <c r="J10" s="60">
        <v>335.76242194175768</v>
      </c>
      <c r="K10" s="60">
        <v>18.079519021014363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212.71675359310072</v>
      </c>
      <c r="V10" s="62">
        <v>159.55483841994001</v>
      </c>
      <c r="W10" s="62">
        <v>30.53458322556579</v>
      </c>
      <c r="X10" s="62">
        <v>22.903416917008535</v>
      </c>
      <c r="Y10" s="66">
        <v>63.936032532184981</v>
      </c>
      <c r="Z10" s="66">
        <v>47.95721619275254</v>
      </c>
      <c r="AA10" s="67">
        <v>0</v>
      </c>
      <c r="AB10" s="68">
        <v>68.140855720307854</v>
      </c>
      <c r="AC10" s="69">
        <v>0</v>
      </c>
      <c r="AD10" s="409">
        <v>8.2627245586398637</v>
      </c>
      <c r="AE10" s="409">
        <v>6.0641236589326759</v>
      </c>
      <c r="AF10" s="69">
        <v>14.002944576740253</v>
      </c>
      <c r="AG10" s="68">
        <v>7.9342852854433632</v>
      </c>
      <c r="AH10" s="68">
        <v>5.9513582513497116</v>
      </c>
      <c r="AI10" s="68">
        <v>0.57140205741417205</v>
      </c>
      <c r="AJ10" s="69">
        <v>287.83690417607625</v>
      </c>
      <c r="AK10" s="69">
        <v>1278.0539365132649</v>
      </c>
      <c r="AL10" s="69">
        <v>2889.3946810404459</v>
      </c>
      <c r="AM10" s="69">
        <v>451.08984375</v>
      </c>
      <c r="AN10" s="69">
        <v>1157.3206787109375</v>
      </c>
      <c r="AO10" s="69">
        <v>2488.8559084574376</v>
      </c>
      <c r="AP10" s="69">
        <v>594.20956068038947</v>
      </c>
      <c r="AQ10" s="69">
        <v>1910.4634687423709</v>
      </c>
      <c r="AR10" s="69">
        <v>388.83879758516952</v>
      </c>
      <c r="AS10" s="69">
        <v>621.68487695058172</v>
      </c>
    </row>
    <row r="11" spans="1:49" x14ac:dyDescent="0.25">
      <c r="A11" s="11">
        <v>43500</v>
      </c>
      <c r="B11" s="59"/>
      <c r="C11" s="60">
        <v>69.234318081538547</v>
      </c>
      <c r="D11" s="60">
        <v>753.39027392069409</v>
      </c>
      <c r="E11" s="60">
        <v>30.175488923489944</v>
      </c>
      <c r="F11" s="60">
        <v>0</v>
      </c>
      <c r="G11" s="60">
        <v>1743.88568318685</v>
      </c>
      <c r="H11" s="61">
        <v>26.584568188587877</v>
      </c>
      <c r="I11" s="59">
        <v>110.85838732719448</v>
      </c>
      <c r="J11" s="60">
        <v>339.80461168289219</v>
      </c>
      <c r="K11" s="60">
        <v>18.594944661855681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209.82423098733585</v>
      </c>
      <c r="V11" s="62">
        <v>157.10191948297484</v>
      </c>
      <c r="W11" s="62">
        <v>30.429389368003498</v>
      </c>
      <c r="X11" s="62">
        <v>22.783429043982572</v>
      </c>
      <c r="Y11" s="66">
        <v>63.329554026081951</v>
      </c>
      <c r="Z11" s="66">
        <v>47.416804297015261</v>
      </c>
      <c r="AA11" s="67">
        <v>0</v>
      </c>
      <c r="AB11" s="68">
        <v>68.580253261989682</v>
      </c>
      <c r="AC11" s="69">
        <v>0</v>
      </c>
      <c r="AD11" s="409">
        <v>8.3579324216502577</v>
      </c>
      <c r="AE11" s="409">
        <v>6.0618188127342822</v>
      </c>
      <c r="AF11" s="69">
        <v>13.84249559508431</v>
      </c>
      <c r="AG11" s="68">
        <v>7.8231268784687948</v>
      </c>
      <c r="AH11" s="68">
        <v>5.8574181026808114</v>
      </c>
      <c r="AI11" s="68">
        <v>0.57184321891037715</v>
      </c>
      <c r="AJ11" s="69">
        <v>296.70863997141521</v>
      </c>
      <c r="AK11" s="69">
        <v>1296.8781195322672</v>
      </c>
      <c r="AL11" s="69">
        <v>2907.165901184082</v>
      </c>
      <c r="AM11" s="69">
        <v>451.08984375</v>
      </c>
      <c r="AN11" s="69">
        <v>1157.3206787109375</v>
      </c>
      <c r="AO11" s="69">
        <v>2493.0409718831379</v>
      </c>
      <c r="AP11" s="69">
        <v>605.66642427444481</v>
      </c>
      <c r="AQ11" s="69">
        <v>1924.1517023722329</v>
      </c>
      <c r="AR11" s="69">
        <v>395.9882263024648</v>
      </c>
      <c r="AS11" s="69">
        <v>627.01257645289093</v>
      </c>
    </row>
    <row r="12" spans="1:49" x14ac:dyDescent="0.25">
      <c r="A12" s="11">
        <v>43501</v>
      </c>
      <c r="B12" s="59"/>
      <c r="C12" s="60">
        <v>66.496461959680659</v>
      </c>
      <c r="D12" s="60">
        <v>753.40151192347241</v>
      </c>
      <c r="E12" s="60">
        <v>30.111248957613952</v>
      </c>
      <c r="F12" s="60">
        <v>0</v>
      </c>
      <c r="G12" s="60">
        <v>1707.5453210194958</v>
      </c>
      <c r="H12" s="61">
        <v>26.473987718423256</v>
      </c>
      <c r="I12" s="59">
        <v>109.81813538074475</v>
      </c>
      <c r="J12" s="60">
        <v>336.20451420148305</v>
      </c>
      <c r="K12" s="60">
        <v>18.412431893249362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209.7264778790084</v>
      </c>
      <c r="V12" s="62">
        <v>147.26232786007435</v>
      </c>
      <c r="W12" s="62">
        <v>30.739819530232889</v>
      </c>
      <c r="X12" s="62">
        <v>21.584386615371482</v>
      </c>
      <c r="Y12" s="66">
        <v>63.057281164701543</v>
      </c>
      <c r="Z12" s="66">
        <v>44.276536309346007</v>
      </c>
      <c r="AA12" s="67">
        <v>0</v>
      </c>
      <c r="AB12" s="68">
        <v>68.998894686168867</v>
      </c>
      <c r="AC12" s="69">
        <v>0</v>
      </c>
      <c r="AD12" s="409">
        <v>8.2737530877959067</v>
      </c>
      <c r="AE12" s="409">
        <v>6.0617727416189595</v>
      </c>
      <c r="AF12" s="69">
        <v>13.449471254812337</v>
      </c>
      <c r="AG12" s="68">
        <v>7.8203457620026464</v>
      </c>
      <c r="AH12" s="68">
        <v>5.4911632199705416</v>
      </c>
      <c r="AI12" s="68">
        <v>0.58748754724901386</v>
      </c>
      <c r="AJ12" s="69">
        <v>304.50863898595173</v>
      </c>
      <c r="AK12" s="69">
        <v>1301.2428122838337</v>
      </c>
      <c r="AL12" s="69">
        <v>3271.5660814921057</v>
      </c>
      <c r="AM12" s="69">
        <v>451.08984375</v>
      </c>
      <c r="AN12" s="69">
        <v>1157.3206787109375</v>
      </c>
      <c r="AO12" s="69">
        <v>2541.5941762288412</v>
      </c>
      <c r="AP12" s="69">
        <v>629.72344989776605</v>
      </c>
      <c r="AQ12" s="69">
        <v>1921.095791689555</v>
      </c>
      <c r="AR12" s="69">
        <v>424.44183397293097</v>
      </c>
      <c r="AS12" s="69">
        <v>601.33876447677619</v>
      </c>
    </row>
    <row r="13" spans="1:49" x14ac:dyDescent="0.25">
      <c r="A13" s="11">
        <v>43502</v>
      </c>
      <c r="B13" s="59"/>
      <c r="C13" s="60">
        <v>61.168981083234179</v>
      </c>
      <c r="D13" s="60">
        <v>749.49155588149949</v>
      </c>
      <c r="E13" s="60">
        <v>30.011993823945371</v>
      </c>
      <c r="F13" s="60">
        <v>0</v>
      </c>
      <c r="G13" s="60">
        <v>1694.5791653951037</v>
      </c>
      <c r="H13" s="61">
        <v>26.621684173742995</v>
      </c>
      <c r="I13" s="59">
        <v>109.75795172850282</v>
      </c>
      <c r="J13" s="60">
        <v>336.36957295735749</v>
      </c>
      <c r="K13" s="60">
        <v>18.253740164140837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214.47205035448786</v>
      </c>
      <c r="V13" s="62">
        <v>160.89089255305333</v>
      </c>
      <c r="W13" s="62">
        <v>32.348972701217328</v>
      </c>
      <c r="X13" s="62">
        <v>24.267288359815428</v>
      </c>
      <c r="Y13" s="66">
        <v>64.55301581506518</v>
      </c>
      <c r="Z13" s="66">
        <v>48.425854624464236</v>
      </c>
      <c r="AA13" s="67">
        <v>0</v>
      </c>
      <c r="AB13" s="68">
        <v>68.99644335640815</v>
      </c>
      <c r="AC13" s="69">
        <v>0</v>
      </c>
      <c r="AD13" s="409">
        <v>8.2771201187223831</v>
      </c>
      <c r="AE13" s="409">
        <v>6.0601456230474016</v>
      </c>
      <c r="AF13" s="69">
        <v>14.135173155201802</v>
      </c>
      <c r="AG13" s="68">
        <v>7.9993750235329113</v>
      </c>
      <c r="AH13" s="68">
        <v>6.0009058768989414</v>
      </c>
      <c r="AI13" s="68">
        <v>0.57137246605431768</v>
      </c>
      <c r="AJ13" s="69">
        <v>323.48852709134422</v>
      </c>
      <c r="AK13" s="69">
        <v>1323.2927770614622</v>
      </c>
      <c r="AL13" s="69">
        <v>2848.5970204671225</v>
      </c>
      <c r="AM13" s="69">
        <v>451.08984375</v>
      </c>
      <c r="AN13" s="69">
        <v>1157.3206787109375</v>
      </c>
      <c r="AO13" s="69">
        <v>2633.1553755442301</v>
      </c>
      <c r="AP13" s="69">
        <v>687.42892694473267</v>
      </c>
      <c r="AQ13" s="69">
        <v>1931.9290231068928</v>
      </c>
      <c r="AR13" s="69">
        <v>490.72753691673273</v>
      </c>
      <c r="AS13" s="69">
        <v>624.59882745742777</v>
      </c>
    </row>
    <row r="14" spans="1:49" x14ac:dyDescent="0.25">
      <c r="A14" s="11">
        <v>43503</v>
      </c>
      <c r="B14" s="59"/>
      <c r="C14" s="60">
        <v>59.289615825812021</v>
      </c>
      <c r="D14" s="60">
        <v>744.99640779495166</v>
      </c>
      <c r="E14" s="60">
        <v>28.003257745504403</v>
      </c>
      <c r="F14" s="60">
        <v>0</v>
      </c>
      <c r="G14" s="60">
        <v>1881.4447923024532</v>
      </c>
      <c r="H14" s="61">
        <v>26.548255372047475</v>
      </c>
      <c r="I14" s="59">
        <v>110.54702170689936</v>
      </c>
      <c r="J14" s="60">
        <v>338.70695590972969</v>
      </c>
      <c r="K14" s="60">
        <v>18.27200190722942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199.93357689467564</v>
      </c>
      <c r="V14" s="62">
        <v>144.4883830883017</v>
      </c>
      <c r="W14" s="62">
        <v>29.57050778043552</v>
      </c>
      <c r="X14" s="62">
        <v>21.370071614063924</v>
      </c>
      <c r="Y14" s="66">
        <v>61.984597480275873</v>
      </c>
      <c r="Z14" s="66">
        <v>44.795148495854214</v>
      </c>
      <c r="AA14" s="67">
        <v>0</v>
      </c>
      <c r="AB14" s="68">
        <v>69.205434815088495</v>
      </c>
      <c r="AC14" s="69">
        <v>0</v>
      </c>
      <c r="AD14" s="409">
        <v>8.3341711766197317</v>
      </c>
      <c r="AE14" s="409">
        <v>6.0575736110038934</v>
      </c>
      <c r="AF14" s="69">
        <v>13.357796931929064</v>
      </c>
      <c r="AG14" s="68">
        <v>7.6601312466282243</v>
      </c>
      <c r="AH14" s="68">
        <v>5.5358384282423341</v>
      </c>
      <c r="AI14" s="68">
        <v>0.58049021294855041</v>
      </c>
      <c r="AJ14" s="69">
        <v>339.5476508299509</v>
      </c>
      <c r="AK14" s="69">
        <v>1341.2006336212155</v>
      </c>
      <c r="AL14" s="69">
        <v>2842.0925637563073</v>
      </c>
      <c r="AM14" s="69">
        <v>451.08984375</v>
      </c>
      <c r="AN14" s="69">
        <v>1157.3206787109375</v>
      </c>
      <c r="AO14" s="69">
        <v>2690.5672711690272</v>
      </c>
      <c r="AP14" s="69">
        <v>739.81231581370025</v>
      </c>
      <c r="AQ14" s="69">
        <v>1953.4589275995893</v>
      </c>
      <c r="AR14" s="69">
        <v>505.77211262385055</v>
      </c>
      <c r="AS14" s="69">
        <v>646.77521352767951</v>
      </c>
    </row>
    <row r="15" spans="1:49" x14ac:dyDescent="0.25">
      <c r="A15" s="11">
        <v>43504</v>
      </c>
      <c r="B15" s="59"/>
      <c r="C15" s="60">
        <v>58.550399076939158</v>
      </c>
      <c r="D15" s="60">
        <v>744.99161345163839</v>
      </c>
      <c r="E15" s="60">
        <v>26.570430921018062</v>
      </c>
      <c r="F15" s="60">
        <v>0</v>
      </c>
      <c r="G15" s="60">
        <v>1898.6705081939688</v>
      </c>
      <c r="H15" s="61">
        <v>26.542368600765926</v>
      </c>
      <c r="I15" s="59">
        <v>109.94586779276523</v>
      </c>
      <c r="J15" s="60">
        <v>336.77125860850106</v>
      </c>
      <c r="K15" s="60">
        <v>18.359979204833472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211.85568178388846</v>
      </c>
      <c r="V15" s="62">
        <v>158.88244738684804</v>
      </c>
      <c r="W15" s="62">
        <v>30.473353328274069</v>
      </c>
      <c r="X15" s="62">
        <v>22.853675276074387</v>
      </c>
      <c r="Y15" s="66">
        <v>63.862438525120282</v>
      </c>
      <c r="Z15" s="66">
        <v>47.894021267334665</v>
      </c>
      <c r="AA15" s="67">
        <v>0</v>
      </c>
      <c r="AB15" s="68">
        <v>70.339643245272327</v>
      </c>
      <c r="AC15" s="69">
        <v>0</v>
      </c>
      <c r="AD15" s="409">
        <v>8.2846086351146475</v>
      </c>
      <c r="AE15" s="409">
        <v>6.0586377722755618</v>
      </c>
      <c r="AF15" s="69">
        <v>13.974648990564871</v>
      </c>
      <c r="AG15" s="68">
        <v>7.9199013344786078</v>
      </c>
      <c r="AH15" s="68">
        <v>5.9395778130129946</v>
      </c>
      <c r="AI15" s="68">
        <v>0.57144292726989054</v>
      </c>
      <c r="AJ15" s="69">
        <v>330.88657981554667</v>
      </c>
      <c r="AK15" s="69">
        <v>1319.7995648066201</v>
      </c>
      <c r="AL15" s="69">
        <v>2942.9792746225994</v>
      </c>
      <c r="AM15" s="69">
        <v>451.08984375</v>
      </c>
      <c r="AN15" s="69">
        <v>1157.3206787109375</v>
      </c>
      <c r="AO15" s="69">
        <v>2628.8286846160886</v>
      </c>
      <c r="AP15" s="69">
        <v>703.90442069371556</v>
      </c>
      <c r="AQ15" s="69">
        <v>1943.5512449900316</v>
      </c>
      <c r="AR15" s="69">
        <v>495.1949732462565</v>
      </c>
      <c r="AS15" s="69">
        <v>634.13644736607864</v>
      </c>
    </row>
    <row r="16" spans="1:49" x14ac:dyDescent="0.25">
      <c r="A16" s="11">
        <v>43505</v>
      </c>
      <c r="B16" s="59"/>
      <c r="C16" s="60">
        <v>57.94339608351379</v>
      </c>
      <c r="D16" s="60">
        <v>744.8203716913863</v>
      </c>
      <c r="E16" s="60">
        <v>26.635966156919757</v>
      </c>
      <c r="F16" s="60">
        <v>0</v>
      </c>
      <c r="G16" s="60">
        <v>1888.8942176818825</v>
      </c>
      <c r="H16" s="61">
        <v>26.562879065672554</v>
      </c>
      <c r="I16" s="59">
        <v>109.95477143923442</v>
      </c>
      <c r="J16" s="60">
        <v>336.83786110878071</v>
      </c>
      <c r="K16" s="60">
        <v>18.361919770638153</v>
      </c>
      <c r="L16" s="5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214.81094118448704</v>
      </c>
      <c r="V16" s="62">
        <v>161.09942794681479</v>
      </c>
      <c r="W16" s="62">
        <v>30.791946092580872</v>
      </c>
      <c r="X16" s="62">
        <v>23.092701300645729</v>
      </c>
      <c r="Y16" s="66">
        <v>63.845229058546103</v>
      </c>
      <c r="Z16" s="66">
        <v>47.881312850036117</v>
      </c>
      <c r="AA16" s="67">
        <v>0</v>
      </c>
      <c r="AB16" s="68">
        <v>70.972221496369343</v>
      </c>
      <c r="AC16" s="69">
        <v>0</v>
      </c>
      <c r="AD16" s="409">
        <v>8.2885237987673293</v>
      </c>
      <c r="AE16" s="409">
        <v>6.0569333850549825</v>
      </c>
      <c r="AF16" s="69">
        <v>13.967331907484246</v>
      </c>
      <c r="AG16" s="68">
        <v>7.9035130183101794</v>
      </c>
      <c r="AH16" s="68">
        <v>5.9273117979891943</v>
      </c>
      <c r="AI16" s="68">
        <v>0.57144191494610164</v>
      </c>
      <c r="AJ16" s="69">
        <v>322.57487219174703</v>
      </c>
      <c r="AK16" s="69">
        <v>1294.1680674870809</v>
      </c>
      <c r="AL16" s="69">
        <v>2838.9542015075685</v>
      </c>
      <c r="AM16" s="69">
        <v>451.08984375</v>
      </c>
      <c r="AN16" s="69">
        <v>1157.3206787109375</v>
      </c>
      <c r="AO16" s="69">
        <v>2571.6708216349289</v>
      </c>
      <c r="AP16" s="69">
        <v>680.76339003245039</v>
      </c>
      <c r="AQ16" s="69">
        <v>1945.7381716410318</v>
      </c>
      <c r="AR16" s="69">
        <v>470.51900108655292</v>
      </c>
      <c r="AS16" s="69">
        <v>595.23030490875249</v>
      </c>
    </row>
    <row r="17" spans="1:45" x14ac:dyDescent="0.25">
      <c r="A17" s="11">
        <v>43506</v>
      </c>
      <c r="B17" s="49"/>
      <c r="C17" s="50">
        <v>58.525010673204733</v>
      </c>
      <c r="D17" s="50">
        <v>745.92722975412801</v>
      </c>
      <c r="E17" s="50">
        <v>27.11341639856504</v>
      </c>
      <c r="F17" s="50">
        <v>0</v>
      </c>
      <c r="G17" s="50">
        <v>1938.2553326924599</v>
      </c>
      <c r="H17" s="51">
        <v>26.6606188158195</v>
      </c>
      <c r="I17" s="49">
        <v>109.85418265660576</v>
      </c>
      <c r="J17" s="50">
        <v>336.48202236493506</v>
      </c>
      <c r="K17" s="50">
        <v>18.152396758397423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207.01950909173368</v>
      </c>
      <c r="V17" s="62">
        <v>136.59751642138698</v>
      </c>
      <c r="W17" s="62">
        <v>29.832105235944169</v>
      </c>
      <c r="X17" s="62">
        <v>19.684094038913663</v>
      </c>
      <c r="Y17" s="66">
        <v>65.658596486031499</v>
      </c>
      <c r="Z17" s="66">
        <v>43.323458987296156</v>
      </c>
      <c r="AA17" s="67">
        <v>0</v>
      </c>
      <c r="AB17" s="68">
        <v>71.487581766976859</v>
      </c>
      <c r="AC17" s="69">
        <v>0</v>
      </c>
      <c r="AD17" s="409">
        <v>8.2794598145401395</v>
      </c>
      <c r="AE17" s="409">
        <v>6.0661498571869386</v>
      </c>
      <c r="AF17" s="69">
        <v>12.777264776163667</v>
      </c>
      <c r="AG17" s="68">
        <v>7.609695575841581</v>
      </c>
      <c r="AH17" s="68">
        <v>5.0210993202682763</v>
      </c>
      <c r="AI17" s="68">
        <v>0.60247162893803952</v>
      </c>
      <c r="AJ17" s="69">
        <v>318.51148732503248</v>
      </c>
      <c r="AK17" s="69">
        <v>1305.6808888753255</v>
      </c>
      <c r="AL17" s="69">
        <v>2854.177440770467</v>
      </c>
      <c r="AM17" s="69">
        <v>451.08984375</v>
      </c>
      <c r="AN17" s="69">
        <v>1157.3206787109375</v>
      </c>
      <c r="AO17" s="69">
        <v>2569.519629287719</v>
      </c>
      <c r="AP17" s="69">
        <v>664.16355683008828</v>
      </c>
      <c r="AQ17" s="69">
        <v>1920.8859542846681</v>
      </c>
      <c r="AR17" s="69">
        <v>448.00214161872867</v>
      </c>
      <c r="AS17" s="69">
        <v>573.10655956268306</v>
      </c>
    </row>
    <row r="18" spans="1:45" x14ac:dyDescent="0.25">
      <c r="A18" s="11">
        <v>43507</v>
      </c>
      <c r="B18" s="59"/>
      <c r="C18" s="60">
        <v>57.848366351922557</v>
      </c>
      <c r="D18" s="60">
        <v>736.7701749642672</v>
      </c>
      <c r="E18" s="60">
        <v>26.754602863391245</v>
      </c>
      <c r="F18" s="60">
        <v>0</v>
      </c>
      <c r="G18" s="60">
        <v>1879.923681004843</v>
      </c>
      <c r="H18" s="61">
        <v>26.54702428579332</v>
      </c>
      <c r="I18" s="59">
        <v>110.27349912325514</v>
      </c>
      <c r="J18" s="60">
        <v>340.23626030286192</v>
      </c>
      <c r="K18" s="60">
        <v>18.306132700045907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217.16027681829891</v>
      </c>
      <c r="V18" s="62">
        <v>162.11781355272475</v>
      </c>
      <c r="W18" s="62">
        <v>30.836609026185567</v>
      </c>
      <c r="X18" s="62">
        <v>23.020617333658553</v>
      </c>
      <c r="Y18" s="66">
        <v>66.869648654729701</v>
      </c>
      <c r="Z18" s="66">
        <v>49.920553573498623</v>
      </c>
      <c r="AA18" s="67">
        <v>0</v>
      </c>
      <c r="AB18" s="68">
        <v>71.608004940881202</v>
      </c>
      <c r="AC18" s="69">
        <v>0</v>
      </c>
      <c r="AD18" s="409">
        <v>8.3956255211581148</v>
      </c>
      <c r="AE18" s="409">
        <v>6.0565046191378133</v>
      </c>
      <c r="AF18" s="69">
        <v>14.280156083239447</v>
      </c>
      <c r="AG18" s="68">
        <v>7.9112959145860646</v>
      </c>
      <c r="AH18" s="68">
        <v>5.9060617108829465</v>
      </c>
      <c r="AI18" s="68">
        <v>0.57256214458859145</v>
      </c>
      <c r="AJ18" s="69">
        <v>321.89462695121756</v>
      </c>
      <c r="AK18" s="69">
        <v>1255.6820713043214</v>
      </c>
      <c r="AL18" s="69">
        <v>2704.4819418589277</v>
      </c>
      <c r="AM18" s="69">
        <v>391.78561940987902</v>
      </c>
      <c r="AN18" s="69">
        <v>1168.5934238433838</v>
      </c>
      <c r="AO18" s="69">
        <v>2460.4437107086183</v>
      </c>
      <c r="AP18" s="69">
        <v>654.87780090967829</v>
      </c>
      <c r="AQ18" s="69">
        <v>1939.0746213754016</v>
      </c>
      <c r="AR18" s="69">
        <v>446.54265933831539</v>
      </c>
      <c r="AS18" s="69">
        <v>613.68306903839107</v>
      </c>
    </row>
    <row r="19" spans="1:45" x14ac:dyDescent="0.25">
      <c r="A19" s="11">
        <v>43508</v>
      </c>
      <c r="B19" s="59"/>
      <c r="C19" s="60">
        <v>59.426846579710833</v>
      </c>
      <c r="D19" s="60">
        <v>744.69377368291055</v>
      </c>
      <c r="E19" s="60">
        <v>26.878620398044657</v>
      </c>
      <c r="F19" s="60">
        <v>0</v>
      </c>
      <c r="G19" s="60">
        <v>1910.1014382680276</v>
      </c>
      <c r="H19" s="61">
        <v>26.485456266005915</v>
      </c>
      <c r="I19" s="59">
        <v>111.00675665537489</v>
      </c>
      <c r="J19" s="60">
        <v>340.1416182835905</v>
      </c>
      <c r="K19" s="60">
        <v>18.405796999732644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214.2546372411484</v>
      </c>
      <c r="V19" s="62">
        <v>160.69680365478203</v>
      </c>
      <c r="W19" s="62">
        <v>31.834899315759014</v>
      </c>
      <c r="X19" s="62">
        <v>23.877040098583119</v>
      </c>
      <c r="Y19" s="66">
        <v>65.909934290568799</v>
      </c>
      <c r="Z19" s="66">
        <v>49.434242852210154</v>
      </c>
      <c r="AA19" s="67">
        <v>0</v>
      </c>
      <c r="AB19" s="68">
        <v>71.724089654287368</v>
      </c>
      <c r="AC19" s="69">
        <v>0</v>
      </c>
      <c r="AD19" s="409">
        <v>8.3694466815113095</v>
      </c>
      <c r="AE19" s="409">
        <v>6.0557540209943381</v>
      </c>
      <c r="AF19" s="69">
        <v>14.243806601232951</v>
      </c>
      <c r="AG19" s="68">
        <v>7.9995578365967335</v>
      </c>
      <c r="AH19" s="68">
        <v>5.9998858906647392</v>
      </c>
      <c r="AI19" s="68">
        <v>0.57141969298529993</v>
      </c>
      <c r="AJ19" s="69">
        <v>313.98624523480737</v>
      </c>
      <c r="AK19" s="69">
        <v>1289.3816779454551</v>
      </c>
      <c r="AL19" s="69">
        <v>2619.5800764719647</v>
      </c>
      <c r="AM19" s="69">
        <v>496.50453186035156</v>
      </c>
      <c r="AN19" s="69">
        <v>1215.4225158691406</v>
      </c>
      <c r="AO19" s="69">
        <v>2634.1001831054691</v>
      </c>
      <c r="AP19" s="69">
        <v>663.00677824020386</v>
      </c>
      <c r="AQ19" s="69">
        <v>1945.0423915863037</v>
      </c>
      <c r="AR19" s="69">
        <v>437.95163803100581</v>
      </c>
      <c r="AS19" s="69">
        <v>633.71380631128932</v>
      </c>
    </row>
    <row r="20" spans="1:45" x14ac:dyDescent="0.25">
      <c r="A20" s="11">
        <v>43509</v>
      </c>
      <c r="B20" s="59"/>
      <c r="C20" s="60">
        <v>58.677860204379293</v>
      </c>
      <c r="D20" s="60">
        <v>744.59339984257781</v>
      </c>
      <c r="E20" s="60">
        <v>26.93450800081099</v>
      </c>
      <c r="F20" s="60">
        <v>0</v>
      </c>
      <c r="G20" s="60">
        <v>1932.8304091135653</v>
      </c>
      <c r="H20" s="61">
        <v>26.526852677265868</v>
      </c>
      <c r="I20" s="59">
        <v>110.86896578470846</v>
      </c>
      <c r="J20" s="60">
        <v>339.80829394658497</v>
      </c>
      <c r="K20" s="60">
        <v>18.394986783464727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209.97864053500876</v>
      </c>
      <c r="V20" s="62">
        <v>157.4775065741253</v>
      </c>
      <c r="W20" s="62">
        <v>30.614945517604752</v>
      </c>
      <c r="X20" s="62">
        <v>22.960265252366369</v>
      </c>
      <c r="Y20" s="66">
        <v>64.694112459041378</v>
      </c>
      <c r="Z20" s="66">
        <v>48.518589767597398</v>
      </c>
      <c r="AA20" s="67">
        <v>0</v>
      </c>
      <c r="AB20" s="68">
        <v>71.729194233153947</v>
      </c>
      <c r="AC20" s="69">
        <v>0</v>
      </c>
      <c r="AD20" s="409">
        <v>8.3625434511693904</v>
      </c>
      <c r="AE20" s="409">
        <v>6.0548685824439241</v>
      </c>
      <c r="AF20" s="69">
        <v>13.908558824327253</v>
      </c>
      <c r="AG20" s="68">
        <v>7.8199762988091521</v>
      </c>
      <c r="AH20" s="68">
        <v>5.8647411273238763</v>
      </c>
      <c r="AI20" s="68">
        <v>0.57143863883339896</v>
      </c>
      <c r="AJ20" s="69">
        <v>296.26221014658609</v>
      </c>
      <c r="AK20" s="69">
        <v>1264.6091638565063</v>
      </c>
      <c r="AL20" s="69">
        <v>2772.6324206034337</v>
      </c>
      <c r="AM20" s="69">
        <v>496.50453186035156</v>
      </c>
      <c r="AN20" s="69">
        <v>1215.4225158691406</v>
      </c>
      <c r="AO20" s="69">
        <v>2581.9634110768634</v>
      </c>
      <c r="AP20" s="69">
        <v>614.91393451690681</v>
      </c>
      <c r="AQ20" s="69">
        <v>1947.8472741444903</v>
      </c>
      <c r="AR20" s="69">
        <v>412.54409953753151</v>
      </c>
      <c r="AS20" s="69">
        <v>659.06896794637032</v>
      </c>
    </row>
    <row r="21" spans="1:45" x14ac:dyDescent="0.25">
      <c r="A21" s="11">
        <v>43510</v>
      </c>
      <c r="B21" s="59"/>
      <c r="C21" s="60">
        <v>59.099165089924917</v>
      </c>
      <c r="D21" s="60">
        <v>748.47669461568216</v>
      </c>
      <c r="E21" s="60">
        <v>27.046497353414694</v>
      </c>
      <c r="F21" s="60">
        <v>0</v>
      </c>
      <c r="G21" s="60">
        <v>2140.1000232696547</v>
      </c>
      <c r="H21" s="61">
        <v>26.651469677686734</v>
      </c>
      <c r="I21" s="59">
        <v>110.34986413319895</v>
      </c>
      <c r="J21" s="60">
        <v>339.63822930653902</v>
      </c>
      <c r="K21" s="60">
        <v>18.572448655466236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206.68561273177301</v>
      </c>
      <c r="V21" s="62">
        <v>150.7105518656349</v>
      </c>
      <c r="W21" s="62">
        <v>30.361075533137136</v>
      </c>
      <c r="X21" s="62">
        <v>22.138621011669056</v>
      </c>
      <c r="Y21" s="66">
        <v>61.051954026084374</v>
      </c>
      <c r="Z21" s="66">
        <v>44.517727006414333</v>
      </c>
      <c r="AA21" s="67">
        <v>0</v>
      </c>
      <c r="AB21" s="68">
        <v>72.005133665933045</v>
      </c>
      <c r="AC21" s="69">
        <v>0</v>
      </c>
      <c r="AD21" s="409">
        <v>8.3547547797935184</v>
      </c>
      <c r="AE21" s="409">
        <v>6.0862682123296779</v>
      </c>
      <c r="AF21" s="69">
        <v>13.475598909788653</v>
      </c>
      <c r="AG21" s="68">
        <v>7.6737200984337424</v>
      </c>
      <c r="AH21" s="68">
        <v>5.5955060229481459</v>
      </c>
      <c r="AI21" s="68">
        <v>0.57830954331755591</v>
      </c>
      <c r="AJ21" s="69">
        <v>300.25582288106278</v>
      </c>
      <c r="AK21" s="69">
        <v>1290.9886636098224</v>
      </c>
      <c r="AL21" s="69">
        <v>2764.9992045084637</v>
      </c>
      <c r="AM21" s="69">
        <v>496.50453186035156</v>
      </c>
      <c r="AN21" s="69">
        <v>1215.4225158691406</v>
      </c>
      <c r="AO21" s="69">
        <v>2514.2234942118325</v>
      </c>
      <c r="AP21" s="69">
        <v>624.18812351226802</v>
      </c>
      <c r="AQ21" s="69">
        <v>1922.1234212875368</v>
      </c>
      <c r="AR21" s="69">
        <v>420.82433856328316</v>
      </c>
      <c r="AS21" s="69">
        <v>606.28052457173646</v>
      </c>
    </row>
    <row r="22" spans="1:45" x14ac:dyDescent="0.25">
      <c r="A22" s="11">
        <v>43511</v>
      </c>
      <c r="B22" s="59"/>
      <c r="C22" s="60">
        <v>58.251976899305923</v>
      </c>
      <c r="D22" s="60">
        <v>744.4465696970608</v>
      </c>
      <c r="E22" s="60">
        <v>26.68913211723163</v>
      </c>
      <c r="F22" s="60">
        <v>0</v>
      </c>
      <c r="G22" s="60">
        <v>1829.8074879964163</v>
      </c>
      <c r="H22" s="61">
        <v>26.447609225908963</v>
      </c>
      <c r="I22" s="59">
        <v>105.33218978246029</v>
      </c>
      <c r="J22" s="60">
        <v>338.86708985964538</v>
      </c>
      <c r="K22" s="60">
        <v>18.45456115653117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212.21898853233586</v>
      </c>
      <c r="V22" s="62">
        <v>159.14480935482686</v>
      </c>
      <c r="W22" s="62">
        <v>31.799490112194267</v>
      </c>
      <c r="X22" s="62">
        <v>23.846705831956005</v>
      </c>
      <c r="Y22" s="66">
        <v>61.14017253994642</v>
      </c>
      <c r="Z22" s="66">
        <v>45.849531043770895</v>
      </c>
      <c r="AA22" s="67">
        <v>0</v>
      </c>
      <c r="AB22" s="68">
        <v>71.738772392273731</v>
      </c>
      <c r="AC22" s="69">
        <v>0</v>
      </c>
      <c r="AD22" s="409">
        <v>8.3383601349394176</v>
      </c>
      <c r="AE22" s="409">
        <v>6.0539786626463208</v>
      </c>
      <c r="AF22" s="69">
        <v>14.200055976708747</v>
      </c>
      <c r="AG22" s="68">
        <v>8.0009340889368517</v>
      </c>
      <c r="AH22" s="68">
        <v>5.9999679531522059</v>
      </c>
      <c r="AI22" s="68">
        <v>0.57145847209591949</v>
      </c>
      <c r="AJ22" s="69">
        <v>303.21509950955715</v>
      </c>
      <c r="AK22" s="69">
        <v>1306.1095072428384</v>
      </c>
      <c r="AL22" s="69">
        <v>2773.363823445638</v>
      </c>
      <c r="AM22" s="69">
        <v>496.50453186035156</v>
      </c>
      <c r="AN22" s="69">
        <v>1215.4225158691406</v>
      </c>
      <c r="AO22" s="69">
        <v>2502.5903174082432</v>
      </c>
      <c r="AP22" s="69">
        <v>637.36189718246453</v>
      </c>
      <c r="AQ22" s="69">
        <v>1936.200245539347</v>
      </c>
      <c r="AR22" s="69">
        <v>427.27459273338314</v>
      </c>
      <c r="AS22" s="69">
        <v>613.38057495752969</v>
      </c>
    </row>
    <row r="23" spans="1:45" x14ac:dyDescent="0.25">
      <c r="A23" s="11">
        <v>43512</v>
      </c>
      <c r="B23" s="59"/>
      <c r="C23" s="60">
        <v>58.166300451755944</v>
      </c>
      <c r="D23" s="60">
        <v>744.33840732574549</v>
      </c>
      <c r="E23" s="60">
        <v>26.685046024123803</v>
      </c>
      <c r="F23" s="60">
        <v>0</v>
      </c>
      <c r="G23" s="60">
        <v>1769.2234194437674</v>
      </c>
      <c r="H23" s="61">
        <v>26.456598977247896</v>
      </c>
      <c r="I23" s="59">
        <v>105.48551270961761</v>
      </c>
      <c r="J23" s="60">
        <v>339.59242657025709</v>
      </c>
      <c r="K23" s="60">
        <v>18.473513158659145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210.07868345957087</v>
      </c>
      <c r="V23" s="62">
        <v>157.56541539449364</v>
      </c>
      <c r="W23" s="62">
        <v>31.60714527110806</v>
      </c>
      <c r="X23" s="62">
        <v>23.706322279169619</v>
      </c>
      <c r="Y23" s="66">
        <v>60.369777719930184</v>
      </c>
      <c r="Z23" s="66">
        <v>45.279173246269153</v>
      </c>
      <c r="AA23" s="67">
        <v>0</v>
      </c>
      <c r="AB23" s="68">
        <v>71.73351839383578</v>
      </c>
      <c r="AC23" s="69">
        <v>0</v>
      </c>
      <c r="AD23" s="409">
        <v>8.3556227140619086</v>
      </c>
      <c r="AE23" s="409">
        <v>6.0528617208060886</v>
      </c>
      <c r="AF23" s="69">
        <v>13.91436771617996</v>
      </c>
      <c r="AG23" s="68">
        <v>7.8336640645820381</v>
      </c>
      <c r="AH23" s="68">
        <v>5.8754868036591024</v>
      </c>
      <c r="AI23" s="68">
        <v>0.5714186195681632</v>
      </c>
      <c r="AJ23" s="69">
        <v>309.19183756510421</v>
      </c>
      <c r="AK23" s="69">
        <v>1306.5273168563845</v>
      </c>
      <c r="AL23" s="69">
        <v>2841.9548408508299</v>
      </c>
      <c r="AM23" s="69">
        <v>496.50453186035156</v>
      </c>
      <c r="AN23" s="69">
        <v>1215.4225158691406</v>
      </c>
      <c r="AO23" s="69">
        <v>2530.7159164428713</v>
      </c>
      <c r="AP23" s="69">
        <v>642.50319550832114</v>
      </c>
      <c r="AQ23" s="69">
        <v>1963.1972449620564</v>
      </c>
      <c r="AR23" s="69">
        <v>450.30236393610636</v>
      </c>
      <c r="AS23" s="69">
        <v>545.63366435368846</v>
      </c>
    </row>
    <row r="24" spans="1:45" x14ac:dyDescent="0.25">
      <c r="A24" s="11">
        <v>43513</v>
      </c>
      <c r="B24" s="59"/>
      <c r="C24" s="60">
        <v>59.006061641375119</v>
      </c>
      <c r="D24" s="60">
        <v>745.36556561787893</v>
      </c>
      <c r="E24" s="60">
        <v>26.645042658845561</v>
      </c>
      <c r="F24" s="60">
        <v>0</v>
      </c>
      <c r="G24" s="60">
        <v>2019.2433681488042</v>
      </c>
      <c r="H24" s="61">
        <v>26.626820476849939</v>
      </c>
      <c r="I24" s="59">
        <v>105.71349309285473</v>
      </c>
      <c r="J24" s="60">
        <v>340.59749530156523</v>
      </c>
      <c r="K24" s="60">
        <v>18.509537381927167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209.32860433385054</v>
      </c>
      <c r="V24" s="62">
        <v>156.58375948145692</v>
      </c>
      <c r="W24" s="62">
        <v>31.96130020178331</v>
      </c>
      <c r="X24" s="62">
        <v>23.907963077654649</v>
      </c>
      <c r="Y24" s="66">
        <v>60.248857180151276</v>
      </c>
      <c r="Z24" s="66">
        <v>45.067861565080349</v>
      </c>
      <c r="AA24" s="67">
        <v>0</v>
      </c>
      <c r="AB24" s="68">
        <v>71.431788370344435</v>
      </c>
      <c r="AC24" s="69">
        <v>0</v>
      </c>
      <c r="AD24" s="409">
        <v>8.3785409764932108</v>
      </c>
      <c r="AE24" s="409">
        <v>6.0611173026752487</v>
      </c>
      <c r="AF24" s="69">
        <v>13.820961208475968</v>
      </c>
      <c r="AG24" s="68">
        <v>7.8031577909220129</v>
      </c>
      <c r="AH24" s="68">
        <v>5.8369843271916553</v>
      </c>
      <c r="AI24" s="68">
        <v>0.57207305637671257</v>
      </c>
      <c r="AJ24" s="69">
        <v>334.64404881795252</v>
      </c>
      <c r="AK24" s="69">
        <v>1336.0048604965211</v>
      </c>
      <c r="AL24" s="69">
        <v>2926.9689866383865</v>
      </c>
      <c r="AM24" s="69">
        <v>496.50453186035156</v>
      </c>
      <c r="AN24" s="69">
        <v>1215.4225158691406</v>
      </c>
      <c r="AO24" s="69">
        <v>2565.1564289093021</v>
      </c>
      <c r="AP24" s="69">
        <v>698.23070720036822</v>
      </c>
      <c r="AQ24" s="69">
        <v>1959.8690949757897</v>
      </c>
      <c r="AR24" s="69">
        <v>506.57499990463253</v>
      </c>
      <c r="AS24" s="69">
        <v>582.82887420654299</v>
      </c>
    </row>
    <row r="25" spans="1:45" x14ac:dyDescent="0.25">
      <c r="A25" s="11">
        <v>43514</v>
      </c>
      <c r="B25" s="59"/>
      <c r="C25" s="60">
        <v>58.022614371776363</v>
      </c>
      <c r="D25" s="60">
        <v>756.76778866450002</v>
      </c>
      <c r="E25" s="60">
        <v>26.838277845581413</v>
      </c>
      <c r="F25" s="60">
        <v>0</v>
      </c>
      <c r="G25" s="60">
        <v>2075.7264352162642</v>
      </c>
      <c r="H25" s="61">
        <v>26.602349774042807</v>
      </c>
      <c r="I25" s="59">
        <v>106.3860104004543</v>
      </c>
      <c r="J25" s="60">
        <v>342.42301282882727</v>
      </c>
      <c r="K25" s="60">
        <v>18.79147262622914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207.97070529314817</v>
      </c>
      <c r="V25" s="62">
        <v>150.07225122862621</v>
      </c>
      <c r="W25" s="62">
        <v>31.07310923370542</v>
      </c>
      <c r="X25" s="62">
        <v>22.42244381871998</v>
      </c>
      <c r="Y25" s="66">
        <v>59.665307046581518</v>
      </c>
      <c r="Z25" s="66">
        <v>43.054654914528996</v>
      </c>
      <c r="AA25" s="67">
        <v>0</v>
      </c>
      <c r="AB25" s="68">
        <v>72.203355540169284</v>
      </c>
      <c r="AC25" s="69">
        <v>0</v>
      </c>
      <c r="AD25" s="409">
        <v>8.4252882190676956</v>
      </c>
      <c r="AE25" s="409">
        <v>6.039173763662852</v>
      </c>
      <c r="AF25" s="69">
        <v>13.509273466467874</v>
      </c>
      <c r="AG25" s="68">
        <v>7.7829871297145896</v>
      </c>
      <c r="AH25" s="68">
        <v>5.6162256034728841</v>
      </c>
      <c r="AI25" s="68">
        <v>0.58085406095818681</v>
      </c>
      <c r="AJ25" s="69">
        <v>345.892439699173</v>
      </c>
      <c r="AK25" s="69">
        <v>1331.0413181940712</v>
      </c>
      <c r="AL25" s="69">
        <v>2840.1150255839029</v>
      </c>
      <c r="AM25" s="69">
        <v>496.50453186035156</v>
      </c>
      <c r="AN25" s="69">
        <v>1215.4225158691406</v>
      </c>
      <c r="AO25" s="69">
        <v>2590.3745190938321</v>
      </c>
      <c r="AP25" s="69">
        <v>737.20723358790076</v>
      </c>
      <c r="AQ25" s="69">
        <v>1949.4534236272173</v>
      </c>
      <c r="AR25" s="69">
        <v>518.77432842254632</v>
      </c>
      <c r="AS25" s="69">
        <v>631.72003637949626</v>
      </c>
    </row>
    <row r="26" spans="1:45" x14ac:dyDescent="0.25">
      <c r="A26" s="11">
        <v>43515</v>
      </c>
      <c r="B26" s="59"/>
      <c r="C26" s="60">
        <v>59.00898524522799</v>
      </c>
      <c r="D26" s="60">
        <v>751.44863424301116</v>
      </c>
      <c r="E26" s="60">
        <v>26.826198254525696</v>
      </c>
      <c r="F26" s="60">
        <v>0</v>
      </c>
      <c r="G26" s="60">
        <v>1950.2782662709587</v>
      </c>
      <c r="H26" s="61">
        <v>26.402092268069612</v>
      </c>
      <c r="I26" s="59">
        <v>107.49868898391736</v>
      </c>
      <c r="J26" s="60">
        <v>345.93274631500316</v>
      </c>
      <c r="K26" s="60">
        <v>18.739296575387343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208.877581744412</v>
      </c>
      <c r="V26" s="62">
        <v>156.66510829956781</v>
      </c>
      <c r="W26" s="62">
        <v>29.904196664274572</v>
      </c>
      <c r="X26" s="62">
        <v>22.429138492960767</v>
      </c>
      <c r="Y26" s="62">
        <v>62.038868201390791</v>
      </c>
      <c r="Z26" s="62">
        <v>46.531207056228375</v>
      </c>
      <c r="AA26" s="72">
        <v>0</v>
      </c>
      <c r="AB26" s="69">
        <v>73.420405907101937</v>
      </c>
      <c r="AC26" s="69">
        <v>0</v>
      </c>
      <c r="AD26" s="409">
        <v>8.5121271090583974</v>
      </c>
      <c r="AE26" s="409">
        <v>6.0459055393611729</v>
      </c>
      <c r="AF26" s="69">
        <v>13.932639643881044</v>
      </c>
      <c r="AG26" s="69">
        <v>7.9033433429546571</v>
      </c>
      <c r="AH26" s="69">
        <v>5.9277694160004506</v>
      </c>
      <c r="AI26" s="69">
        <v>0.57141775074008772</v>
      </c>
      <c r="AJ26" s="69">
        <v>345.02257297833756</v>
      </c>
      <c r="AK26" s="69">
        <v>1342.0573125839232</v>
      </c>
      <c r="AL26" s="69">
        <v>2898.2201538085938</v>
      </c>
      <c r="AM26" s="69">
        <v>496.50453186035156</v>
      </c>
      <c r="AN26" s="69">
        <v>1215.4225158691406</v>
      </c>
      <c r="AO26" s="69">
        <v>2618.5191810607912</v>
      </c>
      <c r="AP26" s="69">
        <v>755.63762280146284</v>
      </c>
      <c r="AQ26" s="69">
        <v>1945.4266409556071</v>
      </c>
      <c r="AR26" s="69">
        <v>517.97465473810837</v>
      </c>
      <c r="AS26" s="69">
        <v>640.18388408025112</v>
      </c>
    </row>
    <row r="27" spans="1:45" x14ac:dyDescent="0.25">
      <c r="A27" s="11">
        <v>43516</v>
      </c>
      <c r="B27" s="59"/>
      <c r="C27" s="60">
        <v>58.412071382999336</v>
      </c>
      <c r="D27" s="60">
        <v>752.90232550303176</v>
      </c>
      <c r="E27" s="60">
        <v>27.162583716213788</v>
      </c>
      <c r="F27" s="60">
        <v>0</v>
      </c>
      <c r="G27" s="60">
        <v>2002.28989855448</v>
      </c>
      <c r="H27" s="61">
        <v>26.597587724526718</v>
      </c>
      <c r="I27" s="59">
        <v>107.94022529919968</v>
      </c>
      <c r="J27" s="60">
        <v>347.48730616569532</v>
      </c>
      <c r="K27" s="60">
        <v>19.155572637418906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215.37540559969821</v>
      </c>
      <c r="V27" s="62">
        <v>155.89712677860322</v>
      </c>
      <c r="W27" s="62">
        <v>28.319171953419314</v>
      </c>
      <c r="X27" s="62">
        <v>20.498522233745064</v>
      </c>
      <c r="Y27" s="66">
        <v>62.397905140109977</v>
      </c>
      <c r="Z27" s="66">
        <v>45.166039740057549</v>
      </c>
      <c r="AA27" s="67">
        <v>0</v>
      </c>
      <c r="AB27" s="68">
        <v>66.6459843026268</v>
      </c>
      <c r="AC27" s="69">
        <v>0</v>
      </c>
      <c r="AD27" s="409">
        <v>8.5499994334534293</v>
      </c>
      <c r="AE27" s="409">
        <v>6.0578552719435406</v>
      </c>
      <c r="AF27" s="69">
        <v>13.369371402263669</v>
      </c>
      <c r="AG27" s="68">
        <v>7.6787049374319585</v>
      </c>
      <c r="AH27" s="68">
        <v>5.5581464085609316</v>
      </c>
      <c r="AI27" s="68">
        <v>0.5801005644560997</v>
      </c>
      <c r="AJ27" s="69">
        <v>337.47836588223777</v>
      </c>
      <c r="AK27" s="69">
        <v>1324.167883046468</v>
      </c>
      <c r="AL27" s="69">
        <v>2891.3424104054766</v>
      </c>
      <c r="AM27" s="69">
        <v>496.50453186035156</v>
      </c>
      <c r="AN27" s="69">
        <v>1215.4225158691406</v>
      </c>
      <c r="AO27" s="69">
        <v>2636.1084125518796</v>
      </c>
      <c r="AP27" s="69">
        <v>710.96854766209935</v>
      </c>
      <c r="AQ27" s="69">
        <v>1951.8386099497482</v>
      </c>
      <c r="AR27" s="69">
        <v>513.60216280619306</v>
      </c>
      <c r="AS27" s="69">
        <v>625.28108174006127</v>
      </c>
    </row>
    <row r="28" spans="1:45" s="371" customFormat="1" ht="15" customHeight="1" x14ac:dyDescent="0.25">
      <c r="A28" s="401">
        <v>43517</v>
      </c>
      <c r="B28" s="365"/>
      <c r="C28" s="366">
        <v>63.708073290189489</v>
      </c>
      <c r="D28" s="366">
        <v>785.25802113215263</v>
      </c>
      <c r="E28" s="366">
        <v>27.236101004481405</v>
      </c>
      <c r="F28" s="366">
        <v>0</v>
      </c>
      <c r="G28" s="366">
        <v>2104.9102301279709</v>
      </c>
      <c r="H28" s="367">
        <v>26.784950222571741</v>
      </c>
      <c r="I28" s="365">
        <v>107.69876182874026</v>
      </c>
      <c r="J28" s="366">
        <v>346.67927037874887</v>
      </c>
      <c r="K28" s="366">
        <v>18.817705087363727</v>
      </c>
      <c r="L28" s="50">
        <v>0</v>
      </c>
      <c r="M28" s="366">
        <v>0</v>
      </c>
      <c r="N28" s="367">
        <v>0</v>
      </c>
      <c r="O28" s="365">
        <v>0</v>
      </c>
      <c r="P28" s="366">
        <v>0</v>
      </c>
      <c r="Q28" s="366">
        <v>0</v>
      </c>
      <c r="R28" s="366">
        <v>0</v>
      </c>
      <c r="S28" s="366">
        <v>0</v>
      </c>
      <c r="T28" s="367">
        <v>0</v>
      </c>
      <c r="U28" s="365">
        <v>231.77615895359733</v>
      </c>
      <c r="V28" s="366">
        <v>164.31891995977301</v>
      </c>
      <c r="W28" s="366">
        <v>32.060493257998786</v>
      </c>
      <c r="X28" s="366">
        <v>22.729454355081671</v>
      </c>
      <c r="Y28" s="366">
        <v>71.623372397275318</v>
      </c>
      <c r="Z28" s="366">
        <v>50.777764414299071</v>
      </c>
      <c r="AA28" s="367">
        <v>0</v>
      </c>
      <c r="AB28" s="369">
        <v>60.135859677525879</v>
      </c>
      <c r="AC28" s="370">
        <v>0</v>
      </c>
      <c r="AD28" s="409">
        <v>8.530789495298027</v>
      </c>
      <c r="AE28" s="409">
        <v>6.1120366608947085</v>
      </c>
      <c r="AF28" s="370">
        <v>13.667718947596024</v>
      </c>
      <c r="AG28" s="370">
        <v>7.8668306477478067</v>
      </c>
      <c r="AH28" s="370">
        <v>5.5772307271825978</v>
      </c>
      <c r="AI28" s="370">
        <v>0.58515283650946071</v>
      </c>
      <c r="AJ28" s="370">
        <v>331.39955808321645</v>
      </c>
      <c r="AK28" s="370">
        <v>1315.687715021769</v>
      </c>
      <c r="AL28" s="370">
        <v>3123.4024322509767</v>
      </c>
      <c r="AM28" s="370">
        <v>496.50453186035156</v>
      </c>
      <c r="AN28" s="370">
        <v>1215.4225158691406</v>
      </c>
      <c r="AO28" s="370">
        <v>2607.6018500010173</v>
      </c>
      <c r="AP28" s="370">
        <v>684.67158629099538</v>
      </c>
      <c r="AQ28" s="370">
        <v>1931.5359384536744</v>
      </c>
      <c r="AR28" s="370">
        <v>515.87872104644771</v>
      </c>
      <c r="AS28" s="370">
        <v>633.75869290033995</v>
      </c>
    </row>
    <row r="29" spans="1:45" x14ac:dyDescent="0.25">
      <c r="A29" s="11">
        <v>43518</v>
      </c>
      <c r="B29" s="59"/>
      <c r="C29" s="60">
        <v>63.102927982807572</v>
      </c>
      <c r="D29" s="60">
        <v>835.68393611908073</v>
      </c>
      <c r="E29" s="60">
        <v>27.395961684485375</v>
      </c>
      <c r="F29" s="60">
        <v>0</v>
      </c>
      <c r="G29" s="60">
        <v>2325.9421716054285</v>
      </c>
      <c r="H29" s="61">
        <v>26.679917037487034</v>
      </c>
      <c r="I29" s="59">
        <v>107.42665445009887</v>
      </c>
      <c r="J29" s="60">
        <v>346.05589815775636</v>
      </c>
      <c r="K29" s="60">
        <v>18.817933440208396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216.46821296674329</v>
      </c>
      <c r="V29" s="62">
        <v>154.67337007328223</v>
      </c>
      <c r="W29" s="62">
        <v>31.055024513180658</v>
      </c>
      <c r="X29" s="62">
        <v>22.189795135879844</v>
      </c>
      <c r="Y29" s="66">
        <v>66.661755523816879</v>
      </c>
      <c r="Z29" s="66">
        <v>47.631928219660018</v>
      </c>
      <c r="AA29" s="67">
        <v>0</v>
      </c>
      <c r="AB29" s="68">
        <v>67.378121844927918</v>
      </c>
      <c r="AC29" s="69">
        <v>0</v>
      </c>
      <c r="AD29" s="409">
        <v>8.5150066400266482</v>
      </c>
      <c r="AE29" s="409">
        <v>6.0762071580518437</v>
      </c>
      <c r="AF29" s="69">
        <v>13.507871553301801</v>
      </c>
      <c r="AG29" s="68">
        <v>7.8569793647858619</v>
      </c>
      <c r="AH29" s="68">
        <v>5.6140597286418705</v>
      </c>
      <c r="AI29" s="68">
        <v>0.58324968922546849</v>
      </c>
      <c r="AJ29" s="69">
        <v>326.10496741930649</v>
      </c>
      <c r="AK29" s="69">
        <v>1336.7145409901937</v>
      </c>
      <c r="AL29" s="69">
        <v>3128.1016941070561</v>
      </c>
      <c r="AM29" s="69">
        <v>496.50453186035156</v>
      </c>
      <c r="AN29" s="69">
        <v>1215.4225158691406</v>
      </c>
      <c r="AO29" s="69">
        <v>2590.6179424285883</v>
      </c>
      <c r="AP29" s="69">
        <v>707.55153958002734</v>
      </c>
      <c r="AQ29" s="69">
        <v>1930.7962652206415</v>
      </c>
      <c r="AR29" s="69">
        <v>505.75178310076393</v>
      </c>
      <c r="AS29" s="69">
        <v>638.83258450826008</v>
      </c>
    </row>
    <row r="30" spans="1:45" x14ac:dyDescent="0.25">
      <c r="A30" s="11">
        <v>43519</v>
      </c>
      <c r="B30" s="59"/>
      <c r="C30" s="60">
        <v>55.925115378698116</v>
      </c>
      <c r="D30" s="60">
        <v>870.87076441447107</v>
      </c>
      <c r="E30" s="60">
        <v>26.299598753949006</v>
      </c>
      <c r="F30" s="60">
        <v>0</v>
      </c>
      <c r="G30" s="60">
        <v>2453.1047117869034</v>
      </c>
      <c r="H30" s="61">
        <v>26.585959772268922</v>
      </c>
      <c r="I30" s="59">
        <v>107.64903000990515</v>
      </c>
      <c r="J30" s="60">
        <v>345.8961908340458</v>
      </c>
      <c r="K30" s="60">
        <v>18.875907848278707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213.80610975568632</v>
      </c>
      <c r="V30" s="62">
        <v>148.89573866647086</v>
      </c>
      <c r="W30" s="62">
        <v>31.979976675299067</v>
      </c>
      <c r="X30" s="62">
        <v>22.271029836548077</v>
      </c>
      <c r="Y30" s="66">
        <v>64.580718068072287</v>
      </c>
      <c r="Z30" s="66">
        <v>44.974363601417075</v>
      </c>
      <c r="AA30" s="67">
        <v>0</v>
      </c>
      <c r="AB30" s="68">
        <v>77.169843122694715</v>
      </c>
      <c r="AC30" s="69">
        <v>0</v>
      </c>
      <c r="AD30" s="409">
        <v>8.5110876030902496</v>
      </c>
      <c r="AE30" s="409">
        <v>6.0517867642089218</v>
      </c>
      <c r="AF30" s="69">
        <v>13.402116512258839</v>
      </c>
      <c r="AG30" s="68">
        <v>7.8146576083409514</v>
      </c>
      <c r="AH30" s="68">
        <v>5.4421700967716928</v>
      </c>
      <c r="AI30" s="68">
        <v>0.589481720828818</v>
      </c>
      <c r="AJ30" s="69">
        <v>330.12452387809753</v>
      </c>
      <c r="AK30" s="69">
        <v>1336.2337203343711</v>
      </c>
      <c r="AL30" s="69">
        <v>3163.2786902109779</v>
      </c>
      <c r="AM30" s="69">
        <v>496.50453186035156</v>
      </c>
      <c r="AN30" s="69">
        <v>1215.4225158691406</v>
      </c>
      <c r="AO30" s="69">
        <v>2557.8715476989746</v>
      </c>
      <c r="AP30" s="69">
        <v>680.90020974477136</v>
      </c>
      <c r="AQ30" s="69">
        <v>1940.3720419565836</v>
      </c>
      <c r="AR30" s="69">
        <v>494.80839686393739</v>
      </c>
      <c r="AS30" s="69">
        <v>583.1616432507833</v>
      </c>
    </row>
    <row r="31" spans="1:45" x14ac:dyDescent="0.25">
      <c r="A31" s="11">
        <v>43520</v>
      </c>
      <c r="B31" s="59"/>
      <c r="C31" s="60">
        <v>53.346609453360799</v>
      </c>
      <c r="D31" s="60">
        <v>869.17377026875999</v>
      </c>
      <c r="E31" s="60">
        <v>22.048876688381021</v>
      </c>
      <c r="F31" s="60">
        <v>0</v>
      </c>
      <c r="G31" s="60">
        <v>2420.7933458964039</v>
      </c>
      <c r="H31" s="61">
        <v>26.55323130289716</v>
      </c>
      <c r="I31" s="59">
        <v>107.72042696475975</v>
      </c>
      <c r="J31" s="60">
        <v>346.1540515422829</v>
      </c>
      <c r="K31" s="60">
        <v>18.884852322439357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216.75243274692298</v>
      </c>
      <c r="V31" s="62">
        <v>160.08892498224867</v>
      </c>
      <c r="W31" s="62">
        <v>31.228406022081895</v>
      </c>
      <c r="X31" s="62">
        <v>23.064663614739711</v>
      </c>
      <c r="Y31" s="66">
        <v>63.123807625296458</v>
      </c>
      <c r="Z31" s="66">
        <v>46.621956558701818</v>
      </c>
      <c r="AA31" s="67">
        <v>0</v>
      </c>
      <c r="AB31" s="68">
        <v>80.731009822420233</v>
      </c>
      <c r="AC31" s="69">
        <v>0</v>
      </c>
      <c r="AD31" s="409">
        <v>8.51671679627764</v>
      </c>
      <c r="AE31" s="409">
        <v>6.0401885434646365</v>
      </c>
      <c r="AF31" s="69">
        <v>14.017296826177175</v>
      </c>
      <c r="AG31" s="68">
        <v>7.9988642681435156</v>
      </c>
      <c r="AH31" s="68">
        <v>5.9077979681139006</v>
      </c>
      <c r="AI31" s="68">
        <v>0.57518217759606582</v>
      </c>
      <c r="AJ31" s="69">
        <v>321.29132520357774</v>
      </c>
      <c r="AK31" s="69">
        <v>1318.4724397023515</v>
      </c>
      <c r="AL31" s="69">
        <v>2857.2673866271971</v>
      </c>
      <c r="AM31" s="69">
        <v>496.50453186035156</v>
      </c>
      <c r="AN31" s="69">
        <v>1215.4225158691406</v>
      </c>
      <c r="AO31" s="69">
        <v>2546.9793266296388</v>
      </c>
      <c r="AP31" s="69">
        <v>674.49140453338646</v>
      </c>
      <c r="AQ31" s="69">
        <v>1957.862887064616</v>
      </c>
      <c r="AR31" s="69">
        <v>489.49324806531263</v>
      </c>
      <c r="AS31" s="69">
        <v>576.10221014022818</v>
      </c>
    </row>
    <row r="32" spans="1:45" x14ac:dyDescent="0.25">
      <c r="A32" s="11">
        <v>43521</v>
      </c>
      <c r="B32" s="59"/>
      <c r="C32" s="60">
        <v>55.981474598248731</v>
      </c>
      <c r="D32" s="60">
        <v>900.68824456533002</v>
      </c>
      <c r="E32" s="60">
        <v>20.785505271454625</v>
      </c>
      <c r="F32" s="60">
        <v>0</v>
      </c>
      <c r="G32" s="60">
        <v>2475.368821080523</v>
      </c>
      <c r="H32" s="61">
        <v>27.487902478377077</v>
      </c>
      <c r="I32" s="59">
        <v>117.59209239482882</v>
      </c>
      <c r="J32" s="60">
        <v>379.07842426300067</v>
      </c>
      <c r="K32" s="60">
        <v>20.82812152504922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230.84684976636987</v>
      </c>
      <c r="V32" s="62">
        <v>131.21135872039952</v>
      </c>
      <c r="W32" s="62">
        <v>33.032320300225848</v>
      </c>
      <c r="X32" s="62">
        <v>18.775286007439746</v>
      </c>
      <c r="Y32" s="66">
        <v>65.268381502296421</v>
      </c>
      <c r="Z32" s="66">
        <v>37.097985209955915</v>
      </c>
      <c r="AA32" s="67">
        <v>0</v>
      </c>
      <c r="AB32" s="68">
        <v>85.009239064322998</v>
      </c>
      <c r="AC32" s="69">
        <v>0</v>
      </c>
      <c r="AD32" s="409">
        <v>9.3264009413469928</v>
      </c>
      <c r="AE32" s="409">
        <v>6.2577642332211552</v>
      </c>
      <c r="AF32" s="69">
        <v>13.050562799308031</v>
      </c>
      <c r="AG32" s="68">
        <v>8.2349698424126263</v>
      </c>
      <c r="AH32" s="68">
        <v>4.6806858449141684</v>
      </c>
      <c r="AI32" s="68">
        <v>0.63759595654853285</v>
      </c>
      <c r="AJ32" s="69">
        <v>312.49577554066985</v>
      </c>
      <c r="AK32" s="69">
        <v>1308.2638775507608</v>
      </c>
      <c r="AL32" s="69">
        <v>2851.311220932007</v>
      </c>
      <c r="AM32" s="69">
        <v>499.42790260314939</v>
      </c>
      <c r="AN32" s="69">
        <v>1215.4225158691406</v>
      </c>
      <c r="AO32" s="69">
        <v>2600.542797088623</v>
      </c>
      <c r="AP32" s="69">
        <v>664.08440602620431</v>
      </c>
      <c r="AQ32" s="69">
        <v>1976.9656671524051</v>
      </c>
      <c r="AR32" s="69">
        <v>494.03437064488719</v>
      </c>
      <c r="AS32" s="69">
        <v>648.6678728739422</v>
      </c>
    </row>
    <row r="33" spans="1:45" x14ac:dyDescent="0.25">
      <c r="A33" s="11">
        <v>43522</v>
      </c>
      <c r="B33" s="59"/>
      <c r="C33" s="60">
        <v>54.362076902389525</v>
      </c>
      <c r="D33" s="60">
        <v>877.51985556284649</v>
      </c>
      <c r="E33" s="60">
        <v>18.709671769042853</v>
      </c>
      <c r="F33" s="60">
        <v>0</v>
      </c>
      <c r="G33" s="60">
        <v>2422.330498377481</v>
      </c>
      <c r="H33" s="61">
        <v>26.564877698818844</v>
      </c>
      <c r="I33" s="59">
        <v>107.47690587043759</v>
      </c>
      <c r="J33" s="60">
        <v>345.94584646225002</v>
      </c>
      <c r="K33" s="60">
        <v>18.731983982026577</v>
      </c>
      <c r="L33" s="6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209.79632806404882</v>
      </c>
      <c r="V33" s="62">
        <v>151.79319623684594</v>
      </c>
      <c r="W33" s="62">
        <v>31.023497109621665</v>
      </c>
      <c r="X33" s="62">
        <v>22.446321287741341</v>
      </c>
      <c r="Y33" s="66">
        <v>60.802303747595424</v>
      </c>
      <c r="Z33" s="66">
        <v>43.992076074817795</v>
      </c>
      <c r="AA33" s="67">
        <v>0</v>
      </c>
      <c r="AB33" s="68">
        <v>79.847246853510569</v>
      </c>
      <c r="AC33" s="69">
        <v>0</v>
      </c>
      <c r="AD33" s="409">
        <v>8.512487969825191</v>
      </c>
      <c r="AE33" s="409">
        <v>6.0498928629152333</v>
      </c>
      <c r="AF33" s="69">
        <v>13.370085823204784</v>
      </c>
      <c r="AG33" s="68">
        <v>7.6729558223624847</v>
      </c>
      <c r="AH33" s="68">
        <v>5.5515866250287544</v>
      </c>
      <c r="AI33" s="68">
        <v>0.58020576915128752</v>
      </c>
      <c r="AJ33" s="69">
        <v>303.57645994822178</v>
      </c>
      <c r="AK33" s="69">
        <v>1285.1793483734129</v>
      </c>
      <c r="AL33" s="69">
        <v>2826.5992558797207</v>
      </c>
      <c r="AM33" s="69">
        <v>527.05494689941406</v>
      </c>
      <c r="AN33" s="69">
        <v>1215.4225158691406</v>
      </c>
      <c r="AO33" s="69">
        <v>2575.0115430196124</v>
      </c>
      <c r="AP33" s="69">
        <v>654.18171863555904</v>
      </c>
      <c r="AQ33" s="69">
        <v>1964.2181043624878</v>
      </c>
      <c r="AR33" s="69">
        <v>495.99646447499595</v>
      </c>
      <c r="AS33" s="69">
        <v>653.4331614176433</v>
      </c>
    </row>
    <row r="34" spans="1:45" x14ac:dyDescent="0.25">
      <c r="A34" s="11">
        <v>43523</v>
      </c>
      <c r="B34" s="59"/>
      <c r="C34" s="60">
        <v>53.660435291131755</v>
      </c>
      <c r="D34" s="60">
        <v>891.13072147369439</v>
      </c>
      <c r="E34" s="60">
        <v>17.431480926771947</v>
      </c>
      <c r="F34" s="60">
        <v>0</v>
      </c>
      <c r="G34" s="60">
        <v>2478.8431025187124</v>
      </c>
      <c r="H34" s="61">
        <v>26.652913695573847</v>
      </c>
      <c r="I34" s="59">
        <v>107.5564747810364</v>
      </c>
      <c r="J34" s="60">
        <v>346.66750152905843</v>
      </c>
      <c r="K34" s="60">
        <v>18.901822892328106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211.40224427423516</v>
      </c>
      <c r="V34" s="62">
        <v>158.5713699310225</v>
      </c>
      <c r="W34" s="62">
        <v>31.893663303379999</v>
      </c>
      <c r="X34" s="62">
        <v>23.923217558538116</v>
      </c>
      <c r="Y34" s="66">
        <v>62.212026499111438</v>
      </c>
      <c r="Z34" s="66">
        <v>46.664813337326926</v>
      </c>
      <c r="AA34" s="67">
        <v>0</v>
      </c>
      <c r="AB34" s="68">
        <v>79.738941733042836</v>
      </c>
      <c r="AC34" s="69">
        <v>0</v>
      </c>
      <c r="AD34" s="409">
        <v>8.5300466606098233</v>
      </c>
      <c r="AE34" s="409">
        <v>6.0822455719250668</v>
      </c>
      <c r="AF34" s="69">
        <v>13.87535264558263</v>
      </c>
      <c r="AG34" s="68">
        <v>7.8325154250186175</v>
      </c>
      <c r="AH34" s="68">
        <v>5.875115967737333</v>
      </c>
      <c r="AI34" s="68">
        <v>0.57139816505117391</v>
      </c>
      <c r="AJ34" s="69">
        <v>311.93161191940311</v>
      </c>
      <c r="AK34" s="69">
        <v>1306.5269997278845</v>
      </c>
      <c r="AL34" s="69">
        <v>2859.450560251872</v>
      </c>
      <c r="AM34" s="69">
        <v>527.05494689941406</v>
      </c>
      <c r="AN34" s="69">
        <v>1215.4225158691406</v>
      </c>
      <c r="AO34" s="69">
        <v>2589.8052052815751</v>
      </c>
      <c r="AP34" s="69">
        <v>664.92370646794643</v>
      </c>
      <c r="AQ34" s="69">
        <v>1973.5828351338703</v>
      </c>
      <c r="AR34" s="69">
        <v>511.73762388229386</v>
      </c>
      <c r="AS34" s="69">
        <v>667.28913590113314</v>
      </c>
    </row>
    <row r="35" spans="1:45" x14ac:dyDescent="0.25">
      <c r="A35" s="11">
        <v>43524</v>
      </c>
      <c r="B35" s="59"/>
      <c r="C35" s="60">
        <v>53.797838509082482</v>
      </c>
      <c r="D35" s="60">
        <v>903.56700496673579</v>
      </c>
      <c r="E35" s="60">
        <v>17.087032491962098</v>
      </c>
      <c r="F35" s="60">
        <v>0</v>
      </c>
      <c r="G35" s="60">
        <v>2529.0042671203637</v>
      </c>
      <c r="H35" s="61">
        <v>26.778975907961556</v>
      </c>
      <c r="I35" s="59">
        <v>107.98804131348918</v>
      </c>
      <c r="J35" s="60">
        <v>347.90504463513747</v>
      </c>
      <c r="K35" s="60">
        <v>18.884155010183655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207.360452510366</v>
      </c>
      <c r="V35" s="62">
        <v>150.07402866537674</v>
      </c>
      <c r="W35" s="62">
        <v>30.651555884152586</v>
      </c>
      <c r="X35" s="62">
        <v>22.18360550774144</v>
      </c>
      <c r="Y35" s="66">
        <v>61.065866067436119</v>
      </c>
      <c r="Z35" s="66">
        <v>44.195507984929463</v>
      </c>
      <c r="AA35" s="67">
        <v>0</v>
      </c>
      <c r="AB35" s="68">
        <v>81.01501720216622</v>
      </c>
      <c r="AC35" s="69">
        <v>0</v>
      </c>
      <c r="AD35" s="409">
        <v>8.5615681077021222</v>
      </c>
      <c r="AE35" s="409">
        <v>6.1156572675631056</v>
      </c>
      <c r="AF35" s="69">
        <v>13.400063802467489</v>
      </c>
      <c r="AG35" s="68">
        <v>7.7233240252793944</v>
      </c>
      <c r="AH35" s="68">
        <v>5.5896403442880738</v>
      </c>
      <c r="AI35" s="68">
        <v>0.5801355589093582</v>
      </c>
      <c r="AJ35" s="69">
        <v>305.92452502250671</v>
      </c>
      <c r="AK35" s="69">
        <v>1308.1641944885257</v>
      </c>
      <c r="AL35" s="69">
        <v>2912.8865576426192</v>
      </c>
      <c r="AM35" s="69">
        <v>527.05494689941406</v>
      </c>
      <c r="AN35" s="69">
        <v>1215.4225158691406</v>
      </c>
      <c r="AO35" s="69">
        <v>2559.7023895263669</v>
      </c>
      <c r="AP35" s="69">
        <v>657.10807882944744</v>
      </c>
      <c r="AQ35" s="69">
        <v>1955.0802196502682</v>
      </c>
      <c r="AR35" s="69">
        <v>499.02396415074656</v>
      </c>
      <c r="AS35" s="69">
        <v>637.3100663185121</v>
      </c>
    </row>
    <row r="36" spans="1:45" x14ac:dyDescent="0.25">
      <c r="A36" s="11"/>
      <c r="B36" s="59"/>
      <c r="C36" s="60"/>
      <c r="D36" s="60"/>
      <c r="E36" s="60"/>
      <c r="F36" s="60"/>
      <c r="G36" s="60"/>
      <c r="H36" s="61"/>
      <c r="I36" s="59"/>
      <c r="J36" s="60"/>
      <c r="K36" s="60"/>
      <c r="L36" s="60"/>
      <c r="M36" s="60"/>
      <c r="N36" s="61"/>
      <c r="O36" s="59"/>
      <c r="P36" s="60"/>
      <c r="Q36" s="60"/>
      <c r="R36" s="63"/>
      <c r="S36" s="60"/>
      <c r="T36" s="64"/>
      <c r="U36" s="65"/>
      <c r="V36" s="62"/>
      <c r="W36" s="62"/>
      <c r="X36" s="62"/>
      <c r="Y36" s="66"/>
      <c r="Z36" s="66"/>
      <c r="AA36" s="67"/>
      <c r="AB36" s="68"/>
      <c r="AC36" s="69"/>
      <c r="AD36" s="409"/>
      <c r="AE36" s="409"/>
      <c r="AF36" s="69"/>
      <c r="AG36" s="68"/>
      <c r="AH36" s="68"/>
      <c r="AI36" s="68"/>
      <c r="AJ36" s="69"/>
      <c r="AK36" s="69"/>
      <c r="AL36" s="69"/>
      <c r="AM36" s="69"/>
      <c r="AN36" s="69"/>
      <c r="AO36" s="69"/>
      <c r="AP36" s="69"/>
      <c r="AQ36" s="69"/>
      <c r="AR36" s="69"/>
      <c r="AS36" s="69"/>
    </row>
    <row r="37" spans="1:45" x14ac:dyDescent="0.25">
      <c r="A37" s="11"/>
      <c r="B37" s="65"/>
      <c r="C37" s="383"/>
      <c r="D37" s="383"/>
      <c r="E37" s="383"/>
      <c r="F37" s="383"/>
      <c r="G37" s="383"/>
      <c r="H37" s="393"/>
      <c r="I37" s="382"/>
      <c r="J37" s="383"/>
      <c r="K37" s="383"/>
      <c r="L37" s="383"/>
      <c r="M37" s="383"/>
      <c r="N37" s="393"/>
      <c r="O37" s="382"/>
      <c r="P37" s="383"/>
      <c r="Q37" s="383"/>
      <c r="R37" s="394"/>
      <c r="S37" s="383"/>
      <c r="T37" s="395"/>
      <c r="U37" s="396"/>
      <c r="V37" s="81"/>
      <c r="W37" s="81"/>
      <c r="X37" s="81"/>
      <c r="Y37" s="80"/>
      <c r="Z37" s="80"/>
      <c r="AA37" s="82"/>
      <c r="AB37" s="397"/>
      <c r="AC37" s="391"/>
      <c r="AD37" s="409"/>
      <c r="AE37" s="409"/>
      <c r="AF37" s="391"/>
      <c r="AG37" s="397"/>
      <c r="AH37" s="397"/>
      <c r="AI37" s="397"/>
      <c r="AJ37" s="391"/>
      <c r="AK37" s="391"/>
      <c r="AL37" s="391"/>
      <c r="AM37" s="391"/>
      <c r="AN37" s="391"/>
      <c r="AO37" s="391"/>
      <c r="AP37" s="391"/>
      <c r="AQ37" s="391"/>
      <c r="AR37" s="391"/>
      <c r="AS37" s="391"/>
    </row>
    <row r="38" spans="1:45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409"/>
      <c r="AE38" s="409"/>
      <c r="AF38" s="85"/>
      <c r="AG38" s="83"/>
      <c r="AH38" s="83"/>
      <c r="AI38" s="83"/>
      <c r="AJ38" s="84"/>
      <c r="AK38" s="84"/>
      <c r="AL38" s="84"/>
      <c r="AM38" s="84"/>
      <c r="AN38" s="84"/>
      <c r="AO38" s="84"/>
      <c r="AP38" s="84"/>
      <c r="AQ38" s="84"/>
      <c r="AR38" s="84"/>
      <c r="AS38" s="84"/>
    </row>
    <row r="39" spans="1:45" ht="15.75" thickTop="1" x14ac:dyDescent="0.25">
      <c r="A39" s="46" t="s">
        <v>171</v>
      </c>
      <c r="B39" s="29">
        <f t="shared" ref="B39:AC39" si="0">SUM(B8:B38)</f>
        <v>0</v>
      </c>
      <c r="C39" s="30">
        <f>SUM(C8:C38)</f>
        <v>1681.3070408463529</v>
      </c>
      <c r="D39" s="30">
        <f t="shared" si="0"/>
        <v>21898.886587858196</v>
      </c>
      <c r="E39" s="30">
        <f t="shared" si="0"/>
        <v>734.33478567649877</v>
      </c>
      <c r="F39" s="30">
        <f t="shared" si="0"/>
        <v>0</v>
      </c>
      <c r="G39" s="30">
        <f t="shared" si="0"/>
        <v>56741.225721104922</v>
      </c>
      <c r="H39" s="31">
        <f t="shared" si="0"/>
        <v>744.94706468979643</v>
      </c>
      <c r="I39" s="29">
        <f t="shared" si="0"/>
        <v>3052.6795893033322</v>
      </c>
      <c r="J39" s="30">
        <f t="shared" si="0"/>
        <v>9590.8805603504334</v>
      </c>
      <c r="K39" s="30">
        <f t="shared" si="0"/>
        <v>521.56343982517717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5955.364954767485</v>
      </c>
      <c r="V39" s="262">
        <f t="shared" si="0"/>
        <v>4325.3448888362791</v>
      </c>
      <c r="W39" s="262">
        <f t="shared" si="0"/>
        <v>867.1515315464751</v>
      </c>
      <c r="X39" s="262">
        <f t="shared" si="0"/>
        <v>629.99789957089979</v>
      </c>
      <c r="Y39" s="262">
        <f t="shared" si="0"/>
        <v>1775.4397820573604</v>
      </c>
      <c r="Z39" s="262">
        <f t="shared" si="0"/>
        <v>1289.679333311165</v>
      </c>
      <c r="AA39" s="270">
        <f t="shared" si="0"/>
        <v>0</v>
      </c>
      <c r="AB39" s="273">
        <f t="shared" si="0"/>
        <v>2018.7447434875744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8881.1402067025501</v>
      </c>
      <c r="AK39" s="273">
        <f t="shared" si="1"/>
        <v>36594.61881790161</v>
      </c>
      <c r="AL39" s="273">
        <f t="shared" si="1"/>
        <v>80991.201611455283</v>
      </c>
      <c r="AM39" s="273">
        <f t="shared" si="1"/>
        <v>13083.164904459318</v>
      </c>
      <c r="AN39" s="273">
        <f t="shared" si="1"/>
        <v>33403.982980728149</v>
      </c>
      <c r="AO39" s="273">
        <f t="shared" si="1"/>
        <v>72054.586657079068</v>
      </c>
      <c r="AP39" s="273">
        <f t="shared" si="1"/>
        <v>18651.788595517475</v>
      </c>
      <c r="AQ39" s="273">
        <f t="shared" si="1"/>
        <v>54447.130508406961</v>
      </c>
      <c r="AR39" s="273">
        <f t="shared" si="1"/>
        <v>13083.708421158793</v>
      </c>
      <c r="AS39" s="273">
        <f t="shared" si="1"/>
        <v>17305.313946215309</v>
      </c>
    </row>
    <row r="40" spans="1:45" ht="15.75" thickBot="1" x14ac:dyDescent="0.3">
      <c r="A40" s="47" t="s">
        <v>172</v>
      </c>
      <c r="B40" s="32">
        <f>Projection!$AA$30</f>
        <v>0.82128400199999985</v>
      </c>
      <c r="C40" s="33">
        <f>Projection!$AA$28</f>
        <v>1.4863548</v>
      </c>
      <c r="D40" s="33">
        <f>Projection!$AA$31</f>
        <v>3.0824639999999999</v>
      </c>
      <c r="E40" s="33">
        <f>Projection!$AA$26</f>
        <v>3.9898560000000005</v>
      </c>
      <c r="F40" s="33">
        <f>Projection!$AA$23</f>
        <v>0</v>
      </c>
      <c r="G40" s="33">
        <f>Projection!$AA$24</f>
        <v>5.7950000000000002E-2</v>
      </c>
      <c r="H40" s="34">
        <f>Projection!$AA$29</f>
        <v>3.7390305000000001</v>
      </c>
      <c r="I40" s="32">
        <f>Projection!$AA$30</f>
        <v>0.82128400199999985</v>
      </c>
      <c r="J40" s="33">
        <f>Projection!$AA$28</f>
        <v>1.4863548</v>
      </c>
      <c r="K40" s="33">
        <f>Projection!$AA$26</f>
        <v>3.9898560000000005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Projection!$AA$28</f>
        <v>1.4863548</v>
      </c>
      <c r="T40" s="38">
        <f>Projection!$AA$28</f>
        <v>1.4863548</v>
      </c>
      <c r="U40" s="26">
        <f>Projection!$AA$27</f>
        <v>0.29960000000000003</v>
      </c>
      <c r="V40" s="27">
        <f>Projection!$AA$27</f>
        <v>0.29960000000000003</v>
      </c>
      <c r="W40" s="27">
        <f>Projection!$AA$22</f>
        <v>0.74349432000000004</v>
      </c>
      <c r="X40" s="27">
        <f>Projection!$AA$22</f>
        <v>0.74349432000000004</v>
      </c>
      <c r="Y40" s="27">
        <f>Projection!$AA$31</f>
        <v>3.0824639999999999</v>
      </c>
      <c r="Z40" s="27">
        <f>Projection!$AA$31</f>
        <v>3.0824639999999999</v>
      </c>
      <c r="AA40" s="28">
        <v>0</v>
      </c>
      <c r="AB40" s="41">
        <f>Projection!$AA$27</f>
        <v>0.29960000000000003</v>
      </c>
      <c r="AC40" s="41">
        <f>Projection!$AA$30</f>
        <v>0.82128400199999985</v>
      </c>
      <c r="AD40" s="400">
        <f>SUM(AD8:AD38)</f>
        <v>236.01109281170486</v>
      </c>
      <c r="AE40" s="400">
        <f>SUM(AE8:AE38)</f>
        <v>169.96919343749786</v>
      </c>
      <c r="AF40" s="277">
        <f>SUM(AF8:AF38)</f>
        <v>383.74559778273112</v>
      </c>
      <c r="AG40" s="277">
        <f>SUM(AG8:AG38)</f>
        <v>219.64278646710446</v>
      </c>
      <c r="AH40" s="277">
        <f>SUM(AH8:AH38)</f>
        <v>159.60490068702339</v>
      </c>
      <c r="AI40" s="277">
        <f>IF(SUM(AG40:AH40)&gt;0, AG40/(AG40+AH40), 0)</f>
        <v>0.57915392474850003</v>
      </c>
      <c r="AJ40" s="312">
        <v>6.6000000000000003E-2</v>
      </c>
      <c r="AK40" s="312">
        <f t="shared" ref="AK40:AS40" si="2">$AJ$40</f>
        <v>6.6000000000000003E-2</v>
      </c>
      <c r="AL40" s="312">
        <f t="shared" si="2"/>
        <v>6.6000000000000003E-2</v>
      </c>
      <c r="AM40" s="312">
        <f t="shared" si="2"/>
        <v>6.6000000000000003E-2</v>
      </c>
      <c r="AN40" s="312">
        <f t="shared" si="2"/>
        <v>6.6000000000000003E-2</v>
      </c>
      <c r="AO40" s="312">
        <f t="shared" si="2"/>
        <v>6.6000000000000003E-2</v>
      </c>
      <c r="AP40" s="312">
        <f t="shared" si="2"/>
        <v>6.6000000000000003E-2</v>
      </c>
      <c r="AQ40" s="312">
        <f t="shared" si="2"/>
        <v>6.6000000000000003E-2</v>
      </c>
      <c r="AR40" s="312">
        <f t="shared" si="2"/>
        <v>6.6000000000000003E-2</v>
      </c>
      <c r="AS40" s="312">
        <f t="shared" si="2"/>
        <v>6.6000000000000003E-2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2499.0187904357726</v>
      </c>
      <c r="D41" s="36">
        <f t="shared" si="3"/>
        <v>67502.529547155718</v>
      </c>
      <c r="E41" s="36">
        <f t="shared" si="3"/>
        <v>2929.8900506400932</v>
      </c>
      <c r="F41" s="36">
        <f t="shared" si="3"/>
        <v>0</v>
      </c>
      <c r="G41" s="36">
        <f t="shared" si="3"/>
        <v>3288.1540305380304</v>
      </c>
      <c r="H41" s="37">
        <f t="shared" si="3"/>
        <v>2785.3797957606221</v>
      </c>
      <c r="I41" s="35">
        <f t="shared" si="3"/>
        <v>2507.1169099267568</v>
      </c>
      <c r="J41" s="36">
        <f t="shared" si="3"/>
        <v>14255.451357103557</v>
      </c>
      <c r="K41" s="36">
        <f t="shared" si="3"/>
        <v>2080.9630197671222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1784.2273404483387</v>
      </c>
      <c r="V41" s="268">
        <f t="shared" si="3"/>
        <v>1295.8733286953493</v>
      </c>
      <c r="W41" s="268">
        <f t="shared" si="3"/>
        <v>644.72223828410506</v>
      </c>
      <c r="X41" s="268">
        <f t="shared" si="3"/>
        <v>468.39985994289447</v>
      </c>
      <c r="Y41" s="268">
        <f t="shared" si="3"/>
        <v>5472.729212359659</v>
      </c>
      <c r="Z41" s="268">
        <f t="shared" si="3"/>
        <v>3975.3901164756667</v>
      </c>
      <c r="AA41" s="272">
        <f t="shared" si="3"/>
        <v>0</v>
      </c>
      <c r="AB41" s="275">
        <f t="shared" si="3"/>
        <v>604.81592514887734</v>
      </c>
      <c r="AC41" s="275">
        <f t="shared" si="3"/>
        <v>0</v>
      </c>
      <c r="AJ41" s="278">
        <f t="shared" ref="AJ41:AS41" si="4">AJ40*AJ39</f>
        <v>586.15525364236828</v>
      </c>
      <c r="AK41" s="278">
        <f t="shared" si="4"/>
        <v>2415.2448419815064</v>
      </c>
      <c r="AL41" s="278">
        <f t="shared" si="4"/>
        <v>5345.4193063560488</v>
      </c>
      <c r="AM41" s="278">
        <f t="shared" si="4"/>
        <v>863.48888369431506</v>
      </c>
      <c r="AN41" s="278">
        <f t="shared" si="4"/>
        <v>2204.6628767280581</v>
      </c>
      <c r="AO41" s="278">
        <f t="shared" si="4"/>
        <v>4755.6027193672189</v>
      </c>
      <c r="AP41" s="278">
        <f t="shared" si="4"/>
        <v>1231.0180473041535</v>
      </c>
      <c r="AQ41" s="278">
        <f t="shared" si="4"/>
        <v>3593.5106135548594</v>
      </c>
      <c r="AR41" s="278">
        <f t="shared" si="4"/>
        <v>863.52475579648046</v>
      </c>
      <c r="AS41" s="278">
        <f t="shared" si="4"/>
        <v>1142.1507204502104</v>
      </c>
    </row>
    <row r="42" spans="1:45" ht="49.5" customHeight="1" thickTop="1" thickBot="1" x14ac:dyDescent="0.3">
      <c r="A42" s="633">
        <f>JANUARY!$A$42+31</f>
        <v>43497</v>
      </c>
      <c r="B42" s="634"/>
      <c r="C42" s="634"/>
      <c r="D42" s="634"/>
      <c r="E42" s="634"/>
      <c r="F42" s="634"/>
      <c r="G42" s="634"/>
      <c r="H42" s="634"/>
      <c r="I42" s="634"/>
      <c r="J42" s="634"/>
      <c r="K42" s="63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1446.88</v>
      </c>
      <c r="AK42" s="278" t="s">
        <v>197</v>
      </c>
      <c r="AL42" s="278">
        <v>3003.44</v>
      </c>
      <c r="AM42" s="278">
        <v>1064.25</v>
      </c>
      <c r="AN42" s="278">
        <v>1762.11</v>
      </c>
      <c r="AO42" s="278">
        <v>8433.42</v>
      </c>
      <c r="AP42" s="278">
        <v>1856.4</v>
      </c>
      <c r="AQ42" s="278" t="s">
        <v>197</v>
      </c>
      <c r="AR42" s="278">
        <v>211.46</v>
      </c>
      <c r="AS42" s="278">
        <v>842.65</v>
      </c>
    </row>
    <row r="43" spans="1:45" ht="38.25" customHeight="1" thickTop="1" thickBot="1" x14ac:dyDescent="0.3">
      <c r="A43" s="630" t="s">
        <v>236</v>
      </c>
      <c r="B43" s="626"/>
      <c r="C43" s="289"/>
      <c r="D43" s="626" t="s">
        <v>47</v>
      </c>
      <c r="E43" s="626"/>
      <c r="F43" s="289"/>
      <c r="G43" s="626" t="s">
        <v>48</v>
      </c>
      <c r="H43" s="626"/>
      <c r="I43" s="290"/>
      <c r="J43" s="626" t="s">
        <v>50</v>
      </c>
      <c r="K43" s="627"/>
      <c r="L43" s="44"/>
      <c r="M43" s="44"/>
      <c r="N43" s="44"/>
      <c r="O43" s="45"/>
      <c r="P43" s="45"/>
      <c r="Q43" s="45"/>
      <c r="R43" s="615" t="s">
        <v>166</v>
      </c>
      <c r="S43" s="616"/>
      <c r="T43" s="616"/>
      <c r="U43" s="617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112094.66152268258</v>
      </c>
      <c r="C44" s="12"/>
      <c r="D44" s="282" t="s">
        <v>135</v>
      </c>
      <c r="E44" s="283">
        <f>SUM(B41:H41)+P41+R41+T41+V41+X41+Z41</f>
        <v>84744.635519644158</v>
      </c>
      <c r="F44" s="12"/>
      <c r="G44" s="282" t="s">
        <v>135</v>
      </c>
      <c r="H44" s="283">
        <f>SUM(I41:N41)+O41+Q41+S41+U41+W41+Y41</f>
        <v>26745.21007788954</v>
      </c>
      <c r="I44" s="12"/>
      <c r="J44" s="282" t="s">
        <v>198</v>
      </c>
      <c r="K44" s="283">
        <v>144451.63999999998</v>
      </c>
      <c r="L44" s="12"/>
      <c r="M44" s="12"/>
      <c r="N44" s="12"/>
      <c r="O44" s="12"/>
      <c r="P44" s="12"/>
      <c r="Q44" s="12"/>
      <c r="R44" s="306" t="s">
        <v>135</v>
      </c>
      <c r="S44" s="307"/>
      <c r="T44" s="304" t="s">
        <v>167</v>
      </c>
      <c r="U44" s="255" t="s">
        <v>168</v>
      </c>
    </row>
    <row r="45" spans="1:45" ht="24" thickBot="1" x14ac:dyDescent="0.4">
      <c r="A45" s="284" t="s">
        <v>183</v>
      </c>
      <c r="B45" s="285">
        <f>SUM(AJ41:AS41)</f>
        <v>23000.778018875222</v>
      </c>
      <c r="C45" s="12"/>
      <c r="D45" s="284" t="s">
        <v>183</v>
      </c>
      <c r="E45" s="285">
        <f>AJ41*(1-$AI$40)+AK41+AL41*0.5+AN41+AO41*(1-$AI$40)+AP41*(1-$AI$40)+AQ41*(1-$AI$40)+AR41*0.5+AS41*0.5</f>
        <v>12573.896939756316</v>
      </c>
      <c r="F45" s="24"/>
      <c r="G45" s="284" t="s">
        <v>183</v>
      </c>
      <c r="H45" s="285">
        <f>AJ41*AI40+AL41*0.5+AM41+AO41*AI40+AP41*AI40+AQ41*AI40+AR41*0.5+AS41*0.5</f>
        <v>10426.881079118903</v>
      </c>
      <c r="I45" s="12"/>
      <c r="J45" s="12"/>
      <c r="K45" s="288"/>
      <c r="L45" s="12"/>
      <c r="M45" s="12"/>
      <c r="N45" s="12"/>
      <c r="O45" s="12"/>
      <c r="P45" s="12"/>
      <c r="Q45" s="12"/>
      <c r="R45" s="308" t="s">
        <v>141</v>
      </c>
      <c r="S45" s="309"/>
      <c r="T45" s="254">
        <f>$W$39+$X$39</f>
        <v>1497.1494311173749</v>
      </c>
      <c r="U45" s="256">
        <f>(T45*8.34*0.895)/27000</f>
        <v>0.41389527772923779</v>
      </c>
    </row>
    <row r="46" spans="1:45" ht="32.25" thickBot="1" x14ac:dyDescent="0.3">
      <c r="A46" s="286" t="s">
        <v>184</v>
      </c>
      <c r="B46" s="287">
        <f>SUM(AJ42:AS42)</f>
        <v>18620.61</v>
      </c>
      <c r="C46" s="12"/>
      <c r="D46" s="286" t="s">
        <v>184</v>
      </c>
      <c r="E46" s="287">
        <f>AJ42*(1-$AI$40)+AL42*0.5+AN42+AO42*(1-$AI$40)+AP42*(1-$AI$40)+AR42*0.5+AS42*0.5</f>
        <v>8730.2291314042795</v>
      </c>
      <c r="F46" s="23"/>
      <c r="G46" s="286" t="s">
        <v>184</v>
      </c>
      <c r="H46" s="287">
        <f>AJ42*AI40+AL42*0.5+AM42+AO42*AI40+AP42*AI40+AR42*0.5+AS42*0.5</f>
        <v>9890.380868595721</v>
      </c>
      <c r="I46" s="12"/>
      <c r="J46" s="628" t="s">
        <v>199</v>
      </c>
      <c r="K46" s="629"/>
      <c r="L46" s="12"/>
      <c r="M46" s="12"/>
      <c r="N46" s="12"/>
      <c r="O46" s="12"/>
      <c r="P46" s="12"/>
      <c r="Q46" s="12"/>
      <c r="R46" s="308" t="s">
        <v>145</v>
      </c>
      <c r="S46" s="309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144451.63999999998</v>
      </c>
      <c r="C47" s="12"/>
      <c r="D47" s="286" t="s">
        <v>187</v>
      </c>
      <c r="E47" s="287">
        <f>K44*0.5</f>
        <v>72225.819999999992</v>
      </c>
      <c r="F47" s="24"/>
      <c r="G47" s="286" t="s">
        <v>185</v>
      </c>
      <c r="H47" s="287">
        <f>K44*0.5</f>
        <v>72225.819999999992</v>
      </c>
      <c r="I47" s="12"/>
      <c r="J47" s="282" t="s">
        <v>198</v>
      </c>
      <c r="K47" s="283">
        <v>97861.380000000019</v>
      </c>
      <c r="L47" s="12"/>
      <c r="M47" s="12"/>
      <c r="N47" s="12"/>
      <c r="O47" s="12"/>
      <c r="P47" s="12"/>
      <c r="Q47" s="12"/>
      <c r="R47" s="308" t="s">
        <v>148</v>
      </c>
      <c r="S47" s="309"/>
      <c r="T47" s="254">
        <f>$G$39</f>
        <v>56741.225721104922</v>
      </c>
      <c r="U47" s="256">
        <f>T47/40000</f>
        <v>1.418530643027623</v>
      </c>
    </row>
    <row r="48" spans="1:45" ht="24" thickBot="1" x14ac:dyDescent="0.3">
      <c r="A48" s="286" t="s">
        <v>186</v>
      </c>
      <c r="B48" s="287">
        <f>K47</f>
        <v>97861.380000000019</v>
      </c>
      <c r="C48" s="12"/>
      <c r="D48" s="286" t="s">
        <v>186</v>
      </c>
      <c r="E48" s="287">
        <f>K47*0.5</f>
        <v>48930.69000000001</v>
      </c>
      <c r="F48" s="23"/>
      <c r="G48" s="286" t="s">
        <v>186</v>
      </c>
      <c r="H48" s="287">
        <f>K47*0.5</f>
        <v>48930.69000000001</v>
      </c>
      <c r="I48" s="12"/>
      <c r="J48" s="12"/>
      <c r="K48" s="86"/>
      <c r="L48" s="12"/>
      <c r="M48" s="12"/>
      <c r="N48" s="12"/>
      <c r="O48" s="12"/>
      <c r="P48" s="12"/>
      <c r="Q48" s="12"/>
      <c r="R48" s="308" t="s">
        <v>150</v>
      </c>
      <c r="S48" s="309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194</v>
      </c>
      <c r="B49" s="292">
        <f>AF40</f>
        <v>383.74559778273112</v>
      </c>
      <c r="C49" s="12"/>
      <c r="D49" s="291" t="s">
        <v>195</v>
      </c>
      <c r="E49" s="292">
        <f>AH40</f>
        <v>159.60490068702339</v>
      </c>
      <c r="F49" s="23"/>
      <c r="G49" s="291" t="s">
        <v>196</v>
      </c>
      <c r="H49" s="292">
        <f>AG40</f>
        <v>219.64278646710446</v>
      </c>
      <c r="I49" s="12"/>
      <c r="J49" s="12"/>
      <c r="K49" s="86"/>
      <c r="L49" s="12"/>
      <c r="M49" s="12"/>
      <c r="N49" s="12"/>
      <c r="O49" s="12"/>
      <c r="P49" s="12"/>
      <c r="Q49" s="12"/>
      <c r="R49" s="308" t="s">
        <v>152</v>
      </c>
      <c r="S49" s="309"/>
      <c r="T49" s="254">
        <f>$E$39+$K$39</f>
        <v>1255.8982255016758</v>
      </c>
      <c r="U49" s="256">
        <f>(T49*8.34*1.04)/45000</f>
        <v>0.24207019663802967</v>
      </c>
    </row>
    <row r="50" spans="1:25" ht="48" customHeight="1" thickTop="1" thickBot="1" x14ac:dyDescent="0.3">
      <c r="A50" s="291" t="s">
        <v>223</v>
      </c>
      <c r="B50" s="292">
        <f>SUM(E50+H50)</f>
        <v>405.98028624920272</v>
      </c>
      <c r="C50" s="12"/>
      <c r="D50" s="291" t="s">
        <v>224</v>
      </c>
      <c r="E50" s="292">
        <f>AE40</f>
        <v>169.96919343749786</v>
      </c>
      <c r="F50" s="23"/>
      <c r="G50" s="291" t="s">
        <v>225</v>
      </c>
      <c r="H50" s="292">
        <f>AD40</f>
        <v>236.01109281170486</v>
      </c>
      <c r="I50" s="12"/>
      <c r="J50" s="12"/>
      <c r="K50" s="86"/>
      <c r="L50" s="12"/>
      <c r="M50" s="12"/>
      <c r="N50" s="12"/>
      <c r="O50" s="12"/>
      <c r="P50" s="12"/>
      <c r="Q50" s="12"/>
      <c r="R50" s="317"/>
      <c r="S50" s="318"/>
      <c r="T50" s="254"/>
      <c r="U50" s="256"/>
    </row>
    <row r="51" spans="1:25" ht="48" thickTop="1" thickBot="1" x14ac:dyDescent="0.3">
      <c r="A51" s="291" t="s">
        <v>190</v>
      </c>
      <c r="B51" s="293">
        <f>(SUM(B44:B48)/B50)</f>
        <v>975.48842383559338</v>
      </c>
      <c r="C51" s="12"/>
      <c r="D51" s="291" t="s">
        <v>188</v>
      </c>
      <c r="E51" s="399">
        <f>SUM(E44:E48)/E50</f>
        <v>1336.7438357254669</v>
      </c>
      <c r="F51" s="23"/>
      <c r="G51" s="291" t="s">
        <v>189</v>
      </c>
      <c r="H51" s="399">
        <f>SUM(H44:H48)/H50</f>
        <v>712.75879460383328</v>
      </c>
      <c r="I51" s="12"/>
      <c r="J51" s="12"/>
      <c r="K51" s="86"/>
      <c r="L51" s="12"/>
      <c r="M51" s="12"/>
      <c r="N51" s="12"/>
      <c r="O51" s="12"/>
      <c r="P51" s="12"/>
      <c r="Q51" s="12"/>
      <c r="R51" s="308" t="s">
        <v>153</v>
      </c>
      <c r="S51" s="309"/>
      <c r="T51" s="254">
        <f>$U$39+$V$39+$AB$39</f>
        <v>12299.454587091337</v>
      </c>
      <c r="U51" s="256">
        <f>T51/2000/8</f>
        <v>0.76871591169320852</v>
      </c>
    </row>
    <row r="52" spans="1:25" ht="47.25" customHeight="1" thickTop="1" thickBot="1" x14ac:dyDescent="0.3">
      <c r="A52" s="281" t="s">
        <v>191</v>
      </c>
      <c r="B52" s="294">
        <f>B51/1000</f>
        <v>0.97548842383559342</v>
      </c>
      <c r="C52" s="12"/>
      <c r="D52" s="281" t="s">
        <v>192</v>
      </c>
      <c r="E52" s="294">
        <f>E51/1000</f>
        <v>1.3367438357254668</v>
      </c>
      <c r="F52" s="373">
        <f>E44/E49</f>
        <v>530.96512171530264</v>
      </c>
      <c r="G52" s="281" t="s">
        <v>193</v>
      </c>
      <c r="H52" s="294">
        <f>H51/1000</f>
        <v>0.71275879460383329</v>
      </c>
      <c r="I52" s="373">
        <f>H44/H49</f>
        <v>121.76684929234007</v>
      </c>
      <c r="J52" s="12"/>
      <c r="K52" s="86"/>
      <c r="L52" s="12"/>
      <c r="M52" s="12"/>
      <c r="N52" s="12"/>
      <c r="O52" s="12"/>
      <c r="P52" s="12"/>
      <c r="Q52" s="12"/>
      <c r="R52" s="308" t="s">
        <v>154</v>
      </c>
      <c r="S52" s="309"/>
      <c r="T52" s="254">
        <f>$C$39+$J$39+$S$39+$T$39</f>
        <v>11272.187601196787</v>
      </c>
      <c r="U52" s="256">
        <f>(T52*8.34*1.4)/45000</f>
        <v>2.9247569429238598</v>
      </c>
    </row>
    <row r="53" spans="1:25" ht="16.5" thickTop="1" thickBot="1" x14ac:dyDescent="0.3">
      <c r="A53" s="302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08" t="s">
        <v>155</v>
      </c>
      <c r="S53" s="309"/>
      <c r="T53" s="254">
        <f>$H$39</f>
        <v>744.94706468979643</v>
      </c>
      <c r="U53" s="256">
        <f>(T53*8.34*1.135)/45000</f>
        <v>0.156702098214381</v>
      </c>
    </row>
    <row r="54" spans="1:25" ht="48" customHeight="1" thickTop="1" thickBot="1" x14ac:dyDescent="0.3">
      <c r="A54" s="618" t="s">
        <v>51</v>
      </c>
      <c r="B54" s="619"/>
      <c r="C54" s="619"/>
      <c r="D54" s="619"/>
      <c r="E54" s="62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08" t="s">
        <v>156</v>
      </c>
      <c r="S54" s="309"/>
      <c r="T54" s="254">
        <f>$B$39+$I$39+$AC$39</f>
        <v>3052.6795893033322</v>
      </c>
      <c r="U54" s="256">
        <f>(T54*8.34*1.029*0.03)/3300</f>
        <v>0.23816062600235174</v>
      </c>
    </row>
    <row r="55" spans="1:25" ht="42" customHeight="1" thickBot="1" x14ac:dyDescent="0.3">
      <c r="A55" s="623" t="s">
        <v>200</v>
      </c>
      <c r="B55" s="624"/>
      <c r="C55" s="624"/>
      <c r="D55" s="624"/>
      <c r="E55" s="62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1" t="s">
        <v>158</v>
      </c>
      <c r="S55" s="632"/>
      <c r="T55" s="258">
        <f>$D$39+$Y$39+$Z$39</f>
        <v>24964.005703226721</v>
      </c>
      <c r="U55" s="259">
        <f>(T55*1.54*8.34)/45000</f>
        <v>7.1250600811102824</v>
      </c>
    </row>
    <row r="56" spans="1:25" ht="24" thickTop="1" x14ac:dyDescent="0.25">
      <c r="A56" s="661"/>
      <c r="B56" s="66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63"/>
      <c r="B57" s="66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59"/>
      <c r="B58" s="66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60"/>
      <c r="B59" s="66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59"/>
      <c r="B60" s="66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60"/>
      <c r="B61" s="660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</sheetData>
  <sheetProtection algorithmName="SHA-512" hashValue="zz56sPYRehdV1NJqUTpV1teFBgBoPUPlI/N31ePn2LhSvI13Dd0bJY0ch04vImWt9Y6ovU/ncd/myAiqe2J43A==" saltValue="eSgeMkKMgDeM4Cfl7lZNEg==" spinCount="100000" sheet="1" objects="1" scenarios="1" selectLockedCells="1" selectUnlockedCells="1"/>
  <mergeCells count="36">
    <mergeCell ref="AR4:AR5"/>
    <mergeCell ref="AS4:AS5"/>
    <mergeCell ref="AJ4:AJ5"/>
    <mergeCell ref="AK4:AK5"/>
    <mergeCell ref="AL4:AL5"/>
    <mergeCell ref="AM4:AM5"/>
    <mergeCell ref="AN4:AN5"/>
    <mergeCell ref="AO4:AO5"/>
    <mergeCell ref="I4:N5"/>
    <mergeCell ref="AQ4:AQ5"/>
    <mergeCell ref="AP4:AP5"/>
    <mergeCell ref="R43:U43"/>
    <mergeCell ref="AF4:AF5"/>
    <mergeCell ref="AG4:AG5"/>
    <mergeCell ref="AH4:AH5"/>
    <mergeCell ref="AI4:AI5"/>
    <mergeCell ref="O4:T5"/>
    <mergeCell ref="AD4:AD5"/>
    <mergeCell ref="AE4:AE5"/>
    <mergeCell ref="AC4:AC5"/>
    <mergeCell ref="A58:B59"/>
    <mergeCell ref="A60:B61"/>
    <mergeCell ref="A56:B56"/>
    <mergeCell ref="A57:B57"/>
    <mergeCell ref="AB4:AB5"/>
    <mergeCell ref="A54:E54"/>
    <mergeCell ref="A55:E55"/>
    <mergeCell ref="R55:S55"/>
    <mergeCell ref="U4:AA5"/>
    <mergeCell ref="J43:K43"/>
    <mergeCell ref="J46:K46"/>
    <mergeCell ref="A42:K42"/>
    <mergeCell ref="A43:B43"/>
    <mergeCell ref="D43:E43"/>
    <mergeCell ref="G43:H43"/>
    <mergeCell ref="B4:H5"/>
  </mergeCells>
  <pageMargins left="0.33" right="0.19" top="0.75" bottom="0.75" header="0.3" footer="0.3"/>
  <pageSetup scale="52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W64"/>
  <sheetViews>
    <sheetView topLeftCell="A45" zoomScale="75" zoomScaleNormal="75" workbookViewId="0">
      <selection activeCell="L9" sqref="L9"/>
    </sheetView>
  </sheetViews>
  <sheetFormatPr defaultRowHeight="15" x14ac:dyDescent="0.25"/>
  <cols>
    <col min="1" max="1" width="35.140625" bestFit="1" customWidth="1"/>
    <col min="2" max="2" width="19.28515625" bestFit="1" customWidth="1"/>
    <col min="3" max="3" width="27.7109375" bestFit="1" customWidth="1"/>
    <col min="4" max="4" width="29.5703125" customWidth="1"/>
    <col min="5" max="5" width="22.28515625" bestFit="1" customWidth="1"/>
    <col min="6" max="6" width="15" bestFit="1" customWidth="1"/>
    <col min="7" max="7" width="35.5703125" customWidth="1"/>
    <col min="8" max="8" width="19.28515625" bestFit="1" customWidth="1"/>
    <col min="9" max="9" width="15" bestFit="1" customWidth="1"/>
    <col min="10" max="10" width="16.42578125" bestFit="1" customWidth="1"/>
    <col min="11" max="11" width="19.140625" bestFit="1" customWidth="1"/>
    <col min="12" max="12" width="17" bestFit="1" customWidth="1"/>
    <col min="13" max="13" width="16" bestFit="1" customWidth="1"/>
    <col min="14" max="14" width="15" bestFit="1" customWidth="1"/>
    <col min="15" max="16" width="16.1406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31" width="36.7109375" customWidth="1"/>
    <col min="32" max="32" width="33.1406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37" t="s">
        <v>3</v>
      </c>
      <c r="C4" s="638"/>
      <c r="D4" s="638"/>
      <c r="E4" s="638"/>
      <c r="F4" s="638"/>
      <c r="G4" s="638"/>
      <c r="H4" s="639"/>
      <c r="I4" s="637" t="s">
        <v>4</v>
      </c>
      <c r="J4" s="638"/>
      <c r="K4" s="638"/>
      <c r="L4" s="638"/>
      <c r="M4" s="638"/>
      <c r="N4" s="639"/>
      <c r="O4" s="643" t="s">
        <v>5</v>
      </c>
      <c r="P4" s="644"/>
      <c r="Q4" s="645"/>
      <c r="R4" s="645"/>
      <c r="S4" s="645"/>
      <c r="T4" s="646"/>
      <c r="U4" s="637" t="s">
        <v>6</v>
      </c>
      <c r="V4" s="650"/>
      <c r="W4" s="650"/>
      <c r="X4" s="650"/>
      <c r="Y4" s="650"/>
      <c r="Z4" s="650"/>
      <c r="AA4" s="651"/>
      <c r="AB4" s="655" t="s">
        <v>7</v>
      </c>
      <c r="AC4" s="657" t="s">
        <v>8</v>
      </c>
      <c r="AD4" s="621" t="s">
        <v>222</v>
      </c>
      <c r="AE4" s="621" t="s">
        <v>221</v>
      </c>
      <c r="AF4" s="621" t="s">
        <v>27</v>
      </c>
      <c r="AG4" s="621" t="s">
        <v>31</v>
      </c>
      <c r="AH4" s="621" t="s">
        <v>32</v>
      </c>
      <c r="AI4" s="621" t="s">
        <v>33</v>
      </c>
      <c r="AJ4" s="655" t="s">
        <v>173</v>
      </c>
      <c r="AK4" s="655" t="s">
        <v>174</v>
      </c>
      <c r="AL4" s="655" t="s">
        <v>175</v>
      </c>
      <c r="AM4" s="655" t="s">
        <v>176</v>
      </c>
      <c r="AN4" s="655" t="s">
        <v>177</v>
      </c>
      <c r="AO4" s="655" t="s">
        <v>178</v>
      </c>
      <c r="AP4" s="655" t="s">
        <v>179</v>
      </c>
      <c r="AQ4" s="655" t="s">
        <v>182</v>
      </c>
      <c r="AR4" s="655" t="s">
        <v>180</v>
      </c>
      <c r="AS4" s="655" t="s">
        <v>181</v>
      </c>
      <c r="AV4" t="s">
        <v>169</v>
      </c>
      <c r="AW4" s="337" t="s">
        <v>207</v>
      </c>
    </row>
    <row r="5" spans="1:49" ht="30" customHeight="1" thickBot="1" x14ac:dyDescent="0.3">
      <c r="A5" s="13"/>
      <c r="B5" s="640"/>
      <c r="C5" s="641"/>
      <c r="D5" s="641"/>
      <c r="E5" s="641"/>
      <c r="F5" s="641"/>
      <c r="G5" s="641"/>
      <c r="H5" s="642"/>
      <c r="I5" s="640"/>
      <c r="J5" s="641"/>
      <c r="K5" s="641"/>
      <c r="L5" s="641"/>
      <c r="M5" s="641"/>
      <c r="N5" s="642"/>
      <c r="O5" s="647"/>
      <c r="P5" s="648"/>
      <c r="Q5" s="648"/>
      <c r="R5" s="648"/>
      <c r="S5" s="648"/>
      <c r="T5" s="649"/>
      <c r="U5" s="652"/>
      <c r="V5" s="653"/>
      <c r="W5" s="653"/>
      <c r="X5" s="653"/>
      <c r="Y5" s="653"/>
      <c r="Z5" s="653"/>
      <c r="AA5" s="654"/>
      <c r="AB5" s="656"/>
      <c r="AC5" s="658"/>
      <c r="AD5" s="622"/>
      <c r="AE5" s="622"/>
      <c r="AF5" s="636"/>
      <c r="AG5" s="636"/>
      <c r="AH5" s="636"/>
      <c r="AI5" s="636"/>
      <c r="AJ5" s="622"/>
      <c r="AK5" s="622"/>
      <c r="AL5" s="622"/>
      <c r="AM5" s="622"/>
      <c r="AN5" s="622"/>
      <c r="AO5" s="622"/>
      <c r="AP5" s="622"/>
      <c r="AQ5" s="622"/>
      <c r="AR5" s="622"/>
      <c r="AS5" s="622"/>
    </row>
    <row r="6" spans="1:49" ht="15.75" customHeight="1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customHeight="1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6" t="s">
        <v>23</v>
      </c>
      <c r="AD7" s="398" t="s">
        <v>28</v>
      </c>
      <c r="AE7" s="398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43525</v>
      </c>
      <c r="B8" s="49"/>
      <c r="C8" s="50">
        <v>76.939447949330003</v>
      </c>
      <c r="D8" s="50">
        <v>937.28395387331761</v>
      </c>
      <c r="E8" s="50">
        <v>17.685419721901404</v>
      </c>
      <c r="F8" s="50">
        <v>0</v>
      </c>
      <c r="G8" s="50">
        <v>2894.2756084442094</v>
      </c>
      <c r="H8" s="51">
        <v>28.290091677506815</v>
      </c>
      <c r="I8" s="49">
        <v>107.32592715024953</v>
      </c>
      <c r="J8" s="50">
        <v>346.27951221466111</v>
      </c>
      <c r="K8" s="50">
        <v>18.795373583833381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208.82848635048902</v>
      </c>
      <c r="V8" s="54">
        <v>151.48752960299919</v>
      </c>
      <c r="W8" s="54">
        <v>31.321015993965428</v>
      </c>
      <c r="X8" s="54">
        <v>22.72076679049653</v>
      </c>
      <c r="Y8" s="54">
        <v>61.982412806015219</v>
      </c>
      <c r="Z8" s="54">
        <v>44.963035258788864</v>
      </c>
      <c r="AA8" s="55">
        <v>0</v>
      </c>
      <c r="AB8" s="56">
        <v>82.725412336984263</v>
      </c>
      <c r="AC8" s="57">
        <v>0</v>
      </c>
      <c r="AD8" s="408">
        <v>8.5314556472802181</v>
      </c>
      <c r="AE8" s="408">
        <v>6.4447390322743612</v>
      </c>
      <c r="AF8" s="57">
        <v>13.793945355216691</v>
      </c>
      <c r="AG8" s="58">
        <v>7.8081017079515371</v>
      </c>
      <c r="AH8" s="58">
        <v>5.6641220711686087</v>
      </c>
      <c r="AI8" s="58">
        <v>0.57957036907692128</v>
      </c>
      <c r="AJ8" s="57">
        <v>300.7075817743937</v>
      </c>
      <c r="AK8" s="57">
        <v>1304.0439388910929</v>
      </c>
      <c r="AL8" s="57">
        <v>2944.0596000671385</v>
      </c>
      <c r="AM8" s="57">
        <v>371.32603569030761</v>
      </c>
      <c r="AN8" s="57">
        <v>1234.8166173299155</v>
      </c>
      <c r="AO8" s="57">
        <v>2558.2558305104576</v>
      </c>
      <c r="AP8" s="57">
        <v>674.09413747787482</v>
      </c>
      <c r="AQ8" s="57">
        <v>1997.3774281819665</v>
      </c>
      <c r="AR8" s="57">
        <v>495.47811827262251</v>
      </c>
      <c r="AS8" s="57">
        <v>618.78415492375677</v>
      </c>
    </row>
    <row r="9" spans="1:49" x14ac:dyDescent="0.25">
      <c r="A9" s="11">
        <v>43526</v>
      </c>
      <c r="B9" s="59"/>
      <c r="C9" s="60">
        <v>55.578042576710558</v>
      </c>
      <c r="D9" s="60">
        <v>924.53006604512541</v>
      </c>
      <c r="E9" s="60">
        <v>17.587752236922558</v>
      </c>
      <c r="F9" s="60">
        <v>0</v>
      </c>
      <c r="G9" s="60">
        <v>3215.7389094034861</v>
      </c>
      <c r="H9" s="61">
        <v>27.533864402770988</v>
      </c>
      <c r="I9" s="59">
        <v>107.50108947753883</v>
      </c>
      <c r="J9" s="60">
        <v>346.26333257357351</v>
      </c>
      <c r="K9" s="60">
        <v>19.004316608111072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210.0083745091485</v>
      </c>
      <c r="V9" s="62">
        <v>157.49754596458604</v>
      </c>
      <c r="W9" s="62">
        <v>31.909032229894393</v>
      </c>
      <c r="X9" s="62">
        <v>23.930446974124457</v>
      </c>
      <c r="Y9" s="66">
        <v>67.255207920701224</v>
      </c>
      <c r="Z9" s="66">
        <v>50.438608582187726</v>
      </c>
      <c r="AA9" s="67">
        <v>0</v>
      </c>
      <c r="AB9" s="68">
        <v>81.685199986565266</v>
      </c>
      <c r="AC9" s="69">
        <v>0</v>
      </c>
      <c r="AD9" s="409">
        <v>8.520044865552876</v>
      </c>
      <c r="AE9" s="409">
        <v>6.2582448081574134</v>
      </c>
      <c r="AF9" s="69">
        <v>14.026717191934612</v>
      </c>
      <c r="AG9" s="68">
        <v>7.9239758864885905</v>
      </c>
      <c r="AH9" s="68">
        <v>5.9426523314675812</v>
      </c>
      <c r="AI9" s="68">
        <v>0.57144215319969982</v>
      </c>
      <c r="AJ9" s="69">
        <v>325.01376821200051</v>
      </c>
      <c r="AK9" s="69">
        <v>1331.7761420567831</v>
      </c>
      <c r="AL9" s="69">
        <v>3044.5687774658209</v>
      </c>
      <c r="AM9" s="69">
        <v>177.75645446777344</v>
      </c>
      <c r="AN9" s="69">
        <v>1258.8463439941406</v>
      </c>
      <c r="AO9" s="69">
        <v>2642.6959662119548</v>
      </c>
      <c r="AP9" s="69">
        <v>708.36577857335419</v>
      </c>
      <c r="AQ9" s="69">
        <v>1932.6729478200273</v>
      </c>
      <c r="AR9" s="69">
        <v>544.67878440221148</v>
      </c>
      <c r="AS9" s="69">
        <v>636.81094239552795</v>
      </c>
    </row>
    <row r="10" spans="1:49" x14ac:dyDescent="0.25">
      <c r="A10" s="11">
        <v>43527</v>
      </c>
      <c r="B10" s="59"/>
      <c r="C10" s="60">
        <v>53.483863413334028</v>
      </c>
      <c r="D10" s="60">
        <v>889.73920249939158</v>
      </c>
      <c r="E10" s="60">
        <v>17.026890739798493</v>
      </c>
      <c r="F10" s="60">
        <v>0</v>
      </c>
      <c r="G10" s="60">
        <v>3104.0158050537125</v>
      </c>
      <c r="H10" s="61">
        <v>26.461377354462922</v>
      </c>
      <c r="I10" s="59">
        <v>107.27464820543904</v>
      </c>
      <c r="J10" s="60">
        <v>345.51719398498614</v>
      </c>
      <c r="K10" s="60">
        <v>18.796158072849131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209.70200618605284</v>
      </c>
      <c r="V10" s="62">
        <v>148.76221533383674</v>
      </c>
      <c r="W10" s="62">
        <v>32.482137674300446</v>
      </c>
      <c r="X10" s="62">
        <v>23.042768388779461</v>
      </c>
      <c r="Y10" s="66">
        <v>75.289231715510354</v>
      </c>
      <c r="Z10" s="66">
        <v>53.410041727711423</v>
      </c>
      <c r="AA10" s="67">
        <v>0</v>
      </c>
      <c r="AB10" s="68">
        <v>79.723889758852266</v>
      </c>
      <c r="AC10" s="69">
        <v>0</v>
      </c>
      <c r="AD10" s="409">
        <v>8.5020087790571637</v>
      </c>
      <c r="AE10" s="409">
        <v>6.0425179297316616</v>
      </c>
      <c r="AF10" s="69">
        <v>13.691220153702627</v>
      </c>
      <c r="AG10" s="68">
        <v>7.9346200848239459</v>
      </c>
      <c r="AH10" s="68">
        <v>5.6288048126898236</v>
      </c>
      <c r="AI10" s="68">
        <v>0.58500121796511684</v>
      </c>
      <c r="AJ10" s="69">
        <v>336.74375392595937</v>
      </c>
      <c r="AK10" s="69">
        <v>1352.1218615849814</v>
      </c>
      <c r="AL10" s="69">
        <v>3156.8489115397138</v>
      </c>
      <c r="AM10" s="69">
        <v>177.75645446777344</v>
      </c>
      <c r="AN10" s="69">
        <v>1258.8463439941406</v>
      </c>
      <c r="AO10" s="69">
        <v>2709.8843472798667</v>
      </c>
      <c r="AP10" s="69">
        <v>787.3733997662863</v>
      </c>
      <c r="AQ10" s="69">
        <v>1926.8182080586751</v>
      </c>
      <c r="AR10" s="69">
        <v>576.42631498972571</v>
      </c>
      <c r="AS10" s="69">
        <v>636.67460775375366</v>
      </c>
    </row>
    <row r="11" spans="1:49" x14ac:dyDescent="0.25">
      <c r="A11" s="11">
        <v>43528</v>
      </c>
      <c r="B11" s="59"/>
      <c r="C11" s="60">
        <v>61.95478380521152</v>
      </c>
      <c r="D11" s="60">
        <v>915.23322550455521</v>
      </c>
      <c r="E11" s="60">
        <v>17.257553708553317</v>
      </c>
      <c r="F11" s="60">
        <v>0</v>
      </c>
      <c r="G11" s="60">
        <v>3102.3124067942249</v>
      </c>
      <c r="H11" s="61">
        <v>27.201231833299016</v>
      </c>
      <c r="I11" s="59">
        <v>117.97605463663746</v>
      </c>
      <c r="J11" s="60">
        <v>379.85756459236131</v>
      </c>
      <c r="K11" s="60">
        <v>20.703292365372189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233.88250827740293</v>
      </c>
      <c r="V11" s="62">
        <v>157.2043032545142</v>
      </c>
      <c r="W11" s="62">
        <v>35.083396659078574</v>
      </c>
      <c r="X11" s="62">
        <v>23.581331362543228</v>
      </c>
      <c r="Y11" s="66">
        <v>93.144471972161398</v>
      </c>
      <c r="Z11" s="66">
        <v>62.607126656200627</v>
      </c>
      <c r="AA11" s="67">
        <v>0</v>
      </c>
      <c r="AB11" s="68">
        <v>83.872768428591783</v>
      </c>
      <c r="AC11" s="69">
        <v>0</v>
      </c>
      <c r="AD11" s="409">
        <v>9.3475406936892647</v>
      </c>
      <c r="AE11" s="409">
        <v>6.1912385923933355</v>
      </c>
      <c r="AF11" s="69">
        <v>14.921825862593112</v>
      </c>
      <c r="AG11" s="68">
        <v>8.8212779785188555</v>
      </c>
      <c r="AH11" s="68">
        <v>5.9292286055982464</v>
      </c>
      <c r="AI11" s="68">
        <v>0.5980322050781185</v>
      </c>
      <c r="AJ11" s="69">
        <v>332.3656303246816</v>
      </c>
      <c r="AK11" s="69">
        <v>1337.3006087621054</v>
      </c>
      <c r="AL11" s="69">
        <v>3211.7177975972495</v>
      </c>
      <c r="AM11" s="69">
        <v>177.75645446777344</v>
      </c>
      <c r="AN11" s="69">
        <v>1258.8463439941406</v>
      </c>
      <c r="AO11" s="69">
        <v>2623.5648548126219</v>
      </c>
      <c r="AP11" s="69">
        <v>779.5522835413617</v>
      </c>
      <c r="AQ11" s="69">
        <v>2039.0644788106283</v>
      </c>
      <c r="AR11" s="69">
        <v>571.76716531117768</v>
      </c>
      <c r="AS11" s="69">
        <v>645.00001099904375</v>
      </c>
    </row>
    <row r="12" spans="1:49" x14ac:dyDescent="0.25">
      <c r="A12" s="11">
        <v>43529</v>
      </c>
      <c r="B12" s="59"/>
      <c r="C12" s="60">
        <v>78.053061125675612</v>
      </c>
      <c r="D12" s="60">
        <v>1098.2799804687511</v>
      </c>
      <c r="E12" s="60">
        <v>20.043646952013209</v>
      </c>
      <c r="F12" s="60">
        <v>0</v>
      </c>
      <c r="G12" s="60">
        <v>3108.2831076304205</v>
      </c>
      <c r="H12" s="61">
        <v>32.602617504199337</v>
      </c>
      <c r="I12" s="59">
        <v>129.97976853847518</v>
      </c>
      <c r="J12" s="60">
        <v>418.81414063771621</v>
      </c>
      <c r="K12" s="60">
        <v>22.731647598743464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261.22601710176025</v>
      </c>
      <c r="V12" s="62">
        <v>145.8286579368947</v>
      </c>
      <c r="W12" s="62">
        <v>39.595807618555085</v>
      </c>
      <c r="X12" s="62">
        <v>22.104243478520079</v>
      </c>
      <c r="Y12" s="66">
        <v>116.13077058416188</v>
      </c>
      <c r="Z12" s="66">
        <v>64.829662096285958</v>
      </c>
      <c r="AA12" s="67">
        <v>0</v>
      </c>
      <c r="AB12" s="68">
        <v>93.992649163140811</v>
      </c>
      <c r="AC12" s="69">
        <v>0</v>
      </c>
      <c r="AD12" s="409">
        <v>10.30654101423767</v>
      </c>
      <c r="AE12" s="409">
        <v>7.4290150718177488</v>
      </c>
      <c r="AF12" s="69">
        <v>15.486558934715049</v>
      </c>
      <c r="AG12" s="68">
        <v>9.8849403206935502</v>
      </c>
      <c r="AH12" s="68">
        <v>5.5182389439850486</v>
      </c>
      <c r="AI12" s="68">
        <v>0.64174675570782613</v>
      </c>
      <c r="AJ12" s="69">
        <v>318.50050166447966</v>
      </c>
      <c r="AK12" s="69">
        <v>1328.4508432388307</v>
      </c>
      <c r="AL12" s="69">
        <v>3243.3530039469401</v>
      </c>
      <c r="AM12" s="69">
        <v>177.75645446777344</v>
      </c>
      <c r="AN12" s="69">
        <v>1258.8463439941406</v>
      </c>
      <c r="AO12" s="69">
        <v>2599.7155873616539</v>
      </c>
      <c r="AP12" s="69">
        <v>751.79982827504477</v>
      </c>
      <c r="AQ12" s="69">
        <v>2107.141355959574</v>
      </c>
      <c r="AR12" s="69">
        <v>548.20829337437954</v>
      </c>
      <c r="AS12" s="69">
        <v>618.34709959030158</v>
      </c>
    </row>
    <row r="13" spans="1:49" x14ac:dyDescent="0.25">
      <c r="A13" s="11">
        <v>43530</v>
      </c>
      <c r="B13" s="59"/>
      <c r="C13" s="60">
        <v>52.800688799222065</v>
      </c>
      <c r="D13" s="60">
        <v>890.03974850972349</v>
      </c>
      <c r="E13" s="60">
        <v>16.398967755337583</v>
      </c>
      <c r="F13" s="60">
        <v>0</v>
      </c>
      <c r="G13" s="60">
        <v>2820.3965370178266</v>
      </c>
      <c r="H13" s="61">
        <v>26.494427532950972</v>
      </c>
      <c r="I13" s="59">
        <v>134.04190464814531</v>
      </c>
      <c r="J13" s="60">
        <v>423.89388969739247</v>
      </c>
      <c r="K13" s="60">
        <v>23.058836973210212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254.9832148449029</v>
      </c>
      <c r="V13" s="62">
        <v>132.4549269991023</v>
      </c>
      <c r="W13" s="62">
        <v>38.898408182527398</v>
      </c>
      <c r="X13" s="62">
        <v>20.206372483506023</v>
      </c>
      <c r="Y13" s="66">
        <v>121.84905188540652</v>
      </c>
      <c r="Z13" s="66">
        <v>63.296351809700219</v>
      </c>
      <c r="AA13" s="67">
        <v>0</v>
      </c>
      <c r="AB13" s="68">
        <v>79.472134674919715</v>
      </c>
      <c r="AC13" s="69">
        <v>0</v>
      </c>
      <c r="AD13" s="409">
        <v>10.425585290374038</v>
      </c>
      <c r="AE13" s="409">
        <v>6.0201222072804477</v>
      </c>
      <c r="AF13" s="69">
        <v>14.882476592063927</v>
      </c>
      <c r="AG13" s="68">
        <v>9.6337851670790862</v>
      </c>
      <c r="AH13" s="68">
        <v>5.0044169056644208</v>
      </c>
      <c r="AI13" s="68">
        <v>0.65812625889468357</v>
      </c>
      <c r="AJ13" s="69">
        <v>305.87528066635127</v>
      </c>
      <c r="AK13" s="69">
        <v>1340.0237957000732</v>
      </c>
      <c r="AL13" s="69">
        <v>2839.1289719899496</v>
      </c>
      <c r="AM13" s="69">
        <v>177.75645446777344</v>
      </c>
      <c r="AN13" s="69">
        <v>1258.8463439941406</v>
      </c>
      <c r="AO13" s="69">
        <v>2540.4146335601804</v>
      </c>
      <c r="AP13" s="69">
        <v>711.66146758397429</v>
      </c>
      <c r="AQ13" s="69">
        <v>2088.7655712127685</v>
      </c>
      <c r="AR13" s="69">
        <v>496.79730428059889</v>
      </c>
      <c r="AS13" s="69">
        <v>592.74843041102099</v>
      </c>
    </row>
    <row r="14" spans="1:49" x14ac:dyDescent="0.25">
      <c r="A14" s="11">
        <v>43531</v>
      </c>
      <c r="B14" s="59"/>
      <c r="C14" s="60">
        <v>47.991871728499568</v>
      </c>
      <c r="D14" s="60">
        <v>813.72669092813908</v>
      </c>
      <c r="E14" s="60">
        <v>14.404337669412289</v>
      </c>
      <c r="F14" s="60">
        <v>0</v>
      </c>
      <c r="G14" s="60">
        <v>2568.2501609802262</v>
      </c>
      <c r="H14" s="61">
        <v>14.779067505399381</v>
      </c>
      <c r="I14" s="59">
        <v>152.96158548196132</v>
      </c>
      <c r="J14" s="60">
        <v>472.92803339958181</v>
      </c>
      <c r="K14" s="60">
        <v>25.783730702598888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333.18088565251327</v>
      </c>
      <c r="V14" s="62">
        <v>65.323917305656536</v>
      </c>
      <c r="W14" s="62">
        <v>48.907195960829924</v>
      </c>
      <c r="X14" s="62">
        <v>9.588814251273643</v>
      </c>
      <c r="Y14" s="66">
        <v>159.66142346191967</v>
      </c>
      <c r="Z14" s="66">
        <v>31.30344528229444</v>
      </c>
      <c r="AA14" s="67">
        <v>0</v>
      </c>
      <c r="AB14" s="68">
        <v>87.004677248000817</v>
      </c>
      <c r="AC14" s="69">
        <v>0</v>
      </c>
      <c r="AD14" s="409">
        <v>12.922362861810495</v>
      </c>
      <c r="AE14" s="409">
        <v>5.5042192191985766</v>
      </c>
      <c r="AF14" s="69">
        <v>15.017676588230648</v>
      </c>
      <c r="AG14" s="68">
        <v>12.324222920773861</v>
      </c>
      <c r="AH14" s="68">
        <v>2.4163046369134822</v>
      </c>
      <c r="AI14" s="68">
        <v>0.83607746551422757</v>
      </c>
      <c r="AJ14" s="69">
        <v>294.20421473185229</v>
      </c>
      <c r="AK14" s="69">
        <v>1355.5736179987593</v>
      </c>
      <c r="AL14" s="69">
        <v>2831.755574544271</v>
      </c>
      <c r="AM14" s="69">
        <v>177.75645446777344</v>
      </c>
      <c r="AN14" s="69">
        <v>1258.8463439941406</v>
      </c>
      <c r="AO14" s="69">
        <v>2261.4388356526697</v>
      </c>
      <c r="AP14" s="69">
        <v>635.68300253550206</v>
      </c>
      <c r="AQ14" s="69">
        <v>2059.3593501408895</v>
      </c>
      <c r="AR14" s="69">
        <v>438.08104414939891</v>
      </c>
      <c r="AS14" s="69">
        <v>636.88196067810054</v>
      </c>
    </row>
    <row r="15" spans="1:49" x14ac:dyDescent="0.25">
      <c r="A15" s="11">
        <v>43532</v>
      </c>
      <c r="B15" s="59"/>
      <c r="C15" s="60">
        <v>44.344650042057488</v>
      </c>
      <c r="D15" s="60">
        <v>745.18173424402789</v>
      </c>
      <c r="E15" s="60">
        <v>13.321910471717528</v>
      </c>
      <c r="F15" s="60">
        <v>0</v>
      </c>
      <c r="G15" s="60">
        <v>3376.4076998392743</v>
      </c>
      <c r="H15" s="61">
        <v>19.08834104637306</v>
      </c>
      <c r="I15" s="59">
        <v>140.75638477007556</v>
      </c>
      <c r="J15" s="60">
        <v>431.79891449610403</v>
      </c>
      <c r="K15" s="60">
        <v>23.494507444401549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318.11765815023443</v>
      </c>
      <c r="V15" s="62">
        <v>86.793739381060561</v>
      </c>
      <c r="W15" s="62">
        <v>47.484066541422145</v>
      </c>
      <c r="X15" s="62">
        <v>12.955331433386807</v>
      </c>
      <c r="Y15" s="66">
        <v>158.59602394878078</v>
      </c>
      <c r="Z15" s="66">
        <v>43.270600096591259</v>
      </c>
      <c r="AA15" s="67">
        <v>0</v>
      </c>
      <c r="AB15" s="68">
        <v>81.190236091613514</v>
      </c>
      <c r="AC15" s="69">
        <v>0</v>
      </c>
      <c r="AD15" s="409">
        <v>12.219151923930665</v>
      </c>
      <c r="AE15" s="409">
        <v>5.0406112057318992</v>
      </c>
      <c r="AF15" s="69">
        <v>15.107987364464313</v>
      </c>
      <c r="AG15" s="68">
        <v>11.718825158307382</v>
      </c>
      <c r="AH15" s="68">
        <v>3.197309644980475</v>
      </c>
      <c r="AI15" s="68">
        <v>0.78564757645689043</v>
      </c>
      <c r="AJ15" s="69">
        <v>285.06295175552373</v>
      </c>
      <c r="AK15" s="69">
        <v>1408.909174919128</v>
      </c>
      <c r="AL15" s="69">
        <v>2832.8943775177004</v>
      </c>
      <c r="AM15" s="69">
        <v>177.75645446777344</v>
      </c>
      <c r="AN15" s="69">
        <v>1258.8463439941406</v>
      </c>
      <c r="AO15" s="69">
        <v>2348.311148452759</v>
      </c>
      <c r="AP15" s="69">
        <v>635.0849435806274</v>
      </c>
      <c r="AQ15" s="69">
        <v>2039.4486627578735</v>
      </c>
      <c r="AR15" s="69">
        <v>429.89343039194739</v>
      </c>
      <c r="AS15" s="69">
        <v>644.14071127573652</v>
      </c>
    </row>
    <row r="16" spans="1:49" x14ac:dyDescent="0.25">
      <c r="A16" s="11">
        <v>43533</v>
      </c>
      <c r="B16" s="59"/>
      <c r="C16" s="60">
        <v>43.593805382649258</v>
      </c>
      <c r="D16" s="60">
        <v>745.37994127273532</v>
      </c>
      <c r="E16" s="60">
        <v>13.33546191453935</v>
      </c>
      <c r="F16" s="60">
        <v>0</v>
      </c>
      <c r="G16" s="60">
        <v>2709.5338457743337</v>
      </c>
      <c r="H16" s="61">
        <v>22.102034737666468</v>
      </c>
      <c r="I16" s="59">
        <v>131.06959261894218</v>
      </c>
      <c r="J16" s="60">
        <v>366.86162296930911</v>
      </c>
      <c r="K16" s="60">
        <v>19.852961788574845</v>
      </c>
      <c r="L16" s="5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268.23696978397982</v>
      </c>
      <c r="V16" s="62">
        <v>134.12625986164116</v>
      </c>
      <c r="W16" s="62">
        <v>40.371151432872679</v>
      </c>
      <c r="X16" s="62">
        <v>20.186745892484144</v>
      </c>
      <c r="Y16" s="66">
        <v>128.16417333736877</v>
      </c>
      <c r="Z16" s="66">
        <v>64.085801565101832</v>
      </c>
      <c r="AA16" s="67">
        <v>0</v>
      </c>
      <c r="AB16" s="68">
        <v>73.802493397393391</v>
      </c>
      <c r="AC16" s="69">
        <v>0</v>
      </c>
      <c r="AD16" s="409">
        <v>10.380122226288353</v>
      </c>
      <c r="AE16" s="409">
        <v>5.0418392439585116</v>
      </c>
      <c r="AF16" s="69">
        <v>15.120216637849811</v>
      </c>
      <c r="AG16" s="68">
        <v>9.9200102353587205</v>
      </c>
      <c r="AH16" s="68">
        <v>4.9602926536539211</v>
      </c>
      <c r="AI16" s="68">
        <v>0.66665378449275281</v>
      </c>
      <c r="AJ16" s="69">
        <v>293.34727077484126</v>
      </c>
      <c r="AK16" s="69">
        <v>1422.5515647888185</v>
      </c>
      <c r="AL16" s="69">
        <v>3074.0586263020832</v>
      </c>
      <c r="AM16" s="69">
        <v>177.75645446777344</v>
      </c>
      <c r="AN16" s="69">
        <v>1258.8463439941406</v>
      </c>
      <c r="AO16" s="69">
        <v>2567.2601852416992</v>
      </c>
      <c r="AP16" s="69">
        <v>626.26025517781579</v>
      </c>
      <c r="AQ16" s="69">
        <v>2051.1747762044274</v>
      </c>
      <c r="AR16" s="69">
        <v>441.88559503555302</v>
      </c>
      <c r="AS16" s="69">
        <v>561.54378420511875</v>
      </c>
    </row>
    <row r="17" spans="1:45" x14ac:dyDescent="0.25">
      <c r="A17" s="11">
        <v>43534</v>
      </c>
      <c r="B17" s="49"/>
      <c r="C17" s="50">
        <v>43.770950784286271</v>
      </c>
      <c r="D17" s="50">
        <v>749.13199853896731</v>
      </c>
      <c r="E17" s="50">
        <v>13.31802051663402</v>
      </c>
      <c r="F17" s="50">
        <v>0</v>
      </c>
      <c r="G17" s="50">
        <v>2719.9843219756976</v>
      </c>
      <c r="H17" s="51">
        <v>22.151937285065632</v>
      </c>
      <c r="I17" s="49">
        <v>131.13615351517973</v>
      </c>
      <c r="J17" s="50">
        <v>367.00412128766288</v>
      </c>
      <c r="K17" s="50">
        <v>20.092154249548855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258.16145886537288</v>
      </c>
      <c r="V17" s="66">
        <v>129.05598943276684</v>
      </c>
      <c r="W17" s="62">
        <v>38.696010521867144</v>
      </c>
      <c r="X17" s="62">
        <v>19.3442969641901</v>
      </c>
      <c r="Y17" s="66">
        <v>123.79760944191844</v>
      </c>
      <c r="Z17" s="66">
        <v>61.886941010314331</v>
      </c>
      <c r="AA17" s="67">
        <v>0</v>
      </c>
      <c r="AB17" s="68">
        <v>73.703890572652767</v>
      </c>
      <c r="AC17" s="69">
        <v>0</v>
      </c>
      <c r="AD17" s="409">
        <v>10.386940151670888</v>
      </c>
      <c r="AE17" s="409">
        <v>5.0507443301735542</v>
      </c>
      <c r="AF17" s="69">
        <v>14.946930135620942</v>
      </c>
      <c r="AG17" s="68">
        <v>9.7973803722174626</v>
      </c>
      <c r="AH17" s="68">
        <v>4.8977512884487702</v>
      </c>
      <c r="AI17" s="68">
        <v>0.66670926116583562</v>
      </c>
      <c r="AJ17" s="69">
        <v>295.1541770299275</v>
      </c>
      <c r="AK17" s="69">
        <v>1435.1651390075685</v>
      </c>
      <c r="AL17" s="69">
        <v>2838.4818392435709</v>
      </c>
      <c r="AM17" s="69">
        <v>177.75645446777344</v>
      </c>
      <c r="AN17" s="69">
        <v>1258.8463439941406</v>
      </c>
      <c r="AO17" s="69">
        <v>2586.333677419027</v>
      </c>
      <c r="AP17" s="69">
        <v>641.70468848546352</v>
      </c>
      <c r="AQ17" s="69">
        <v>2058.7659497578934</v>
      </c>
      <c r="AR17" s="69">
        <v>432.35867266654964</v>
      </c>
      <c r="AS17" s="69">
        <v>577.04080038070674</v>
      </c>
    </row>
    <row r="18" spans="1:45" x14ac:dyDescent="0.25">
      <c r="A18" s="11">
        <v>43535</v>
      </c>
      <c r="B18" s="59"/>
      <c r="C18" s="60">
        <v>44.017998377482265</v>
      </c>
      <c r="D18" s="60">
        <v>749.54908380508471</v>
      </c>
      <c r="E18" s="60">
        <v>13.205028800169634</v>
      </c>
      <c r="F18" s="60">
        <v>0</v>
      </c>
      <c r="G18" s="60">
        <v>2942.7884145100943</v>
      </c>
      <c r="H18" s="61">
        <v>22.093722869952522</v>
      </c>
      <c r="I18" s="59">
        <v>131.00610903104155</v>
      </c>
      <c r="J18" s="60">
        <v>366.99954042434598</v>
      </c>
      <c r="K18" s="60">
        <v>19.855380187431955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260.57109002953445</v>
      </c>
      <c r="V18" s="62">
        <v>125.78903724996027</v>
      </c>
      <c r="W18" s="62">
        <v>39.551807914672494</v>
      </c>
      <c r="X18" s="62">
        <v>19.093383838238157</v>
      </c>
      <c r="Y18" s="66">
        <v>125.07277112749205</v>
      </c>
      <c r="Z18" s="66">
        <v>60.378085168729278</v>
      </c>
      <c r="AA18" s="67">
        <v>0</v>
      </c>
      <c r="AB18" s="68">
        <v>73.70432933171476</v>
      </c>
      <c r="AC18" s="69">
        <v>0</v>
      </c>
      <c r="AD18" s="409">
        <v>10.383796674481211</v>
      </c>
      <c r="AE18" s="409">
        <v>5.0478847179566966</v>
      </c>
      <c r="AF18" s="69">
        <v>14.909011404381861</v>
      </c>
      <c r="AG18" s="68">
        <v>9.8787689184798833</v>
      </c>
      <c r="AH18" s="68">
        <v>4.7689128956307814</v>
      </c>
      <c r="AI18" s="68">
        <v>0.67442541719900639</v>
      </c>
      <c r="AJ18" s="69">
        <v>292.51207261085506</v>
      </c>
      <c r="AK18" s="69">
        <v>1467.4625811258954</v>
      </c>
      <c r="AL18" s="69">
        <v>3324.846174748739</v>
      </c>
      <c r="AM18" s="69">
        <v>177.75645446777344</v>
      </c>
      <c r="AN18" s="69">
        <v>1258.8463439941406</v>
      </c>
      <c r="AO18" s="69">
        <v>2602.8550921122232</v>
      </c>
      <c r="AP18" s="69">
        <v>663.81525131861383</v>
      </c>
      <c r="AQ18" s="69">
        <v>2030.2184010823566</v>
      </c>
      <c r="AR18" s="69">
        <v>427.37107969919845</v>
      </c>
      <c r="AS18" s="69">
        <v>599.8001626014709</v>
      </c>
    </row>
    <row r="19" spans="1:45" x14ac:dyDescent="0.25">
      <c r="A19" s="11">
        <v>43536</v>
      </c>
      <c r="B19" s="59"/>
      <c r="C19" s="60">
        <v>47.688705847660337</v>
      </c>
      <c r="D19" s="60">
        <v>818.28881409963117</v>
      </c>
      <c r="E19" s="60">
        <v>14.70933864812053</v>
      </c>
      <c r="F19" s="60">
        <v>0</v>
      </c>
      <c r="G19" s="60">
        <v>3099.4615547180242</v>
      </c>
      <c r="H19" s="61">
        <v>24.162306610743261</v>
      </c>
      <c r="I19" s="59">
        <v>124.28546593983957</v>
      </c>
      <c r="J19" s="60">
        <v>333.76911093393994</v>
      </c>
      <c r="K19" s="60">
        <v>18.140878622730561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239.38847515226101</v>
      </c>
      <c r="V19" s="62">
        <v>144.60431284466793</v>
      </c>
      <c r="W19" s="62">
        <v>35.665662233115505</v>
      </c>
      <c r="X19" s="62">
        <v>21.544097208895987</v>
      </c>
      <c r="Y19" s="66">
        <v>113.05488308340584</v>
      </c>
      <c r="Z19" s="66">
        <v>68.29160706927108</v>
      </c>
      <c r="AA19" s="67">
        <v>0</v>
      </c>
      <c r="AB19" s="68">
        <v>71.964698786205673</v>
      </c>
      <c r="AC19" s="69">
        <v>0</v>
      </c>
      <c r="AD19" s="409">
        <v>9.4440639512656972</v>
      </c>
      <c r="AE19" s="409">
        <v>5.476683866819104</v>
      </c>
      <c r="AF19" s="69">
        <v>14.760946965217579</v>
      </c>
      <c r="AG19" s="68">
        <v>9.0667452855882722</v>
      </c>
      <c r="AH19" s="68">
        <v>5.4768320443422205</v>
      </c>
      <c r="AI19" s="68">
        <v>0.62341919597243989</v>
      </c>
      <c r="AJ19" s="69">
        <v>277.46732114156083</v>
      </c>
      <c r="AK19" s="69">
        <v>1484.3904293696089</v>
      </c>
      <c r="AL19" s="69">
        <v>2881.8491348266602</v>
      </c>
      <c r="AM19" s="69">
        <v>177.75645446777344</v>
      </c>
      <c r="AN19" s="69">
        <v>1258.8463439941406</v>
      </c>
      <c r="AO19" s="69">
        <v>2555.6086942036945</v>
      </c>
      <c r="AP19" s="69">
        <v>622.74252160390211</v>
      </c>
      <c r="AQ19" s="69">
        <v>1960.7948253631594</v>
      </c>
      <c r="AR19" s="69">
        <v>399.85778784751892</v>
      </c>
      <c r="AS19" s="69">
        <v>690.94053519566842</v>
      </c>
    </row>
    <row r="20" spans="1:45" x14ac:dyDescent="0.25">
      <c r="A20" s="11">
        <v>43537</v>
      </c>
      <c r="B20" s="59"/>
      <c r="C20" s="60">
        <v>51.214938569069531</v>
      </c>
      <c r="D20" s="60">
        <v>902.8528244654342</v>
      </c>
      <c r="E20" s="60">
        <v>16.419252984722444</v>
      </c>
      <c r="F20" s="60">
        <v>0</v>
      </c>
      <c r="G20" s="60">
        <v>3706.0281255086211</v>
      </c>
      <c r="H20" s="61">
        <v>26.100245132048901</v>
      </c>
      <c r="I20" s="59">
        <v>126.34495841662059</v>
      </c>
      <c r="J20" s="60">
        <v>333.03795200983677</v>
      </c>
      <c r="K20" s="60">
        <v>18.066413541138143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230.98557782239342</v>
      </c>
      <c r="V20" s="62">
        <v>156.86365042196255</v>
      </c>
      <c r="W20" s="62">
        <v>35.153651512998472</v>
      </c>
      <c r="X20" s="62">
        <v>23.873049365144769</v>
      </c>
      <c r="Y20" s="66">
        <v>110.59391199678346</v>
      </c>
      <c r="Z20" s="66">
        <v>75.104969382979689</v>
      </c>
      <c r="AA20" s="67">
        <v>0</v>
      </c>
      <c r="AB20" s="68">
        <v>74.734438864390626</v>
      </c>
      <c r="AC20" s="69">
        <v>0</v>
      </c>
      <c r="AD20" s="409">
        <v>9.4185360575601216</v>
      </c>
      <c r="AE20" s="409">
        <v>5.9532263892083535</v>
      </c>
      <c r="AF20" s="69">
        <v>14.895841280288179</v>
      </c>
      <c r="AG20" s="68">
        <v>8.7347292692400114</v>
      </c>
      <c r="AH20" s="68">
        <v>5.9318054899257708</v>
      </c>
      <c r="AI20" s="68">
        <v>0.59555507914241868</v>
      </c>
      <c r="AJ20" s="69">
        <v>314.96803814570114</v>
      </c>
      <c r="AK20" s="69">
        <v>1487.3294357299806</v>
      </c>
      <c r="AL20" s="69">
        <v>2902.5615689595543</v>
      </c>
      <c r="AM20" s="69">
        <v>177.75645446777344</v>
      </c>
      <c r="AN20" s="69">
        <v>1258.8463439941406</v>
      </c>
      <c r="AO20" s="69">
        <v>2681.1007748921716</v>
      </c>
      <c r="AP20" s="69">
        <v>651.87306941350289</v>
      </c>
      <c r="AQ20" s="69">
        <v>2003.7338830947876</v>
      </c>
      <c r="AR20" s="69">
        <v>475.025676393509</v>
      </c>
      <c r="AS20" s="69">
        <v>608.47114674250292</v>
      </c>
    </row>
    <row r="21" spans="1:45" x14ac:dyDescent="0.25">
      <c r="A21" s="11">
        <v>43538</v>
      </c>
      <c r="B21" s="59"/>
      <c r="C21" s="60">
        <v>42.837650281190953</v>
      </c>
      <c r="D21" s="60">
        <v>672.33457419077672</v>
      </c>
      <c r="E21" s="60">
        <v>13.137889135380593</v>
      </c>
      <c r="F21" s="60">
        <v>0</v>
      </c>
      <c r="G21" s="60">
        <v>2598.7199241638232</v>
      </c>
      <c r="H21" s="61">
        <v>21.753724243243507</v>
      </c>
      <c r="I21" s="59">
        <v>113.95518292586019</v>
      </c>
      <c r="J21" s="60">
        <v>296.27322001457213</v>
      </c>
      <c r="K21" s="60">
        <v>16.086635107795409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203.46422295807241</v>
      </c>
      <c r="V21" s="62">
        <v>127.1252408162951</v>
      </c>
      <c r="W21" s="62">
        <v>30.17060282485189</v>
      </c>
      <c r="X21" s="62">
        <v>18.850710429186634</v>
      </c>
      <c r="Y21" s="66">
        <v>99.118102552982151</v>
      </c>
      <c r="Z21" s="66">
        <v>61.929377426215318</v>
      </c>
      <c r="AA21" s="67">
        <v>0</v>
      </c>
      <c r="AB21" s="68">
        <v>64.851937760246699</v>
      </c>
      <c r="AC21" s="69">
        <v>0</v>
      </c>
      <c r="AD21" s="409">
        <v>8.3825108167923013</v>
      </c>
      <c r="AE21" s="409">
        <v>4.9584099751206292</v>
      </c>
      <c r="AF21" s="69">
        <v>12.652202862501133</v>
      </c>
      <c r="AG21" s="68">
        <v>7.6817280728715875</v>
      </c>
      <c r="AH21" s="68">
        <v>4.7995736889346379</v>
      </c>
      <c r="AI21" s="68">
        <v>0.61545888557700656</v>
      </c>
      <c r="AJ21" s="69">
        <v>333.77586894035346</v>
      </c>
      <c r="AK21" s="69">
        <v>1524.1641082127887</v>
      </c>
      <c r="AL21" s="69">
        <v>2836.8955074310306</v>
      </c>
      <c r="AM21" s="69">
        <v>177.75645446777344</v>
      </c>
      <c r="AN21" s="69">
        <v>1258.8463439941406</v>
      </c>
      <c r="AO21" s="69">
        <v>2684.1707029978434</v>
      </c>
      <c r="AP21" s="69">
        <v>707.85675697326667</v>
      </c>
      <c r="AQ21" s="69">
        <v>1861.7228109995524</v>
      </c>
      <c r="AR21" s="69">
        <v>517.31446841557818</v>
      </c>
      <c r="AS21" s="69">
        <v>600.0515678087869</v>
      </c>
    </row>
    <row r="22" spans="1:45" x14ac:dyDescent="0.25">
      <c r="A22" s="11">
        <v>43539</v>
      </c>
      <c r="B22" s="59"/>
      <c r="C22" s="60">
        <v>42.575503339369703</v>
      </c>
      <c r="D22" s="60">
        <v>706.81574977238847</v>
      </c>
      <c r="E22" s="60">
        <v>13.12189210603634</v>
      </c>
      <c r="F22" s="60">
        <v>0</v>
      </c>
      <c r="G22" s="60">
        <v>2699.0397198995011</v>
      </c>
      <c r="H22" s="61">
        <v>21.692636832594879</v>
      </c>
      <c r="I22" s="59">
        <v>112.31064951419857</v>
      </c>
      <c r="J22" s="60">
        <v>291.89329876899683</v>
      </c>
      <c r="K22" s="60">
        <v>15.891426878670867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209.29296439606574</v>
      </c>
      <c r="V22" s="62">
        <v>130.86343872164545</v>
      </c>
      <c r="W22" s="62">
        <v>31.183925697086863</v>
      </c>
      <c r="X22" s="62">
        <v>19.498198428870751</v>
      </c>
      <c r="Y22" s="66">
        <v>100.55340398339608</v>
      </c>
      <c r="Z22" s="66">
        <v>62.872463288027127</v>
      </c>
      <c r="AA22" s="67">
        <v>0</v>
      </c>
      <c r="AB22" s="68">
        <v>65.065435303582504</v>
      </c>
      <c r="AC22" s="69">
        <v>0</v>
      </c>
      <c r="AD22" s="409">
        <v>8.2593702952777335</v>
      </c>
      <c r="AE22" s="409">
        <v>4.9576467534564452</v>
      </c>
      <c r="AF22" s="69">
        <v>12.992684021260997</v>
      </c>
      <c r="AG22" s="68">
        <v>7.9252427134728523</v>
      </c>
      <c r="AH22" s="68">
        <v>4.9553720889827355</v>
      </c>
      <c r="AI22" s="68">
        <v>0.61528450582669136</v>
      </c>
      <c r="AJ22" s="69">
        <v>312.68345324198413</v>
      </c>
      <c r="AK22" s="69">
        <v>1474.4745382944743</v>
      </c>
      <c r="AL22" s="69">
        <v>2794.1341800689697</v>
      </c>
      <c r="AM22" s="69">
        <v>177.75645446777344</v>
      </c>
      <c r="AN22" s="69">
        <v>1258.8463439941406</v>
      </c>
      <c r="AO22" s="69">
        <v>2589.1271807352705</v>
      </c>
      <c r="AP22" s="69">
        <v>714.10376297632854</v>
      </c>
      <c r="AQ22" s="69">
        <v>1857.1443685531619</v>
      </c>
      <c r="AR22" s="69">
        <v>473.93697482744858</v>
      </c>
      <c r="AS22" s="69">
        <v>567.35738045374546</v>
      </c>
    </row>
    <row r="23" spans="1:45" x14ac:dyDescent="0.25">
      <c r="A23" s="11">
        <v>43540</v>
      </c>
      <c r="B23" s="59"/>
      <c r="C23" s="60">
        <v>42.46236527959509</v>
      </c>
      <c r="D23" s="60">
        <v>713.47862730026122</v>
      </c>
      <c r="E23" s="60">
        <v>13.176654277741923</v>
      </c>
      <c r="F23" s="60">
        <v>0</v>
      </c>
      <c r="G23" s="60">
        <v>2917.1341398874915</v>
      </c>
      <c r="H23" s="61">
        <v>21.69741794466972</v>
      </c>
      <c r="I23" s="59">
        <v>112.14786019325237</v>
      </c>
      <c r="J23" s="60">
        <v>291.65200468699157</v>
      </c>
      <c r="K23" s="60">
        <v>15.974046366910166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210.95238491259653</v>
      </c>
      <c r="V23" s="62">
        <v>131.84670369264796</v>
      </c>
      <c r="W23" s="62">
        <v>33.672022431150097</v>
      </c>
      <c r="X23" s="62">
        <v>21.045247561678291</v>
      </c>
      <c r="Y23" s="66">
        <v>100.40025399625465</v>
      </c>
      <c r="Z23" s="66">
        <v>62.750855103133453</v>
      </c>
      <c r="AA23" s="67">
        <v>0</v>
      </c>
      <c r="AB23" s="68">
        <v>65.22613477177066</v>
      </c>
      <c r="AC23" s="69">
        <v>0</v>
      </c>
      <c r="AD23" s="409">
        <v>8.2527159196889563</v>
      </c>
      <c r="AE23" s="409">
        <v>4.9570693355000008</v>
      </c>
      <c r="AF23" s="69">
        <v>13.110065835052051</v>
      </c>
      <c r="AG23" s="68">
        <v>7.9998481302205242</v>
      </c>
      <c r="AH23" s="68">
        <v>4.999960566686096</v>
      </c>
      <c r="AI23" s="68">
        <v>0.61538198882296902</v>
      </c>
      <c r="AJ23" s="69">
        <v>302.69454142252607</v>
      </c>
      <c r="AK23" s="69">
        <v>1452.3075454711914</v>
      </c>
      <c r="AL23" s="69">
        <v>2826.4550931294762</v>
      </c>
      <c r="AM23" s="69">
        <v>177.75645446777344</v>
      </c>
      <c r="AN23" s="69">
        <v>1258.8463439941406</v>
      </c>
      <c r="AO23" s="69">
        <v>2631.00596707662</v>
      </c>
      <c r="AP23" s="69">
        <v>652.94201968510947</v>
      </c>
      <c r="AQ23" s="69">
        <v>1852.0053855895992</v>
      </c>
      <c r="AR23" s="69">
        <v>465.62757027943945</v>
      </c>
      <c r="AS23" s="69">
        <v>546.09910341898592</v>
      </c>
    </row>
    <row r="24" spans="1:45" x14ac:dyDescent="0.25">
      <c r="A24" s="11">
        <v>43541</v>
      </c>
      <c r="B24" s="59"/>
      <c r="C24" s="60">
        <v>42.308853964009941</v>
      </c>
      <c r="D24" s="60">
        <v>713.23367344538201</v>
      </c>
      <c r="E24" s="60">
        <v>13.165862038234888</v>
      </c>
      <c r="F24" s="60">
        <v>0</v>
      </c>
      <c r="G24" s="60">
        <v>2802.0170157114703</v>
      </c>
      <c r="H24" s="61">
        <v>21.713611930608739</v>
      </c>
      <c r="I24" s="59">
        <v>112.31522761980648</v>
      </c>
      <c r="J24" s="60">
        <v>291.7714744408924</v>
      </c>
      <c r="K24" s="60">
        <v>16.17630494137606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209.16721126921067</v>
      </c>
      <c r="V24" s="62">
        <v>130.71512736061504</v>
      </c>
      <c r="W24" s="62">
        <v>32.996662679171131</v>
      </c>
      <c r="X24" s="62">
        <v>20.620645742758459</v>
      </c>
      <c r="Y24" s="66">
        <v>99.114486343503273</v>
      </c>
      <c r="Z24" s="66">
        <v>61.939740110595693</v>
      </c>
      <c r="AA24" s="67">
        <v>0</v>
      </c>
      <c r="AB24" s="68">
        <v>65.423188665177548</v>
      </c>
      <c r="AC24" s="69">
        <v>0</v>
      </c>
      <c r="AD24" s="409">
        <v>8.2567006348942051</v>
      </c>
      <c r="AE24" s="409">
        <v>4.9563644624359702</v>
      </c>
      <c r="AF24" s="69">
        <v>13.004408867160464</v>
      </c>
      <c r="AG24" s="68">
        <v>7.9283887783528879</v>
      </c>
      <c r="AH24" s="68">
        <v>4.9546979310873507</v>
      </c>
      <c r="AI24" s="68">
        <v>0.61541065096948111</v>
      </c>
      <c r="AJ24" s="69">
        <v>292.95142701466875</v>
      </c>
      <c r="AK24" s="69">
        <v>1431.4182699203493</v>
      </c>
      <c r="AL24" s="69">
        <v>2842.2300544738769</v>
      </c>
      <c r="AM24" s="69">
        <v>177.75645446777344</v>
      </c>
      <c r="AN24" s="69">
        <v>1258.8463439941406</v>
      </c>
      <c r="AO24" s="69">
        <v>2644.1003870646159</v>
      </c>
      <c r="AP24" s="69">
        <v>633.85811414718626</v>
      </c>
      <c r="AQ24" s="69">
        <v>1834.7548166275028</v>
      </c>
      <c r="AR24" s="69">
        <v>457.71261013348897</v>
      </c>
      <c r="AS24" s="69">
        <v>533.22770255406692</v>
      </c>
    </row>
    <row r="25" spans="1:45" x14ac:dyDescent="0.25">
      <c r="A25" s="11">
        <v>43542</v>
      </c>
      <c r="B25" s="59"/>
      <c r="C25" s="60">
        <v>48.940045696497386</v>
      </c>
      <c r="D25" s="60">
        <v>820.14491790135605</v>
      </c>
      <c r="E25" s="60">
        <v>14.67020212809242</v>
      </c>
      <c r="F25" s="60">
        <v>0</v>
      </c>
      <c r="G25" s="60">
        <v>2861.6845406850239</v>
      </c>
      <c r="H25" s="61">
        <v>17.332471954822555</v>
      </c>
      <c r="I25" s="59">
        <v>112.32494984467793</v>
      </c>
      <c r="J25" s="60">
        <v>291.83478210767061</v>
      </c>
      <c r="K25" s="60">
        <v>16.084680184721961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206.15867757579915</v>
      </c>
      <c r="V25" s="62">
        <v>139.97046931802075</v>
      </c>
      <c r="W25" s="62">
        <v>32.158872028243231</v>
      </c>
      <c r="X25" s="62">
        <v>21.834115660139346</v>
      </c>
      <c r="Y25" s="66">
        <v>97.769070386601655</v>
      </c>
      <c r="Z25" s="66">
        <v>66.379852779991282</v>
      </c>
      <c r="AA25" s="67">
        <v>0</v>
      </c>
      <c r="AB25" s="68">
        <v>68.024733734130265</v>
      </c>
      <c r="AC25" s="69">
        <v>0</v>
      </c>
      <c r="AD25" s="409">
        <v>8.2582927703990912</v>
      </c>
      <c r="AE25" s="409">
        <v>5.5858928206190877</v>
      </c>
      <c r="AF25" s="69">
        <v>13.207459162341227</v>
      </c>
      <c r="AG25" s="68">
        <v>7.7899283801203492</v>
      </c>
      <c r="AH25" s="68">
        <v>5.2889354168384086</v>
      </c>
      <c r="AI25" s="68">
        <v>0.5956120119495204</v>
      </c>
      <c r="AJ25" s="69">
        <v>287.89002464612327</v>
      </c>
      <c r="AK25" s="69">
        <v>1351.1469223658241</v>
      </c>
      <c r="AL25" s="69">
        <v>2837.0876029968263</v>
      </c>
      <c r="AM25" s="69">
        <v>177.75645446777344</v>
      </c>
      <c r="AN25" s="69">
        <v>1258.8463439941406</v>
      </c>
      <c r="AO25" s="69">
        <v>2623.5070551554363</v>
      </c>
      <c r="AP25" s="69">
        <v>624.48149630228681</v>
      </c>
      <c r="AQ25" s="69">
        <v>1883.1776453653972</v>
      </c>
      <c r="AR25" s="69">
        <v>426.48448785146076</v>
      </c>
      <c r="AS25" s="69">
        <v>601.02751477559389</v>
      </c>
    </row>
    <row r="26" spans="1:45" x14ac:dyDescent="0.25">
      <c r="A26" s="11">
        <v>43543</v>
      </c>
      <c r="B26" s="59"/>
      <c r="C26" s="60">
        <v>80.125060500701537</v>
      </c>
      <c r="D26" s="60">
        <v>903.01627750396665</v>
      </c>
      <c r="E26" s="60">
        <v>15.393137100338938</v>
      </c>
      <c r="F26" s="60">
        <v>0</v>
      </c>
      <c r="G26" s="60">
        <v>3472.7870091756186</v>
      </c>
      <c r="H26" s="61">
        <v>26.205616978804315</v>
      </c>
      <c r="I26" s="59">
        <v>101.14334284464469</v>
      </c>
      <c r="J26" s="60">
        <v>291.91606884002692</v>
      </c>
      <c r="K26" s="60">
        <v>15.671518221497571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211.50007155304539</v>
      </c>
      <c r="V26" s="62">
        <v>158.5763410293504</v>
      </c>
      <c r="W26" s="62">
        <v>33.736504682658712</v>
      </c>
      <c r="X26" s="62">
        <v>25.294608329973084</v>
      </c>
      <c r="Y26" s="66">
        <v>97.019673352160495</v>
      </c>
      <c r="Z26" s="66">
        <v>72.742409470957242</v>
      </c>
      <c r="AA26" s="67">
        <v>0</v>
      </c>
      <c r="AB26" s="68">
        <v>69.681153265634165</v>
      </c>
      <c r="AC26" s="69">
        <v>0</v>
      </c>
      <c r="AD26" s="409">
        <v>8.2592436779412033</v>
      </c>
      <c r="AE26" s="409">
        <v>5.9534058500290614</v>
      </c>
      <c r="AF26" s="69">
        <v>14.128783090909319</v>
      </c>
      <c r="AG26" s="68">
        <v>8.0008453507719111</v>
      </c>
      <c r="AH26" s="68">
        <v>5.9987912606870744</v>
      </c>
      <c r="AI26" s="68">
        <v>0.57150378776425226</v>
      </c>
      <c r="AJ26" s="69">
        <v>290.03131243387861</v>
      </c>
      <c r="AK26" s="69">
        <v>1339.198889414469</v>
      </c>
      <c r="AL26" s="69">
        <v>2784.2704340616865</v>
      </c>
      <c r="AM26" s="69">
        <v>177.75645446777344</v>
      </c>
      <c r="AN26" s="69">
        <v>1258.8463439941406</v>
      </c>
      <c r="AO26" s="69">
        <v>2644.5689439137777</v>
      </c>
      <c r="AP26" s="69">
        <v>625.22223939895639</v>
      </c>
      <c r="AQ26" s="69">
        <v>1900.7538651784262</v>
      </c>
      <c r="AR26" s="69">
        <v>420.58916258811945</v>
      </c>
      <c r="AS26" s="69">
        <v>600.93496688206983</v>
      </c>
    </row>
    <row r="27" spans="1:45" x14ac:dyDescent="0.25">
      <c r="A27" s="11">
        <v>43544</v>
      </c>
      <c r="B27" s="59"/>
      <c r="C27" s="60">
        <v>60.737790109714098</v>
      </c>
      <c r="D27" s="60">
        <v>903.71083978017055</v>
      </c>
      <c r="E27" s="60">
        <v>15.788433242837606</v>
      </c>
      <c r="F27" s="60">
        <v>0</v>
      </c>
      <c r="G27" s="60">
        <v>3278.9862681070913</v>
      </c>
      <c r="H27" s="61">
        <v>26.111766864856069</v>
      </c>
      <c r="I27" s="59">
        <v>98.962454839547448</v>
      </c>
      <c r="J27" s="60">
        <v>292.07188235918642</v>
      </c>
      <c r="K27" s="60">
        <v>16.016619786620165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206.00652573429062</v>
      </c>
      <c r="V27" s="62">
        <v>154.51715741102322</v>
      </c>
      <c r="W27" s="62">
        <v>32.467869745059836</v>
      </c>
      <c r="X27" s="62">
        <v>24.35283504887018</v>
      </c>
      <c r="Y27" s="66">
        <v>95.304307372275929</v>
      </c>
      <c r="Z27" s="66">
        <v>71.48390378266194</v>
      </c>
      <c r="AA27" s="67">
        <v>0</v>
      </c>
      <c r="AB27" s="68">
        <v>70.498985380596523</v>
      </c>
      <c r="AC27" s="69">
        <v>0</v>
      </c>
      <c r="AD27" s="409">
        <v>8.2651385960405968</v>
      </c>
      <c r="AE27" s="409">
        <v>5.9551154512981279</v>
      </c>
      <c r="AF27" s="69">
        <v>14.002946178118401</v>
      </c>
      <c r="AG27" s="68">
        <v>7.933313838338468</v>
      </c>
      <c r="AH27" s="68">
        <v>5.9504576312824486</v>
      </c>
      <c r="AI27" s="68">
        <v>0.5714091344486153</v>
      </c>
      <c r="AJ27" s="69">
        <v>291.02391322453815</v>
      </c>
      <c r="AK27" s="69">
        <v>1339.4367015202843</v>
      </c>
      <c r="AL27" s="69">
        <v>2856.7103140513104</v>
      </c>
      <c r="AM27" s="69">
        <v>177.75645446777344</v>
      </c>
      <c r="AN27" s="69">
        <v>1258.8463439941406</v>
      </c>
      <c r="AO27" s="69">
        <v>2670.0841799418131</v>
      </c>
      <c r="AP27" s="69">
        <v>624.63393510182698</v>
      </c>
      <c r="AQ27" s="69">
        <v>1928.5549433390299</v>
      </c>
      <c r="AR27" s="69">
        <v>420.72441271146147</v>
      </c>
      <c r="AS27" s="69">
        <v>619.82710790634167</v>
      </c>
    </row>
    <row r="28" spans="1:45" x14ac:dyDescent="0.25">
      <c r="A28" s="11">
        <v>43545</v>
      </c>
      <c r="B28" s="59"/>
      <c r="C28" s="60">
        <v>66.184935802221318</v>
      </c>
      <c r="D28" s="60">
        <v>905.05515549977451</v>
      </c>
      <c r="E28" s="60">
        <v>15.738891823093073</v>
      </c>
      <c r="F28" s="60">
        <v>0</v>
      </c>
      <c r="G28" s="60">
        <v>3333.2477912902759</v>
      </c>
      <c r="H28" s="61">
        <v>26.280632813771557</v>
      </c>
      <c r="I28" s="59">
        <v>99.964143371582225</v>
      </c>
      <c r="J28" s="60">
        <v>294.90101161003133</v>
      </c>
      <c r="K28" s="60">
        <v>16.259500592947024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203.46935175523004</v>
      </c>
      <c r="V28" s="62">
        <v>152.5804124752853</v>
      </c>
      <c r="W28" s="62">
        <v>31.282866299277305</v>
      </c>
      <c r="X28" s="62">
        <v>23.458828576280862</v>
      </c>
      <c r="Y28" s="66">
        <v>92.231079263068764</v>
      </c>
      <c r="Z28" s="66">
        <v>69.163517726880642</v>
      </c>
      <c r="AA28" s="67">
        <v>0</v>
      </c>
      <c r="AB28" s="68">
        <v>71.577594031228585</v>
      </c>
      <c r="AC28" s="69">
        <v>0</v>
      </c>
      <c r="AD28" s="409">
        <v>8.3451063663272826</v>
      </c>
      <c r="AE28" s="409">
        <v>5.9640056530040999</v>
      </c>
      <c r="AF28" s="69">
        <v>13.789600955446573</v>
      </c>
      <c r="AG28" s="68">
        <v>7.8128100808042822</v>
      </c>
      <c r="AH28" s="68">
        <v>5.8587781129525451</v>
      </c>
      <c r="AI28" s="68">
        <v>0.57146323968213331</v>
      </c>
      <c r="AJ28" s="69">
        <v>280.73822477658592</v>
      </c>
      <c r="AK28" s="69">
        <v>1330.4720896402996</v>
      </c>
      <c r="AL28" s="69">
        <v>2833.2189398447672</v>
      </c>
      <c r="AM28" s="69">
        <v>177.75645446777344</v>
      </c>
      <c r="AN28" s="69">
        <v>1258.8463439941406</v>
      </c>
      <c r="AO28" s="69">
        <v>2636.3645313262932</v>
      </c>
      <c r="AP28" s="69">
        <v>609.42500775655105</v>
      </c>
      <c r="AQ28" s="69">
        <v>1902.972284698486</v>
      </c>
      <c r="AR28" s="69">
        <v>409.73235559463507</v>
      </c>
      <c r="AS28" s="69">
        <v>663.29725405375177</v>
      </c>
    </row>
    <row r="29" spans="1:45" x14ac:dyDescent="0.25">
      <c r="A29" s="11">
        <v>43546</v>
      </c>
      <c r="B29" s="59"/>
      <c r="C29" s="60">
        <v>52.5517822583518</v>
      </c>
      <c r="D29" s="60">
        <v>904.11325041452858</v>
      </c>
      <c r="E29" s="60">
        <v>15.734240321814999</v>
      </c>
      <c r="F29" s="60">
        <v>0</v>
      </c>
      <c r="G29" s="60">
        <v>3361.0453310648427</v>
      </c>
      <c r="H29" s="61">
        <v>26.173566806316405</v>
      </c>
      <c r="I29" s="59">
        <v>100.01670734882347</v>
      </c>
      <c r="J29" s="60">
        <v>295.11679045359296</v>
      </c>
      <c r="K29" s="60">
        <v>16.126934448877996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204.01501176173309</v>
      </c>
      <c r="V29" s="62">
        <v>152.92902554855016</v>
      </c>
      <c r="W29" s="62">
        <v>31.304966652797148</v>
      </c>
      <c r="X29" s="62">
        <v>23.466106752150779</v>
      </c>
      <c r="Y29" s="66">
        <v>92.3016354867313</v>
      </c>
      <c r="Z29" s="66">
        <v>69.18902216866644</v>
      </c>
      <c r="AA29" s="67">
        <v>0</v>
      </c>
      <c r="AB29" s="68">
        <v>71.27791361808768</v>
      </c>
      <c r="AC29" s="69">
        <v>0</v>
      </c>
      <c r="AD29" s="409">
        <v>8.3513945550116482</v>
      </c>
      <c r="AE29" s="409">
        <v>5.9578461351887029</v>
      </c>
      <c r="AF29" s="69">
        <v>13.823599945174328</v>
      </c>
      <c r="AG29" s="68">
        <v>7.8195595769515371</v>
      </c>
      <c r="AH29" s="68">
        <v>5.8615178167312401</v>
      </c>
      <c r="AI29" s="68">
        <v>0.57156021795200218</v>
      </c>
      <c r="AJ29" s="69">
        <v>283.3708856105805</v>
      </c>
      <c r="AK29" s="69">
        <v>1338.6224609374995</v>
      </c>
      <c r="AL29" s="69">
        <v>3063.2256031036377</v>
      </c>
      <c r="AM29" s="69">
        <v>177.75645446777344</v>
      </c>
      <c r="AN29" s="69">
        <v>1258.8463439941406</v>
      </c>
      <c r="AO29" s="69">
        <v>2653.2383416493731</v>
      </c>
      <c r="AP29" s="69">
        <v>618.63560934066777</v>
      </c>
      <c r="AQ29" s="69">
        <v>1899.0486509323118</v>
      </c>
      <c r="AR29" s="69">
        <v>408.46531880696614</v>
      </c>
      <c r="AS29" s="69">
        <v>567.71637299855547</v>
      </c>
    </row>
    <row r="30" spans="1:45" x14ac:dyDescent="0.25">
      <c r="A30" s="11">
        <v>43547</v>
      </c>
      <c r="B30" s="59"/>
      <c r="C30" s="60">
        <v>52.809884099165245</v>
      </c>
      <c r="D30" s="60">
        <v>904.21063067118439</v>
      </c>
      <c r="E30" s="60">
        <v>15.807533293962459</v>
      </c>
      <c r="F30" s="60">
        <v>0</v>
      </c>
      <c r="G30" s="60">
        <v>3292.6465031941784</v>
      </c>
      <c r="H30" s="61">
        <v>26.115994137525604</v>
      </c>
      <c r="I30" s="59">
        <v>97.432941444715084</v>
      </c>
      <c r="J30" s="60">
        <v>294.35845522880555</v>
      </c>
      <c r="K30" s="60">
        <v>15.890881054103398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203.73316828357551</v>
      </c>
      <c r="V30" s="62">
        <v>152.8049706146397</v>
      </c>
      <c r="W30" s="62">
        <v>31.36118986015591</v>
      </c>
      <c r="X30" s="62">
        <v>23.521676589994854</v>
      </c>
      <c r="Y30" s="66">
        <v>95.344847042784679</v>
      </c>
      <c r="Z30" s="66">
        <v>71.511019405300047</v>
      </c>
      <c r="AA30" s="67">
        <v>0</v>
      </c>
      <c r="AB30" s="68">
        <v>71.736201185651538</v>
      </c>
      <c r="AC30" s="69">
        <v>0</v>
      </c>
      <c r="AD30" s="409">
        <v>8.3281701510107808</v>
      </c>
      <c r="AE30" s="409">
        <v>5.9584569835207715</v>
      </c>
      <c r="AF30" s="69">
        <v>13.845640363295844</v>
      </c>
      <c r="AG30" s="68">
        <v>7.8264345446955002</v>
      </c>
      <c r="AH30" s="68">
        <v>5.870021610595102</v>
      </c>
      <c r="AI30" s="68">
        <v>0.57142040656059356</v>
      </c>
      <c r="AJ30" s="69">
        <v>294.13557179768878</v>
      </c>
      <c r="AK30" s="69">
        <v>1340.3311743418374</v>
      </c>
      <c r="AL30" s="69">
        <v>2849.4496350606282</v>
      </c>
      <c r="AM30" s="69">
        <v>177.75645446777344</v>
      </c>
      <c r="AN30" s="69">
        <v>1258.8463439941406</v>
      </c>
      <c r="AO30" s="69">
        <v>2655.1056324005131</v>
      </c>
      <c r="AP30" s="69">
        <v>644.67965911229453</v>
      </c>
      <c r="AQ30" s="69">
        <v>1959.5901157379151</v>
      </c>
      <c r="AR30" s="69">
        <v>428.01899037361147</v>
      </c>
      <c r="AS30" s="69">
        <v>548.61399895350144</v>
      </c>
    </row>
    <row r="31" spans="1:45" x14ac:dyDescent="0.25">
      <c r="A31" s="11">
        <v>43548</v>
      </c>
      <c r="B31" s="59"/>
      <c r="C31" s="60">
        <v>52.317307162284884</v>
      </c>
      <c r="D31" s="60">
        <v>903.42093734741206</v>
      </c>
      <c r="E31" s="60">
        <v>16.252076848347937</v>
      </c>
      <c r="F31" s="60">
        <v>0</v>
      </c>
      <c r="G31" s="60">
        <v>3154.6354368845641</v>
      </c>
      <c r="H31" s="61">
        <v>26.064895129203844</v>
      </c>
      <c r="I31" s="59">
        <v>100.12672094504035</v>
      </c>
      <c r="J31" s="60">
        <v>315.2045455932614</v>
      </c>
      <c r="K31" s="60">
        <v>17.101070396602154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221.46716578829748</v>
      </c>
      <c r="V31" s="62">
        <v>149.17495319550326</v>
      </c>
      <c r="W31" s="62">
        <v>34.174664238984548</v>
      </c>
      <c r="X31" s="62">
        <v>23.019231406951715</v>
      </c>
      <c r="Y31" s="66">
        <v>103.94359172274066</v>
      </c>
      <c r="Z31" s="66">
        <v>70.013901948040726</v>
      </c>
      <c r="AA31" s="67">
        <v>0</v>
      </c>
      <c r="AB31" s="68">
        <v>73.688881778717999</v>
      </c>
      <c r="AC31" s="69">
        <v>0</v>
      </c>
      <c r="AD31" s="409">
        <v>8.9210094880390471</v>
      </c>
      <c r="AE31" s="409">
        <v>5.9531230817746446</v>
      </c>
      <c r="AF31" s="69">
        <v>14.353251639008498</v>
      </c>
      <c r="AG31" s="68">
        <v>8.4929178120754401</v>
      </c>
      <c r="AH31" s="68">
        <v>5.7206250533800622</v>
      </c>
      <c r="AI31" s="68">
        <v>0.59752293235183263</v>
      </c>
      <c r="AJ31" s="69">
        <v>289.28089100519816</v>
      </c>
      <c r="AK31" s="69">
        <v>1334.88947912852</v>
      </c>
      <c r="AL31" s="69">
        <v>3017.6492525736489</v>
      </c>
      <c r="AM31" s="69">
        <v>177.75645446777344</v>
      </c>
      <c r="AN31" s="69">
        <v>1258.8463439941406</v>
      </c>
      <c r="AO31" s="69">
        <v>2601.0921552022301</v>
      </c>
      <c r="AP31" s="69">
        <v>624.10423336029055</v>
      </c>
      <c r="AQ31" s="69">
        <v>1977.1293376286826</v>
      </c>
      <c r="AR31" s="69">
        <v>414.77786823908485</v>
      </c>
      <c r="AS31" s="69">
        <v>549.72614103953038</v>
      </c>
    </row>
    <row r="32" spans="1:45" x14ac:dyDescent="0.25">
      <c r="A32" s="11">
        <v>43549</v>
      </c>
      <c r="B32" s="59"/>
      <c r="C32" s="60">
        <v>51.981936617692519</v>
      </c>
      <c r="D32" s="60">
        <v>903.32280298868841</v>
      </c>
      <c r="E32" s="60">
        <v>16.258174948890993</v>
      </c>
      <c r="F32" s="60">
        <v>0</v>
      </c>
      <c r="G32" s="60">
        <v>3134.4029108683226</v>
      </c>
      <c r="H32" s="61">
        <v>26.107486486434947</v>
      </c>
      <c r="I32" s="59">
        <v>106.80794324080146</v>
      </c>
      <c r="J32" s="60">
        <v>364.68270389238955</v>
      </c>
      <c r="K32" s="60">
        <v>19.908642518023612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250.98332097947713</v>
      </c>
      <c r="V32" s="62">
        <v>150.58098591546053</v>
      </c>
      <c r="W32" s="62">
        <v>39.928368528153193</v>
      </c>
      <c r="X32" s="62">
        <v>23.955588265790741</v>
      </c>
      <c r="Y32" s="66">
        <v>121.77600087702136</v>
      </c>
      <c r="Z32" s="66">
        <v>73.061230528554873</v>
      </c>
      <c r="AA32" s="67">
        <v>0</v>
      </c>
      <c r="AB32" s="68">
        <v>79.092310486900217</v>
      </c>
      <c r="AC32" s="69">
        <v>0</v>
      </c>
      <c r="AD32" s="409">
        <v>10.319486592334206</v>
      </c>
      <c r="AE32" s="409">
        <v>5.9532947490067869</v>
      </c>
      <c r="AF32" s="69">
        <v>16.038626934422403</v>
      </c>
      <c r="AG32" s="68">
        <v>9.9288834783487321</v>
      </c>
      <c r="AH32" s="68">
        <v>5.9569737836552594</v>
      </c>
      <c r="AI32" s="68">
        <v>0.62501401810381163</v>
      </c>
      <c r="AJ32" s="69">
        <v>282.91371302604682</v>
      </c>
      <c r="AK32" s="69">
        <v>1309.5312640508018</v>
      </c>
      <c r="AL32" s="69">
        <v>2829.1772789001466</v>
      </c>
      <c r="AM32" s="69">
        <v>177.75645446777344</v>
      </c>
      <c r="AN32" s="69">
        <v>1258.8463439941406</v>
      </c>
      <c r="AO32" s="69">
        <v>2632.8933044433597</v>
      </c>
      <c r="AP32" s="69">
        <v>612.37339731852217</v>
      </c>
      <c r="AQ32" s="69">
        <v>2092.6468765258792</v>
      </c>
      <c r="AR32" s="69">
        <v>407.49996945063276</v>
      </c>
      <c r="AS32" s="69">
        <v>579.58724508285525</v>
      </c>
    </row>
    <row r="33" spans="1:45" x14ac:dyDescent="0.25">
      <c r="A33" s="11">
        <v>43550</v>
      </c>
      <c r="B33" s="59"/>
      <c r="C33" s="60">
        <v>51.71645903984637</v>
      </c>
      <c r="D33" s="60">
        <v>899.78903331756646</v>
      </c>
      <c r="E33" s="60">
        <v>16.277392690380381</v>
      </c>
      <c r="F33" s="60">
        <v>0</v>
      </c>
      <c r="G33" s="60">
        <v>3027.5518957773852</v>
      </c>
      <c r="H33" s="61">
        <v>26.148133617639552</v>
      </c>
      <c r="I33" s="59">
        <v>106.79968337217963</v>
      </c>
      <c r="J33" s="60">
        <v>364.69584697087629</v>
      </c>
      <c r="K33" s="60">
        <v>19.78759088367223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249.16807113313055</v>
      </c>
      <c r="V33" s="62">
        <v>149.52337044520263</v>
      </c>
      <c r="W33" s="62">
        <v>38.990480751408441</v>
      </c>
      <c r="X33" s="62">
        <v>23.397813655323528</v>
      </c>
      <c r="Y33" s="66">
        <v>121.17911133924021</v>
      </c>
      <c r="Z33" s="66">
        <v>72.718422840447417</v>
      </c>
      <c r="AA33" s="67">
        <v>0</v>
      </c>
      <c r="AB33" s="68">
        <v>79.091255172094478</v>
      </c>
      <c r="AC33" s="69">
        <v>0</v>
      </c>
      <c r="AD33" s="409">
        <v>10.319429482840462</v>
      </c>
      <c r="AE33" s="409">
        <v>5.9507424136551377</v>
      </c>
      <c r="AF33" s="69">
        <v>16.013213694095622</v>
      </c>
      <c r="AG33" s="68">
        <v>9.9117161641812519</v>
      </c>
      <c r="AH33" s="68">
        <v>5.947925835861712</v>
      </c>
      <c r="AI33" s="68">
        <v>0.62496468483679524</v>
      </c>
      <c r="AJ33" s="69">
        <v>267.60924383799238</v>
      </c>
      <c r="AK33" s="69">
        <v>1300.4724374135337</v>
      </c>
      <c r="AL33" s="69">
        <v>2807.1232098897299</v>
      </c>
      <c r="AM33" s="69">
        <v>177.75645446777344</v>
      </c>
      <c r="AN33" s="69">
        <v>1258.8463439941406</v>
      </c>
      <c r="AO33" s="69">
        <v>2588.4731891632082</v>
      </c>
      <c r="AP33" s="69">
        <v>586.45609383583087</v>
      </c>
      <c r="AQ33" s="69">
        <v>2063.3200647354129</v>
      </c>
      <c r="AR33" s="69">
        <v>368.11430263519293</v>
      </c>
      <c r="AS33" s="69">
        <v>730.2619970321656</v>
      </c>
    </row>
    <row r="34" spans="1:45" x14ac:dyDescent="0.25">
      <c r="A34" s="11">
        <v>43551</v>
      </c>
      <c r="B34" s="59"/>
      <c r="C34" s="60">
        <v>51.494605263074583</v>
      </c>
      <c r="D34" s="60">
        <v>932.78969783782804</v>
      </c>
      <c r="E34" s="60">
        <v>16.288081464171391</v>
      </c>
      <c r="F34" s="60">
        <v>0</v>
      </c>
      <c r="G34" s="60">
        <v>3006.1089975992809</v>
      </c>
      <c r="H34" s="61">
        <v>26.273553224404672</v>
      </c>
      <c r="I34" s="59">
        <v>106.8099149862924</v>
      </c>
      <c r="J34" s="60">
        <v>364.58356935183184</v>
      </c>
      <c r="K34" s="60">
        <v>19.730599187314478</v>
      </c>
      <c r="L34" s="6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251.2478406269081</v>
      </c>
      <c r="V34" s="62">
        <v>150.75584401037258</v>
      </c>
      <c r="W34" s="62">
        <v>39.49672102739455</v>
      </c>
      <c r="X34" s="62">
        <v>23.699154982864339</v>
      </c>
      <c r="Y34" s="66">
        <v>122.00911020906425</v>
      </c>
      <c r="Z34" s="66">
        <v>73.2089332215822</v>
      </c>
      <c r="AA34" s="67">
        <v>0</v>
      </c>
      <c r="AB34" s="68">
        <v>79.093217341105913</v>
      </c>
      <c r="AC34" s="69">
        <v>0</v>
      </c>
      <c r="AD34" s="409">
        <v>10.318261555513406</v>
      </c>
      <c r="AE34" s="409">
        <v>5.951996118802076</v>
      </c>
      <c r="AF34" s="69">
        <v>16.155322906043821</v>
      </c>
      <c r="AG34" s="68">
        <v>10.000372155852409</v>
      </c>
      <c r="AH34" s="68">
        <v>6.0005074710755428</v>
      </c>
      <c r="AI34" s="68">
        <v>0.62498889992414786</v>
      </c>
      <c r="AJ34" s="69">
        <v>262.07586223284409</v>
      </c>
      <c r="AK34" s="69">
        <v>1309.6939716974894</v>
      </c>
      <c r="AL34" s="69">
        <v>2791.3897972106934</v>
      </c>
      <c r="AM34" s="69">
        <v>177.75645446777344</v>
      </c>
      <c r="AN34" s="69">
        <v>1258.8463439941406</v>
      </c>
      <c r="AO34" s="69">
        <v>2551.5326001485191</v>
      </c>
      <c r="AP34" s="69">
        <v>566.49716703097033</v>
      </c>
      <c r="AQ34" s="69">
        <v>2040.1843311309819</v>
      </c>
      <c r="AR34" s="69">
        <v>356.02235129674273</v>
      </c>
      <c r="AS34" s="69">
        <v>783.90728041330965</v>
      </c>
    </row>
    <row r="35" spans="1:45" x14ac:dyDescent="0.25">
      <c r="A35" s="11">
        <v>43552</v>
      </c>
      <c r="B35" s="59"/>
      <c r="C35" s="60">
        <v>89.598201302687187</v>
      </c>
      <c r="D35" s="60">
        <v>924.13903484344598</v>
      </c>
      <c r="E35" s="60">
        <v>15.730819457272657</v>
      </c>
      <c r="F35" s="60">
        <v>0</v>
      </c>
      <c r="G35" s="60">
        <v>3066.5543421427396</v>
      </c>
      <c r="H35" s="61">
        <v>26.197983858982717</v>
      </c>
      <c r="I35" s="59">
        <v>106.90494106610581</v>
      </c>
      <c r="J35" s="60">
        <v>364.68963958422353</v>
      </c>
      <c r="K35" s="60">
        <v>19.900381085773308</v>
      </c>
      <c r="L35" s="6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247.48473220517675</v>
      </c>
      <c r="V35" s="62">
        <v>148.51580193721318</v>
      </c>
      <c r="W35" s="62">
        <v>39.214542028030813</v>
      </c>
      <c r="X35" s="62">
        <v>23.532680602152006</v>
      </c>
      <c r="Y35" s="66">
        <v>117.31998328188314</v>
      </c>
      <c r="Z35" s="66">
        <v>70.403823480812093</v>
      </c>
      <c r="AA35" s="67">
        <v>0</v>
      </c>
      <c r="AB35" s="68">
        <v>79.092942243152777</v>
      </c>
      <c r="AC35" s="69">
        <v>0</v>
      </c>
      <c r="AD35" s="409">
        <v>10.31978381826498</v>
      </c>
      <c r="AE35" s="409">
        <v>5.9558084339738961</v>
      </c>
      <c r="AF35" s="69">
        <v>15.84455984168584</v>
      </c>
      <c r="AG35" s="68">
        <v>9.8189969977057547</v>
      </c>
      <c r="AH35" s="68">
        <v>5.8923885943977243</v>
      </c>
      <c r="AI35" s="68">
        <v>0.62496060198794745</v>
      </c>
      <c r="AJ35" s="69">
        <v>267.34366780916855</v>
      </c>
      <c r="AK35" s="69">
        <v>1300.1560691197712</v>
      </c>
      <c r="AL35" s="69">
        <v>3049.98834622701</v>
      </c>
      <c r="AM35" s="69">
        <v>177.75645446777344</v>
      </c>
      <c r="AN35" s="69">
        <v>1258.8463439941406</v>
      </c>
      <c r="AO35" s="69">
        <v>2538.4756591796872</v>
      </c>
      <c r="AP35" s="69">
        <v>574.38454745610557</v>
      </c>
      <c r="AQ35" s="69">
        <v>2043.331066068014</v>
      </c>
      <c r="AR35" s="69">
        <v>361.79473698933919</v>
      </c>
      <c r="AS35" s="69">
        <v>647.0392318725585</v>
      </c>
    </row>
    <row r="36" spans="1:45" x14ac:dyDescent="0.25">
      <c r="A36" s="11">
        <v>43553</v>
      </c>
      <c r="B36" s="59"/>
      <c r="C36" s="60">
        <v>51.494605263074583</v>
      </c>
      <c r="D36" s="60">
        <v>932.78969783782804</v>
      </c>
      <c r="E36" s="60">
        <v>16.288081464171391</v>
      </c>
      <c r="F36" s="60">
        <v>0</v>
      </c>
      <c r="G36" s="60">
        <v>3006.1089975992809</v>
      </c>
      <c r="H36" s="61">
        <v>26.273553224404672</v>
      </c>
      <c r="I36" s="59">
        <v>106.8099149862924</v>
      </c>
      <c r="J36" s="60">
        <v>364.58356935183184</v>
      </c>
      <c r="K36" s="60">
        <v>19.730599187314478</v>
      </c>
      <c r="L36" s="60">
        <v>0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251.2478406269081</v>
      </c>
      <c r="V36" s="62">
        <v>150.75584401037258</v>
      </c>
      <c r="W36" s="62">
        <v>39.49672102739455</v>
      </c>
      <c r="X36" s="62">
        <v>23.699154982864339</v>
      </c>
      <c r="Y36" s="66">
        <v>122.00911020906425</v>
      </c>
      <c r="Z36" s="66">
        <v>73.2089332215822</v>
      </c>
      <c r="AA36" s="67">
        <v>0</v>
      </c>
      <c r="AB36" s="68">
        <v>79.093217341105913</v>
      </c>
      <c r="AC36" s="69">
        <v>0</v>
      </c>
      <c r="AD36" s="409">
        <v>10.318261555513406</v>
      </c>
      <c r="AE36" s="409">
        <v>5.951996118802076</v>
      </c>
      <c r="AF36" s="69">
        <v>16.155322906043821</v>
      </c>
      <c r="AG36" s="68">
        <v>10.000372155852409</v>
      </c>
      <c r="AH36" s="68">
        <v>6.0005074710755428</v>
      </c>
      <c r="AI36" s="68">
        <v>0.62498889992414786</v>
      </c>
      <c r="AJ36" s="69">
        <v>262.07586223284409</v>
      </c>
      <c r="AK36" s="69">
        <v>1309.6939716974894</v>
      </c>
      <c r="AL36" s="69">
        <v>2791.3897972106934</v>
      </c>
      <c r="AM36" s="69">
        <v>177.75645446777344</v>
      </c>
      <c r="AN36" s="69">
        <v>1258.8463439941406</v>
      </c>
      <c r="AO36" s="69">
        <v>2551.5326001485191</v>
      </c>
      <c r="AP36" s="69">
        <v>566.49716703097033</v>
      </c>
      <c r="AQ36" s="69">
        <v>2040.1843311309819</v>
      </c>
      <c r="AR36" s="69">
        <v>356.02235129674273</v>
      </c>
      <c r="AS36" s="69">
        <v>783.90728041330965</v>
      </c>
    </row>
    <row r="37" spans="1:45" x14ac:dyDescent="0.25">
      <c r="A37" s="11">
        <v>43554</v>
      </c>
      <c r="B37" s="59"/>
      <c r="C37" s="60">
        <v>51.477403424183294</v>
      </c>
      <c r="D37" s="60">
        <v>918.29507191975983</v>
      </c>
      <c r="E37" s="60">
        <v>15.796387841304098</v>
      </c>
      <c r="F37" s="60">
        <v>0</v>
      </c>
      <c r="G37" s="60">
        <v>2866.0105045318587</v>
      </c>
      <c r="H37" s="61">
        <v>26.053283810615557</v>
      </c>
      <c r="I37" s="59">
        <v>109.56006331046433</v>
      </c>
      <c r="J37" s="60">
        <v>367.4639783859248</v>
      </c>
      <c r="K37" s="60">
        <v>20.022896921634647</v>
      </c>
      <c r="L37" s="60">
        <v>0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244.01843243581229</v>
      </c>
      <c r="V37" s="62">
        <v>146.3454025810727</v>
      </c>
      <c r="W37" s="62">
        <v>39.656603207774175</v>
      </c>
      <c r="X37" s="62">
        <v>23.783291710826663</v>
      </c>
      <c r="Y37" s="66">
        <v>109.23529752015803</v>
      </c>
      <c r="Z37" s="66">
        <v>65.51178708950944</v>
      </c>
      <c r="AA37" s="67">
        <v>0</v>
      </c>
      <c r="AB37" s="68">
        <v>79.173749589920916</v>
      </c>
      <c r="AC37" s="69">
        <v>0</v>
      </c>
      <c r="AD37" s="409">
        <v>10.398973060678196</v>
      </c>
      <c r="AE37" s="409">
        <v>5.9482287512052094</v>
      </c>
      <c r="AF37" s="69">
        <v>15.53317631814215</v>
      </c>
      <c r="AG37" s="68">
        <v>9.6061740066482084</v>
      </c>
      <c r="AH37" s="68">
        <v>5.7611197163827415</v>
      </c>
      <c r="AI37" s="68">
        <v>0.6251051212909039</v>
      </c>
      <c r="AJ37" s="69">
        <v>305.0122615973155</v>
      </c>
      <c r="AK37" s="69">
        <v>1324.4306711832683</v>
      </c>
      <c r="AL37" s="69">
        <v>2781.4339911142984</v>
      </c>
      <c r="AM37" s="69">
        <v>177.75645446777344</v>
      </c>
      <c r="AN37" s="69">
        <v>1258.8463439941406</v>
      </c>
      <c r="AO37" s="69">
        <v>2666.4893393198645</v>
      </c>
      <c r="AP37" s="69">
        <v>659.78393074671442</v>
      </c>
      <c r="AQ37" s="69">
        <v>2142.4734246571852</v>
      </c>
      <c r="AR37" s="69">
        <v>440.48766358693456</v>
      </c>
      <c r="AS37" s="69">
        <v>555.76982196172094</v>
      </c>
    </row>
    <row r="38" spans="1:45" ht="15.75" thickBot="1" x14ac:dyDescent="0.3">
      <c r="A38" s="11">
        <v>43555</v>
      </c>
      <c r="B38" s="59"/>
      <c r="C38" s="60">
        <v>51.465284365416196</v>
      </c>
      <c r="D38" s="60">
        <v>918.24952125549419</v>
      </c>
      <c r="E38" s="60">
        <v>15.791845157742486</v>
      </c>
      <c r="F38" s="60">
        <v>0</v>
      </c>
      <c r="G38" s="60">
        <v>2969.2356454213482</v>
      </c>
      <c r="H38" s="61">
        <v>26.114638165632922</v>
      </c>
      <c r="I38" s="59">
        <v>116.13439984321599</v>
      </c>
      <c r="J38" s="60">
        <v>369.8623161951694</v>
      </c>
      <c r="K38" s="60">
        <v>20.349494134386376</v>
      </c>
      <c r="L38" s="60">
        <v>0</v>
      </c>
      <c r="M38" s="60">
        <v>0</v>
      </c>
      <c r="N38" s="61">
        <v>0</v>
      </c>
      <c r="O38" s="59">
        <v>0</v>
      </c>
      <c r="P38" s="60">
        <v>0</v>
      </c>
      <c r="Q38" s="60">
        <v>0</v>
      </c>
      <c r="R38" s="63">
        <v>0</v>
      </c>
      <c r="S38" s="60">
        <v>0</v>
      </c>
      <c r="T38" s="64">
        <v>0</v>
      </c>
      <c r="U38" s="65">
        <v>246.95357147005248</v>
      </c>
      <c r="V38" s="62">
        <v>148.11120079676303</v>
      </c>
      <c r="W38" s="62">
        <v>39.966433417536948</v>
      </c>
      <c r="X38" s="62">
        <v>23.969997314872266</v>
      </c>
      <c r="Y38" s="66">
        <v>112.27031243450693</v>
      </c>
      <c r="Z38" s="66">
        <v>67.33448190085835</v>
      </c>
      <c r="AA38" s="67">
        <v>0</v>
      </c>
      <c r="AB38" s="68">
        <v>79.912391922208869</v>
      </c>
      <c r="AC38" s="69">
        <v>0</v>
      </c>
      <c r="AD38" s="409">
        <v>10.464789641573654</v>
      </c>
      <c r="AE38" s="409">
        <v>5.9485505205159344</v>
      </c>
      <c r="AF38" s="69">
        <v>15.917468516694184</v>
      </c>
      <c r="AG38" s="68">
        <v>9.8028921070357704</v>
      </c>
      <c r="AH38" s="68">
        <v>5.8793161508508449</v>
      </c>
      <c r="AI38" s="68">
        <v>0.62509641154050322</v>
      </c>
      <c r="AJ38" s="69">
        <v>293.35967496236162</v>
      </c>
      <c r="AK38" s="69">
        <v>1306.9158070882161</v>
      </c>
      <c r="AL38" s="69">
        <v>2990.279662195841</v>
      </c>
      <c r="AM38" s="69">
        <v>177.75645446777344</v>
      </c>
      <c r="AN38" s="69">
        <v>1258.8463439941406</v>
      </c>
      <c r="AO38" s="69">
        <v>2650.0215053558345</v>
      </c>
      <c r="AP38" s="69">
        <v>634.15178241729734</v>
      </c>
      <c r="AQ38" s="69">
        <v>2123.0451548258466</v>
      </c>
      <c r="AR38" s="69">
        <v>409.68330748875934</v>
      </c>
      <c r="AS38" s="69">
        <v>533.69735987981164</v>
      </c>
    </row>
    <row r="39" spans="1:45" ht="15.75" thickTop="1" x14ac:dyDescent="0.25">
      <c r="A39" s="46" t="s">
        <v>171</v>
      </c>
      <c r="B39" s="29">
        <f t="shared" ref="B39:AC39" si="0">SUM(B8:B38)</f>
        <v>0</v>
      </c>
      <c r="C39" s="30">
        <f t="shared" si="0"/>
        <v>1684.512482170265</v>
      </c>
      <c r="D39" s="30">
        <f t="shared" si="0"/>
        <v>26658.12675808269</v>
      </c>
      <c r="E39" s="30">
        <f t="shared" si="0"/>
        <v>479.13117745965695</v>
      </c>
      <c r="F39" s="30">
        <f t="shared" si="0"/>
        <v>0</v>
      </c>
      <c r="G39" s="30">
        <f t="shared" si="0"/>
        <v>94215.393471654243</v>
      </c>
      <c r="H39" s="31">
        <f t="shared" si="0"/>
        <v>763.37223351697128</v>
      </c>
      <c r="I39" s="29">
        <f t="shared" si="0"/>
        <v>3562.186684127646</v>
      </c>
      <c r="J39" s="30">
        <f t="shared" si="0"/>
        <v>10740.580087057748</v>
      </c>
      <c r="K39" s="30">
        <f t="shared" si="0"/>
        <v>585.08547363678622</v>
      </c>
      <c r="L39" s="30">
        <f t="shared" si="0"/>
        <v>0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7317.6032881914271</v>
      </c>
      <c r="V39" s="262">
        <f t="shared" si="0"/>
        <v>4361.4843754696831</v>
      </c>
      <c r="W39" s="262">
        <f t="shared" si="0"/>
        <v>1126.379361603229</v>
      </c>
      <c r="X39" s="262">
        <f t="shared" si="0"/>
        <v>673.17153447313217</v>
      </c>
      <c r="Y39" s="262">
        <f t="shared" si="0"/>
        <v>3353.4913206550636</v>
      </c>
      <c r="Z39" s="262">
        <f t="shared" si="0"/>
        <v>1979.2899511999731</v>
      </c>
      <c r="AA39" s="270">
        <f t="shared" si="0"/>
        <v>0</v>
      </c>
      <c r="AB39" s="273">
        <f t="shared" si="0"/>
        <v>2349.178062232339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9170.8889625708271</v>
      </c>
      <c r="AK39" s="273">
        <f t="shared" si="1"/>
        <v>42472.455504671743</v>
      </c>
      <c r="AL39" s="273">
        <f t="shared" si="1"/>
        <v>90708.23305829367</v>
      </c>
      <c r="AM39" s="273">
        <f t="shared" si="1"/>
        <v>5704.0196697235106</v>
      </c>
      <c r="AN39" s="273">
        <f t="shared" si="1"/>
        <v>39000.206937154137</v>
      </c>
      <c r="AO39" s="273">
        <f t="shared" si="1"/>
        <v>80489.222902933761</v>
      </c>
      <c r="AP39" s="273">
        <f t="shared" si="1"/>
        <v>20170.097547324502</v>
      </c>
      <c r="AQ39" s="273">
        <f t="shared" si="1"/>
        <v>61697.375312169381</v>
      </c>
      <c r="AR39" s="273">
        <f t="shared" si="1"/>
        <v>13820.838169380031</v>
      </c>
      <c r="AS39" s="273">
        <f t="shared" si="1"/>
        <v>19079.233674653366</v>
      </c>
    </row>
    <row r="40" spans="1:45" ht="15.75" thickBot="1" x14ac:dyDescent="0.3">
      <c r="A40" s="47" t="s">
        <v>172</v>
      </c>
      <c r="B40" s="32">
        <f>Projection!$AA$30</f>
        <v>0.82128400199999985</v>
      </c>
      <c r="C40" s="33">
        <f>Projection!$AA$28</f>
        <v>1.4863548</v>
      </c>
      <c r="D40" s="33">
        <f>Projection!$AA$31</f>
        <v>3.0824639999999999</v>
      </c>
      <c r="E40" s="33">
        <f>Projection!$AA$26</f>
        <v>3.9898560000000005</v>
      </c>
      <c r="F40" s="33">
        <f>Projection!$AA$23</f>
        <v>0</v>
      </c>
      <c r="G40" s="33">
        <f>Projection!$AA$24</f>
        <v>5.7950000000000002E-2</v>
      </c>
      <c r="H40" s="34">
        <f>Projection!$AA$29</f>
        <v>3.7390305000000001</v>
      </c>
      <c r="I40" s="32">
        <f>Projection!$AA$30</f>
        <v>0.82128400199999985</v>
      </c>
      <c r="J40" s="33">
        <f>Projection!$AA$28</f>
        <v>1.4863548</v>
      </c>
      <c r="K40" s="33">
        <f>Projection!$AA$26</f>
        <v>3.9898560000000005</v>
      </c>
      <c r="L40" s="33">
        <f>Projection!$AA$25</f>
        <v>0</v>
      </c>
      <c r="M40" s="33">
        <f>Projection!$AA$23</f>
        <v>0</v>
      </c>
      <c r="N40" s="34">
        <f>Projection!$AA$23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65">
        <f>Projection!$AA$28</f>
        <v>1.4863548</v>
      </c>
      <c r="T40" s="266">
        <f>Projection!$AA$28</f>
        <v>1.4863548</v>
      </c>
      <c r="U40" s="264">
        <f>Projection!$AA$27</f>
        <v>0.29960000000000003</v>
      </c>
      <c r="V40" s="265">
        <f>Projection!$AA$27</f>
        <v>0.29960000000000003</v>
      </c>
      <c r="W40" s="265">
        <f>Projection!$AA$22</f>
        <v>0.74349432000000004</v>
      </c>
      <c r="X40" s="265">
        <f>Projection!$AA$22</f>
        <v>0.74349432000000004</v>
      </c>
      <c r="Y40" s="265">
        <f>Projection!$AA$31</f>
        <v>3.0824639999999999</v>
      </c>
      <c r="Z40" s="265">
        <f>Projection!$AA$31</f>
        <v>3.0824639999999999</v>
      </c>
      <c r="AA40" s="271">
        <v>0</v>
      </c>
      <c r="AB40" s="274">
        <f>Projection!$AA$27</f>
        <v>0.29960000000000003</v>
      </c>
      <c r="AC40" s="274">
        <f>Projection!$AA$30</f>
        <v>0.82128400199999985</v>
      </c>
      <c r="AD40" s="400">
        <f>SUM(AD8:AD38)</f>
        <v>295.12678911533976</v>
      </c>
      <c r="AE40" s="400">
        <f>SUM(AE8:AE38)</f>
        <v>178.31904022261031</v>
      </c>
      <c r="AF40" s="277">
        <f>SUM(AF8:AF38)</f>
        <v>452.12968850367594</v>
      </c>
      <c r="AG40" s="277">
        <f>SUM(AG8:AG38)</f>
        <v>279.72780764982099</v>
      </c>
      <c r="AH40" s="277">
        <f>SUM(AH8:AH38)</f>
        <v>167.03414252592626</v>
      </c>
      <c r="AI40" s="277">
        <f>IF(SUM(AG40:AH40)&gt;0, AG40/(AG40+AH40), 0)</f>
        <v>0.62612272047738537</v>
      </c>
      <c r="AJ40" s="312">
        <v>6.7000000000000004E-2</v>
      </c>
      <c r="AK40" s="312">
        <f t="shared" ref="AK40:AS40" si="2">$AJ$40</f>
        <v>6.7000000000000004E-2</v>
      </c>
      <c r="AL40" s="312">
        <f t="shared" si="2"/>
        <v>6.7000000000000004E-2</v>
      </c>
      <c r="AM40" s="312">
        <f t="shared" si="2"/>
        <v>6.7000000000000004E-2</v>
      </c>
      <c r="AN40" s="312">
        <f t="shared" si="2"/>
        <v>6.7000000000000004E-2</v>
      </c>
      <c r="AO40" s="312">
        <f t="shared" si="2"/>
        <v>6.7000000000000004E-2</v>
      </c>
      <c r="AP40" s="312">
        <f t="shared" si="2"/>
        <v>6.7000000000000004E-2</v>
      </c>
      <c r="AQ40" s="312">
        <f t="shared" si="2"/>
        <v>6.7000000000000004E-2</v>
      </c>
      <c r="AR40" s="312">
        <f t="shared" si="2"/>
        <v>6.7000000000000004E-2</v>
      </c>
      <c r="AS40" s="312">
        <f t="shared" si="2"/>
        <v>6.7000000000000004E-2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2503.7832135336876</v>
      </c>
      <c r="D41" s="36">
        <f t="shared" si="3"/>
        <v>82172.716039226594</v>
      </c>
      <c r="E41" s="36">
        <f t="shared" si="3"/>
        <v>1911.6644031744772</v>
      </c>
      <c r="F41" s="36">
        <f t="shared" si="3"/>
        <v>0</v>
      </c>
      <c r="G41" s="36">
        <f t="shared" si="3"/>
        <v>5459.7820516823631</v>
      </c>
      <c r="H41" s="37">
        <f t="shared" si="3"/>
        <v>2854.2720639730778</v>
      </c>
      <c r="I41" s="35">
        <f t="shared" si="3"/>
        <v>2925.5669358114624</v>
      </c>
      <c r="J41" s="36">
        <f t="shared" si="3"/>
        <v>15964.312767182701</v>
      </c>
      <c r="K41" s="36">
        <f t="shared" si="3"/>
        <v>2334.4067875025735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2192.3539451421516</v>
      </c>
      <c r="V41" s="268">
        <f t="shared" si="3"/>
        <v>1306.7007188907171</v>
      </c>
      <c r="W41" s="268">
        <f t="shared" si="3"/>
        <v>837.45665751722686</v>
      </c>
      <c r="X41" s="268">
        <f t="shared" si="3"/>
        <v>500.49921226645802</v>
      </c>
      <c r="Y41" s="268">
        <f t="shared" si="3"/>
        <v>10337.01627023169</v>
      </c>
      <c r="Z41" s="268">
        <f t="shared" si="3"/>
        <v>6101.0900201356735</v>
      </c>
      <c r="AA41" s="272">
        <f t="shared" si="3"/>
        <v>0</v>
      </c>
      <c r="AB41" s="275">
        <f t="shared" si="3"/>
        <v>703.81374744480888</v>
      </c>
      <c r="AC41" s="275">
        <f t="shared" si="3"/>
        <v>0</v>
      </c>
      <c r="AJ41" s="278">
        <f t="shared" ref="AJ41:AS41" si="4">AJ40*AJ39</f>
        <v>614.4495604922455</v>
      </c>
      <c r="AK41" s="278">
        <f t="shared" si="4"/>
        <v>2845.6545188130071</v>
      </c>
      <c r="AL41" s="278">
        <f t="shared" si="4"/>
        <v>6077.4516149056763</v>
      </c>
      <c r="AM41" s="278">
        <f t="shared" si="4"/>
        <v>382.16931787147524</v>
      </c>
      <c r="AN41" s="278">
        <f t="shared" si="4"/>
        <v>2613.0138647893273</v>
      </c>
      <c r="AO41" s="278">
        <f t="shared" si="4"/>
        <v>5392.777934496562</v>
      </c>
      <c r="AP41" s="278">
        <f t="shared" si="4"/>
        <v>1351.3965356707417</v>
      </c>
      <c r="AQ41" s="278">
        <f t="shared" si="4"/>
        <v>4133.7241459153483</v>
      </c>
      <c r="AR41" s="278">
        <f t="shared" si="4"/>
        <v>925.99615734846213</v>
      </c>
      <c r="AS41" s="278">
        <f t="shared" si="4"/>
        <v>1278.3086562017756</v>
      </c>
    </row>
    <row r="42" spans="1:45" ht="49.5" customHeight="1" thickTop="1" thickBot="1" x14ac:dyDescent="0.3">
      <c r="A42" s="633">
        <f>FEBRUARY!$A$42+29</f>
        <v>43526</v>
      </c>
      <c r="B42" s="634"/>
      <c r="C42" s="634"/>
      <c r="D42" s="634"/>
      <c r="E42" s="634"/>
      <c r="F42" s="634"/>
      <c r="G42" s="634"/>
      <c r="H42" s="634"/>
      <c r="I42" s="634"/>
      <c r="J42" s="634"/>
      <c r="K42" s="63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360.1</v>
      </c>
      <c r="AK42" s="278" t="s">
        <v>197</v>
      </c>
      <c r="AL42" s="278">
        <v>2471.9699999999998</v>
      </c>
      <c r="AM42" s="278">
        <v>977.77</v>
      </c>
      <c r="AN42" s="278">
        <v>1446.2</v>
      </c>
      <c r="AO42" s="278">
        <v>7289.11</v>
      </c>
      <c r="AP42" s="278">
        <v>1114.71</v>
      </c>
      <c r="AQ42" s="278" t="s">
        <v>197</v>
      </c>
      <c r="AR42" s="278">
        <v>186.86</v>
      </c>
      <c r="AS42" s="278">
        <v>524.96</v>
      </c>
    </row>
    <row r="43" spans="1:45" ht="38.25" customHeight="1" thickTop="1" thickBot="1" x14ac:dyDescent="0.3">
      <c r="A43" s="630" t="s">
        <v>49</v>
      </c>
      <c r="B43" s="626"/>
      <c r="C43" s="289"/>
      <c r="D43" s="626" t="s">
        <v>47</v>
      </c>
      <c r="E43" s="626"/>
      <c r="F43" s="289"/>
      <c r="G43" s="626" t="s">
        <v>48</v>
      </c>
      <c r="H43" s="626"/>
      <c r="I43" s="290"/>
      <c r="J43" s="626" t="s">
        <v>50</v>
      </c>
      <c r="K43" s="627"/>
      <c r="L43" s="44"/>
      <c r="M43" s="44"/>
      <c r="N43" s="44"/>
      <c r="O43" s="45"/>
      <c r="P43" s="45"/>
      <c r="Q43" s="45"/>
      <c r="R43" s="615" t="s">
        <v>166</v>
      </c>
      <c r="S43" s="616"/>
      <c r="T43" s="616"/>
      <c r="U43" s="617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138105.43483371567</v>
      </c>
      <c r="C44" s="12"/>
      <c r="D44" s="282" t="s">
        <v>135</v>
      </c>
      <c r="E44" s="283">
        <f>SUM(B41:H41)+P41+R41+T41+V41+X41+Z41</f>
        <v>102810.50772288305</v>
      </c>
      <c r="F44" s="12"/>
      <c r="G44" s="282" t="s">
        <v>135</v>
      </c>
      <c r="H44" s="283">
        <f>SUM(I41:N41)+O41+Q41+S41+U41+W41+Y41</f>
        <v>34591.113363387805</v>
      </c>
      <c r="I44" s="12"/>
      <c r="J44" s="282" t="s">
        <v>198</v>
      </c>
      <c r="K44" s="283">
        <v>217325.23</v>
      </c>
      <c r="L44" s="12"/>
      <c r="M44" s="410"/>
      <c r="N44" s="12"/>
      <c r="O44" s="12"/>
      <c r="P44" s="12"/>
      <c r="Q44" s="12"/>
      <c r="R44" s="319" t="s">
        <v>135</v>
      </c>
      <c r="S44" s="320"/>
      <c r="T44" s="313" t="s">
        <v>167</v>
      </c>
      <c r="U44" s="255" t="s">
        <v>168</v>
      </c>
    </row>
    <row r="45" spans="1:45" ht="24" thickBot="1" x14ac:dyDescent="0.4">
      <c r="A45" s="284" t="s">
        <v>183</v>
      </c>
      <c r="B45" s="285">
        <f>SUM(AJ41:AS41)</f>
        <v>25614.942306504621</v>
      </c>
      <c r="C45" s="12"/>
      <c r="D45" s="284" t="s">
        <v>183</v>
      </c>
      <c r="E45" s="285">
        <f>AJ41*(1-$AI$40)+AK41+AL41*0.5+AN41+AO41*(1-$AI$40)+AP41*(1-$AI$40)+AQ41*(1-$AI$40)+AR41*0.5+AS41*0.5</f>
        <v>13896.274469414795</v>
      </c>
      <c r="F45" s="24"/>
      <c r="G45" s="284" t="s">
        <v>183</v>
      </c>
      <c r="H45" s="285">
        <f>AJ41*AI40+AL41*0.5+AM41+AO41*AI40+AP41*AI40+AQ41*AI40+AR41*0.5+AS41*0.5</f>
        <v>11718.667837089824</v>
      </c>
      <c r="I45" s="12"/>
      <c r="J45" s="12"/>
      <c r="K45" s="288"/>
      <c r="L45" s="12"/>
      <c r="M45" s="12"/>
      <c r="N45" s="12"/>
      <c r="O45" s="12"/>
      <c r="P45" s="12"/>
      <c r="Q45" s="12"/>
      <c r="R45" s="317" t="s">
        <v>141</v>
      </c>
      <c r="S45" s="318"/>
      <c r="T45" s="254">
        <f>$W$39+$X$39</f>
        <v>1799.5508960763611</v>
      </c>
      <c r="U45" s="256">
        <f>(T45*8.34*0.895)/27000</f>
        <v>0.49749584272528818</v>
      </c>
    </row>
    <row r="46" spans="1:45" ht="32.25" thickBot="1" x14ac:dyDescent="0.3">
      <c r="A46" s="286" t="s">
        <v>184</v>
      </c>
      <c r="B46" s="287">
        <f>SUM(AJ42:AS42)</f>
        <v>14371.68</v>
      </c>
      <c r="C46" s="12"/>
      <c r="D46" s="286" t="s">
        <v>184</v>
      </c>
      <c r="E46" s="287">
        <f>AJ42*(1-$AI$40)+AL42*0.5+AN42+AO42*(1-$AI$40)+AP42*(1-$AI$40)+AR42*0.5+AS42*0.5</f>
        <v>6314.7255675538327</v>
      </c>
      <c r="F46" s="23"/>
      <c r="G46" s="286" t="s">
        <v>184</v>
      </c>
      <c r="H46" s="287">
        <f>AJ42*AI40+AL42*0.5+AM42+AO42*AI40+AP42*AI40+AR42*0.5+AS42*0.5</f>
        <v>8056.9544324461658</v>
      </c>
      <c r="I46" s="12"/>
      <c r="J46" s="628" t="s">
        <v>199</v>
      </c>
      <c r="K46" s="629"/>
      <c r="L46" s="12"/>
      <c r="M46" s="12"/>
      <c r="N46" s="12"/>
      <c r="O46" s="12"/>
      <c r="P46" s="12"/>
      <c r="Q46" s="12"/>
      <c r="R46" s="317" t="s">
        <v>145</v>
      </c>
      <c r="S46" s="318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217325.23</v>
      </c>
      <c r="C47" s="12"/>
      <c r="D47" s="286" t="s">
        <v>187</v>
      </c>
      <c r="E47" s="287">
        <f>K44*0.5</f>
        <v>108662.61500000001</v>
      </c>
      <c r="F47" s="24"/>
      <c r="G47" s="286" t="s">
        <v>185</v>
      </c>
      <c r="H47" s="287">
        <f>K44*0.5</f>
        <v>108662.61500000001</v>
      </c>
      <c r="I47" s="12"/>
      <c r="J47" s="282" t="s">
        <v>198</v>
      </c>
      <c r="K47" s="283">
        <v>46279.67</v>
      </c>
      <c r="L47" s="12"/>
      <c r="M47" s="12"/>
      <c r="N47" s="12"/>
      <c r="O47" s="12"/>
      <c r="P47" s="12"/>
      <c r="Q47" s="12"/>
      <c r="R47" s="317" t="s">
        <v>148</v>
      </c>
      <c r="S47" s="318"/>
      <c r="T47" s="254">
        <f>$G$39</f>
        <v>94215.393471654243</v>
      </c>
      <c r="U47" s="256">
        <f>T47/40000</f>
        <v>2.3553848367913561</v>
      </c>
    </row>
    <row r="48" spans="1:45" ht="24" thickBot="1" x14ac:dyDescent="0.3">
      <c r="A48" s="286" t="s">
        <v>186</v>
      </c>
      <c r="B48" s="287">
        <f>K47</f>
        <v>46279.67</v>
      </c>
      <c r="C48" s="12"/>
      <c r="D48" s="286" t="s">
        <v>186</v>
      </c>
      <c r="E48" s="287">
        <f>K47*0.5</f>
        <v>23139.834999999999</v>
      </c>
      <c r="F48" s="23"/>
      <c r="G48" s="286" t="s">
        <v>186</v>
      </c>
      <c r="H48" s="287">
        <f>K47*0.5</f>
        <v>23139.834999999999</v>
      </c>
      <c r="I48" s="12"/>
      <c r="J48" s="12"/>
      <c r="K48" s="86"/>
      <c r="L48" s="12"/>
      <c r="M48" s="12"/>
      <c r="N48" s="12"/>
      <c r="O48" s="12"/>
      <c r="P48" s="12"/>
      <c r="Q48" s="12"/>
      <c r="R48" s="317" t="s">
        <v>150</v>
      </c>
      <c r="S48" s="318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194</v>
      </c>
      <c r="B49" s="292">
        <f>AF40</f>
        <v>452.12968850367594</v>
      </c>
      <c r="C49" s="12"/>
      <c r="D49" s="291" t="s">
        <v>195</v>
      </c>
      <c r="E49" s="292">
        <f>AH40</f>
        <v>167.03414252592626</v>
      </c>
      <c r="F49" s="23"/>
      <c r="G49" s="291" t="s">
        <v>196</v>
      </c>
      <c r="H49" s="292">
        <f>AG40</f>
        <v>279.72780764982099</v>
      </c>
      <c r="I49" s="12"/>
      <c r="J49" s="12"/>
      <c r="K49" s="86"/>
      <c r="L49" s="12"/>
      <c r="M49" s="12"/>
      <c r="N49" s="12"/>
      <c r="O49" s="12"/>
      <c r="P49" s="12"/>
      <c r="Q49" s="12"/>
      <c r="R49" s="317" t="s">
        <v>152</v>
      </c>
      <c r="S49" s="318"/>
      <c r="T49" s="254">
        <f>$E$39+$K$39</f>
        <v>1064.2166510964432</v>
      </c>
      <c r="U49" s="256">
        <f>(T49*8.34*1.04)/45000</f>
        <v>0.20512421211000242</v>
      </c>
    </row>
    <row r="50" spans="1:25" ht="48" customHeight="1" thickTop="1" thickBot="1" x14ac:dyDescent="0.3">
      <c r="A50" s="291" t="s">
        <v>223</v>
      </c>
      <c r="B50" s="292">
        <f>SUM(E50+H50)</f>
        <v>473.44582933795004</v>
      </c>
      <c r="C50" s="12"/>
      <c r="D50" s="291" t="s">
        <v>224</v>
      </c>
      <c r="E50" s="292">
        <f>AE40</f>
        <v>178.31904022261031</v>
      </c>
      <c r="F50" s="23"/>
      <c r="G50" s="291" t="s">
        <v>225</v>
      </c>
      <c r="H50" s="292">
        <f>AD40</f>
        <v>295.12678911533976</v>
      </c>
      <c r="I50" s="12"/>
      <c r="J50" s="12"/>
      <c r="K50" s="86"/>
      <c r="L50" s="12"/>
      <c r="M50" s="12"/>
      <c r="N50" s="12"/>
      <c r="O50" s="12"/>
      <c r="P50" s="12"/>
      <c r="Q50" s="12"/>
      <c r="R50" s="317"/>
      <c r="S50" s="318"/>
      <c r="T50" s="254"/>
      <c r="U50" s="256"/>
    </row>
    <row r="51" spans="1:25" ht="48" thickTop="1" thickBot="1" x14ac:dyDescent="0.3">
      <c r="A51" s="291" t="s">
        <v>190</v>
      </c>
      <c r="B51" s="293">
        <f>(SUM(B44:B48)/B50)</f>
        <v>932.94085567904085</v>
      </c>
      <c r="C51" s="12"/>
      <c r="D51" s="291" t="s">
        <v>188</v>
      </c>
      <c r="E51" s="293">
        <f>SUM(E44:E48)/E50</f>
        <v>1429.0339239249718</v>
      </c>
      <c r="F51" s="374">
        <f>E44/E49</f>
        <v>615.50594488145009</v>
      </c>
      <c r="G51" s="291" t="s">
        <v>189</v>
      </c>
      <c r="H51" s="293">
        <f>SUM(H44:H48)/H50</f>
        <v>630.81086671588537</v>
      </c>
      <c r="I51" s="373">
        <f>H44/H49</f>
        <v>123.65990229577356</v>
      </c>
      <c r="J51" s="12"/>
      <c r="K51" s="86"/>
      <c r="L51" s="12"/>
      <c r="M51" s="12"/>
      <c r="N51" s="12"/>
      <c r="O51" s="12"/>
      <c r="P51" s="12"/>
      <c r="Q51" s="12"/>
      <c r="R51" s="317" t="s">
        <v>153</v>
      </c>
      <c r="S51" s="318"/>
      <c r="T51" s="254">
        <f>$U$39+$V$39+$AB$39</f>
        <v>14028.265725893449</v>
      </c>
      <c r="U51" s="256">
        <f>T51/2000/8</f>
        <v>0.8767666078683406</v>
      </c>
    </row>
    <row r="52" spans="1:25" ht="47.25" customHeight="1" thickTop="1" thickBot="1" x14ac:dyDescent="0.3">
      <c r="A52" s="281" t="s">
        <v>191</v>
      </c>
      <c r="B52" s="294">
        <f>B51/1000</f>
        <v>0.93294085567904084</v>
      </c>
      <c r="C52" s="12"/>
      <c r="D52" s="281" t="s">
        <v>192</v>
      </c>
      <c r="E52" s="294">
        <f>E51/1000</f>
        <v>1.4290339239249719</v>
      </c>
      <c r="F52" s="12"/>
      <c r="G52" s="281" t="s">
        <v>193</v>
      </c>
      <c r="H52" s="294">
        <f>H51/1000</f>
        <v>0.63081086671588538</v>
      </c>
      <c r="I52" s="12"/>
      <c r="J52" s="12"/>
      <c r="K52" s="86"/>
      <c r="L52" s="12"/>
      <c r="M52" s="12"/>
      <c r="N52" s="12"/>
      <c r="O52" s="12"/>
      <c r="P52" s="12"/>
      <c r="Q52" s="12"/>
      <c r="R52" s="317" t="s">
        <v>154</v>
      </c>
      <c r="S52" s="318"/>
      <c r="T52" s="254">
        <f>$C$39+$J$39+$S$39+$T$39</f>
        <v>12425.092569228013</v>
      </c>
      <c r="U52" s="256">
        <f>(T52*8.34*1.4)/45000</f>
        <v>3.2238973519623615</v>
      </c>
    </row>
    <row r="53" spans="1:25" ht="16.5" thickTop="1" thickBot="1" x14ac:dyDescent="0.3">
      <c r="A53" s="302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7" t="s">
        <v>155</v>
      </c>
      <c r="S53" s="318"/>
      <c r="T53" s="254">
        <f>$H$39</f>
        <v>763.37223351697128</v>
      </c>
      <c r="U53" s="256">
        <f>(T53*8.34*1.135)/45000</f>
        <v>0.16057789389440663</v>
      </c>
    </row>
    <row r="54" spans="1:25" ht="48" customHeight="1" thickTop="1" thickBot="1" x14ac:dyDescent="0.3">
      <c r="A54" s="618" t="s">
        <v>51</v>
      </c>
      <c r="B54" s="619"/>
      <c r="C54" s="619"/>
      <c r="D54" s="619"/>
      <c r="E54" s="62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7" t="s">
        <v>156</v>
      </c>
      <c r="S54" s="318"/>
      <c r="T54" s="254">
        <f>$B$39+$I$39+$AC$39</f>
        <v>3562.186684127646</v>
      </c>
      <c r="U54" s="256">
        <f>(T54*8.34*1.029*0.03)/3300</f>
        <v>0.27791079470043339</v>
      </c>
    </row>
    <row r="55" spans="1:25" ht="45.75" customHeight="1" thickBot="1" x14ac:dyDescent="0.3">
      <c r="A55" s="623" t="s">
        <v>200</v>
      </c>
      <c r="B55" s="624"/>
      <c r="C55" s="624"/>
      <c r="D55" s="624"/>
      <c r="E55" s="62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1" t="s">
        <v>158</v>
      </c>
      <c r="S55" s="632"/>
      <c r="T55" s="258">
        <f>$D$39+$Y$39+$Z$39</f>
        <v>31990.908029937724</v>
      </c>
      <c r="U55" s="259">
        <f>(T55*1.54*8.34)/45000</f>
        <v>9.1306316971846258</v>
      </c>
    </row>
    <row r="56" spans="1:25" ht="24" thickTop="1" x14ac:dyDescent="0.25">
      <c r="A56" s="661"/>
      <c r="B56" s="66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ht="15.75" customHeight="1" x14ac:dyDescent="0.25">
      <c r="A57" s="663"/>
      <c r="B57" s="663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59"/>
      <c r="B58" s="66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60"/>
      <c r="B59" s="66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59"/>
      <c r="B60" s="66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60"/>
      <c r="B61" s="660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</sheetData>
  <sheetProtection algorithmName="SHA-512" hashValue="r/X8qxcc72fdB68wjxT8/EO57eFf6BStFyRk551gl4yzzmE6BobC4RdEhZTrl5W6sri/GN18KA4U1KJsVTVw0A==" saltValue="xZsD/pIyCZVPJyVP7KRbVA==" spinCount="100000" sheet="1" objects="1" scenarios="1" selectLockedCells="1" selectUnlockedCells="1"/>
  <mergeCells count="36"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AP4:AP5"/>
    <mergeCell ref="AQ4:AQ5"/>
    <mergeCell ref="AR4:AR5"/>
    <mergeCell ref="AS4:AS5"/>
    <mergeCell ref="AJ4:AJ5"/>
    <mergeCell ref="AK4:AK5"/>
    <mergeCell ref="AL4:AL5"/>
    <mergeCell ref="AM4:AM5"/>
    <mergeCell ref="AN4:AN5"/>
    <mergeCell ref="AO4:AO5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  <mergeCell ref="AD4:AD5"/>
    <mergeCell ref="AE4:AE5"/>
    <mergeCell ref="R43:U43"/>
    <mergeCell ref="A54:E54"/>
    <mergeCell ref="A55:E55"/>
    <mergeCell ref="R55:S55"/>
    <mergeCell ref="A42:K42"/>
  </mergeCells>
  <pageMargins left="0.33" right="0.19" top="0.75" bottom="0.75" header="0.3" footer="0.3"/>
  <pageSetup scale="52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W64"/>
  <sheetViews>
    <sheetView topLeftCell="A44" zoomScale="75" zoomScaleNormal="75" workbookViewId="0">
      <selection activeCell="C39" sqref="C39"/>
    </sheetView>
  </sheetViews>
  <sheetFormatPr defaultRowHeight="15" x14ac:dyDescent="0.25"/>
  <cols>
    <col min="1" max="1" width="35" bestFit="1" customWidth="1"/>
    <col min="2" max="2" width="19.1406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8" width="17.42578125" bestFit="1" customWidth="1"/>
    <col min="9" max="9" width="14.85546875" bestFit="1" customWidth="1"/>
    <col min="10" max="10" width="16.28515625" bestFit="1" customWidth="1"/>
    <col min="11" max="11" width="19.140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20" width="25.85546875" bestFit="1" customWidth="1"/>
    <col min="21" max="22" width="14.5703125" bestFit="1" customWidth="1"/>
    <col min="23" max="23" width="20.42578125" bestFit="1" customWidth="1"/>
    <col min="24" max="24" width="20.140625" bestFit="1" customWidth="1"/>
    <col min="25" max="25" width="22.7109375" bestFit="1" customWidth="1"/>
    <col min="26" max="26" width="22.42578125" bestFit="1" customWidth="1"/>
    <col min="27" max="27" width="21.42578125" bestFit="1" customWidth="1"/>
    <col min="28" max="28" width="33" bestFit="1" customWidth="1"/>
    <col min="29" max="31" width="36.7109375" customWidth="1"/>
    <col min="32" max="32" width="33.42578125" bestFit="1" customWidth="1"/>
    <col min="33" max="33" width="26.85546875" customWidth="1"/>
    <col min="34" max="34" width="23" customWidth="1"/>
    <col min="35" max="35" width="22.28515625" customWidth="1"/>
    <col min="36" max="36" width="22.5703125" bestFit="1" customWidth="1"/>
    <col min="37" max="37" width="16" bestFit="1" customWidth="1"/>
    <col min="38" max="38" width="16.7109375" bestFit="1" customWidth="1"/>
    <col min="39" max="40" width="15.140625" bestFit="1" customWidth="1"/>
    <col min="41" max="41" width="21.28515625" bestFit="1" customWidth="1"/>
    <col min="42" max="42" width="18.28515625" bestFit="1" customWidth="1"/>
    <col min="43" max="45" width="15.14062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37" t="s">
        <v>3</v>
      </c>
      <c r="C4" s="638"/>
      <c r="D4" s="638"/>
      <c r="E4" s="638"/>
      <c r="F4" s="638"/>
      <c r="G4" s="638"/>
      <c r="H4" s="639"/>
      <c r="I4" s="637" t="s">
        <v>4</v>
      </c>
      <c r="J4" s="638"/>
      <c r="K4" s="638"/>
      <c r="L4" s="638"/>
      <c r="M4" s="638"/>
      <c r="N4" s="639"/>
      <c r="O4" s="643" t="s">
        <v>5</v>
      </c>
      <c r="P4" s="644"/>
      <c r="Q4" s="645"/>
      <c r="R4" s="645"/>
      <c r="S4" s="645"/>
      <c r="T4" s="646"/>
      <c r="U4" s="637" t="s">
        <v>6</v>
      </c>
      <c r="V4" s="650"/>
      <c r="W4" s="650"/>
      <c r="X4" s="650"/>
      <c r="Y4" s="650"/>
      <c r="Z4" s="650"/>
      <c r="AA4" s="651"/>
      <c r="AB4" s="655" t="s">
        <v>7</v>
      </c>
      <c r="AC4" s="657" t="s">
        <v>8</v>
      </c>
      <c r="AD4" s="621" t="s">
        <v>222</v>
      </c>
      <c r="AE4" s="621" t="s">
        <v>221</v>
      </c>
      <c r="AF4" s="621" t="s">
        <v>27</v>
      </c>
      <c r="AG4" s="621" t="s">
        <v>31</v>
      </c>
      <c r="AH4" s="621" t="s">
        <v>32</v>
      </c>
      <c r="AI4" s="621" t="s">
        <v>33</v>
      </c>
      <c r="AJ4" s="655" t="s">
        <v>173</v>
      </c>
      <c r="AK4" s="655" t="s">
        <v>174</v>
      </c>
      <c r="AL4" s="655" t="s">
        <v>175</v>
      </c>
      <c r="AM4" s="655" t="s">
        <v>176</v>
      </c>
      <c r="AN4" s="655" t="s">
        <v>177</v>
      </c>
      <c r="AO4" s="655" t="s">
        <v>178</v>
      </c>
      <c r="AP4" s="655" t="s">
        <v>179</v>
      </c>
      <c r="AQ4" s="655" t="s">
        <v>182</v>
      </c>
      <c r="AR4" s="655" t="s">
        <v>180</v>
      </c>
      <c r="AS4" s="655" t="s">
        <v>181</v>
      </c>
      <c r="AV4" t="s">
        <v>169</v>
      </c>
      <c r="AW4" s="337" t="s">
        <v>207</v>
      </c>
    </row>
    <row r="5" spans="1:49" ht="30" customHeight="1" thickBot="1" x14ac:dyDescent="0.3">
      <c r="A5" s="13"/>
      <c r="B5" s="640"/>
      <c r="C5" s="641"/>
      <c r="D5" s="641"/>
      <c r="E5" s="641"/>
      <c r="F5" s="641"/>
      <c r="G5" s="641"/>
      <c r="H5" s="642"/>
      <c r="I5" s="640"/>
      <c r="J5" s="641"/>
      <c r="K5" s="641"/>
      <c r="L5" s="641"/>
      <c r="M5" s="641"/>
      <c r="N5" s="642"/>
      <c r="O5" s="647"/>
      <c r="P5" s="648"/>
      <c r="Q5" s="648"/>
      <c r="R5" s="648"/>
      <c r="S5" s="648"/>
      <c r="T5" s="649"/>
      <c r="U5" s="652"/>
      <c r="V5" s="653"/>
      <c r="W5" s="653"/>
      <c r="X5" s="653"/>
      <c r="Y5" s="653"/>
      <c r="Z5" s="653"/>
      <c r="AA5" s="654"/>
      <c r="AB5" s="656"/>
      <c r="AC5" s="658"/>
      <c r="AD5" s="622"/>
      <c r="AE5" s="622"/>
      <c r="AF5" s="636"/>
      <c r="AG5" s="636"/>
      <c r="AH5" s="636"/>
      <c r="AI5" s="636"/>
      <c r="AJ5" s="622"/>
      <c r="AK5" s="622"/>
      <c r="AL5" s="622"/>
      <c r="AM5" s="622"/>
      <c r="AN5" s="622"/>
      <c r="AO5" s="622"/>
      <c r="AP5" s="622"/>
      <c r="AQ5" s="622"/>
      <c r="AR5" s="622"/>
      <c r="AS5" s="622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6" t="s">
        <v>23</v>
      </c>
      <c r="AD7" s="398" t="s">
        <v>28</v>
      </c>
      <c r="AE7" s="398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43556</v>
      </c>
      <c r="B8" s="49"/>
      <c r="C8" s="50">
        <v>53.05259849031782</v>
      </c>
      <c r="D8" s="50">
        <v>918.56908651987658</v>
      </c>
      <c r="E8" s="50">
        <v>15.798317650953919</v>
      </c>
      <c r="F8" s="50">
        <v>0</v>
      </c>
      <c r="G8" s="50">
        <v>3067.1431406656889</v>
      </c>
      <c r="H8" s="51">
        <v>26.078824092944473</v>
      </c>
      <c r="I8" s="49">
        <v>120.39451055526733</v>
      </c>
      <c r="J8" s="50">
        <v>368.02211476961691</v>
      </c>
      <c r="K8" s="50">
        <v>20.125369322796683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251.42476025919385</v>
      </c>
      <c r="V8" s="54">
        <v>150.84367288781445</v>
      </c>
      <c r="W8" s="54">
        <v>40.398446669640613</v>
      </c>
      <c r="X8" s="54">
        <v>24.237271095849643</v>
      </c>
      <c r="Y8" s="54">
        <v>113.18084022161115</v>
      </c>
      <c r="Z8" s="54">
        <v>67.903469896745818</v>
      </c>
      <c r="AA8" s="55">
        <v>0</v>
      </c>
      <c r="AB8" s="56">
        <v>75.958698119058866</v>
      </c>
      <c r="AC8" s="57">
        <v>0</v>
      </c>
      <c r="AD8" s="408">
        <v>10.414480426037986</v>
      </c>
      <c r="AE8" s="408">
        <v>5.9503195783621843</v>
      </c>
      <c r="AF8" s="57">
        <v>16.259019643068303</v>
      </c>
      <c r="AG8" s="58">
        <v>10.00088047326186</v>
      </c>
      <c r="AH8" s="58">
        <v>6.0000834489954702</v>
      </c>
      <c r="AI8" s="58">
        <v>0.62501737531891077</v>
      </c>
      <c r="AJ8" s="57">
        <v>287.67204591433205</v>
      </c>
      <c r="AK8" s="57">
        <v>1305.508493932088</v>
      </c>
      <c r="AL8" s="57">
        <v>2885.6283186594646</v>
      </c>
      <c r="AM8" s="57">
        <v>177.75645446777344</v>
      </c>
      <c r="AN8" s="57">
        <v>1258.8463439941406</v>
      </c>
      <c r="AO8" s="57">
        <v>2544.0394002278645</v>
      </c>
      <c r="AP8" s="57">
        <v>614.61542189915986</v>
      </c>
      <c r="AQ8" s="57">
        <v>2107.0035835266112</v>
      </c>
      <c r="AR8" s="57">
        <v>433.72865001360577</v>
      </c>
      <c r="AS8" s="57">
        <v>596.75244398117081</v>
      </c>
    </row>
    <row r="9" spans="1:49" x14ac:dyDescent="0.25">
      <c r="A9" s="11">
        <v>43557</v>
      </c>
      <c r="B9" s="59"/>
      <c r="C9" s="60">
        <v>59.125092673301651</v>
      </c>
      <c r="D9" s="60">
        <v>918.25252513885357</v>
      </c>
      <c r="E9" s="60">
        <v>15.823260705669707</v>
      </c>
      <c r="F9" s="60">
        <v>0</v>
      </c>
      <c r="G9" s="60">
        <v>3109.7605223337855</v>
      </c>
      <c r="H9" s="61">
        <v>26.125999895731642</v>
      </c>
      <c r="I9" s="59">
        <v>121.15344374974586</v>
      </c>
      <c r="J9" s="60">
        <v>367.77054893175699</v>
      </c>
      <c r="K9" s="60">
        <v>20.052510981758424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251.85871340681345</v>
      </c>
      <c r="V9" s="62">
        <v>151.1480843413274</v>
      </c>
      <c r="W9" s="62">
        <v>39.788978333509775</v>
      </c>
      <c r="X9" s="62">
        <v>23.878577682140612</v>
      </c>
      <c r="Y9" s="66">
        <v>110.32165484661375</v>
      </c>
      <c r="Z9" s="66">
        <v>66.207384949579776</v>
      </c>
      <c r="AA9" s="67">
        <v>0</v>
      </c>
      <c r="AB9" s="68">
        <v>74.376916159525521</v>
      </c>
      <c r="AC9" s="69">
        <v>0</v>
      </c>
      <c r="AD9" s="409">
        <v>10.406406614985883</v>
      </c>
      <c r="AE9" s="409">
        <v>5.9479441229666605</v>
      </c>
      <c r="AF9" s="69">
        <v>16.257508167293349</v>
      </c>
      <c r="AG9" s="68">
        <v>9.9982791716833823</v>
      </c>
      <c r="AH9" s="68">
        <v>6.0002718312498704</v>
      </c>
      <c r="AI9" s="68">
        <v>0.6249490450635341</v>
      </c>
      <c r="AJ9" s="69">
        <v>294.99668881098427</v>
      </c>
      <c r="AK9" s="69">
        <v>1308.5077446619666</v>
      </c>
      <c r="AL9" s="69">
        <v>3049.1138066609701</v>
      </c>
      <c r="AM9" s="69">
        <v>177.75645446777344</v>
      </c>
      <c r="AN9" s="69">
        <v>1258.8463439941406</v>
      </c>
      <c r="AO9" s="69">
        <v>2513.3090288798021</v>
      </c>
      <c r="AP9" s="69">
        <v>601.13614905675252</v>
      </c>
      <c r="AQ9" s="69">
        <v>2078.2828465779617</v>
      </c>
      <c r="AR9" s="69">
        <v>440.55408476193747</v>
      </c>
      <c r="AS9" s="69">
        <v>565.38569701512642</v>
      </c>
    </row>
    <row r="10" spans="1:49" x14ac:dyDescent="0.25">
      <c r="A10" s="11">
        <v>43558</v>
      </c>
      <c r="B10" s="59"/>
      <c r="C10" s="60">
        <v>62.968511303265224</v>
      </c>
      <c r="D10" s="60">
        <v>918.67261161804356</v>
      </c>
      <c r="E10" s="60">
        <v>15.866663459936762</v>
      </c>
      <c r="F10" s="60">
        <v>0</v>
      </c>
      <c r="G10" s="60">
        <v>2985.9034114837664</v>
      </c>
      <c r="H10" s="61">
        <v>26.153431900342344</v>
      </c>
      <c r="I10" s="59">
        <v>121.1442432483037</v>
      </c>
      <c r="J10" s="60">
        <v>367.6369943618767</v>
      </c>
      <c r="K10" s="60">
        <v>20.230502607921764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256.08448859687962</v>
      </c>
      <c r="V10" s="62">
        <v>153.6239348268881</v>
      </c>
      <c r="W10" s="62">
        <v>40.05635402384717</v>
      </c>
      <c r="X10" s="62">
        <v>24.029626916017886</v>
      </c>
      <c r="Y10" s="66">
        <v>109.21128266920613</v>
      </c>
      <c r="Z10" s="66">
        <v>65.515358087719051</v>
      </c>
      <c r="AA10" s="67">
        <v>0</v>
      </c>
      <c r="AB10" s="68">
        <v>74.379650661682135</v>
      </c>
      <c r="AC10" s="69">
        <v>0</v>
      </c>
      <c r="AD10" s="409">
        <v>10.40292812574269</v>
      </c>
      <c r="AE10" s="409">
        <v>5.9508126516501711</v>
      </c>
      <c r="AF10" s="69">
        <v>16.255481669637884</v>
      </c>
      <c r="AG10" s="68">
        <v>10.00042855870452</v>
      </c>
      <c r="AH10" s="68">
        <v>5.9992121879813594</v>
      </c>
      <c r="AI10" s="68">
        <v>0.62504081916814169</v>
      </c>
      <c r="AJ10" s="69">
        <v>320.17727514902748</v>
      </c>
      <c r="AK10" s="69">
        <v>1336.8125025431314</v>
      </c>
      <c r="AL10" s="69">
        <v>2782.1732575734454</v>
      </c>
      <c r="AM10" s="69">
        <v>177.75645446777344</v>
      </c>
      <c r="AN10" s="69">
        <v>1258.8463439941406</v>
      </c>
      <c r="AO10" s="69">
        <v>2503.2840002695721</v>
      </c>
      <c r="AP10" s="69">
        <v>592.11395095189414</v>
      </c>
      <c r="AQ10" s="69">
        <v>2066.3410292307531</v>
      </c>
      <c r="AR10" s="69">
        <v>428.12813901901245</v>
      </c>
      <c r="AS10" s="69">
        <v>634.09933935801178</v>
      </c>
    </row>
    <row r="11" spans="1:49" x14ac:dyDescent="0.25">
      <c r="A11" s="11">
        <v>43559</v>
      </c>
      <c r="B11" s="59"/>
      <c r="C11" s="60">
        <v>63.198201227188193</v>
      </c>
      <c r="D11" s="60">
        <v>919.93107891082923</v>
      </c>
      <c r="E11" s="60">
        <v>15.791240489482863</v>
      </c>
      <c r="F11" s="60">
        <v>0</v>
      </c>
      <c r="G11" s="60">
        <v>2993.0214987436934</v>
      </c>
      <c r="H11" s="61">
        <v>26.113443710406674</v>
      </c>
      <c r="I11" s="59">
        <v>121.08482933044431</v>
      </c>
      <c r="J11" s="60">
        <v>367.48135717709738</v>
      </c>
      <c r="K11" s="60">
        <v>20.254336245357983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253.08089338237281</v>
      </c>
      <c r="V11" s="62">
        <v>151.83920201896646</v>
      </c>
      <c r="W11" s="62">
        <v>39.759710029691007</v>
      </c>
      <c r="X11" s="62">
        <v>23.854359618892769</v>
      </c>
      <c r="Y11" s="66">
        <v>110.00922459639375</v>
      </c>
      <c r="Z11" s="66">
        <v>66.001477449364444</v>
      </c>
      <c r="AA11" s="67">
        <v>0</v>
      </c>
      <c r="AB11" s="68">
        <v>74.68385247654399</v>
      </c>
      <c r="AC11" s="69">
        <v>0</v>
      </c>
      <c r="AD11" s="409">
        <v>10.400174331292423</v>
      </c>
      <c r="AE11" s="409">
        <v>5.9593064028837262</v>
      </c>
      <c r="AF11" s="69">
        <v>16.089815691444628</v>
      </c>
      <c r="AG11" s="68">
        <v>9.8874646739988687</v>
      </c>
      <c r="AH11" s="68">
        <v>5.9321141395784069</v>
      </c>
      <c r="AI11" s="68">
        <v>0.62501440717959422</v>
      </c>
      <c r="AJ11" s="69">
        <v>316.20073719024668</v>
      </c>
      <c r="AK11" s="69">
        <v>1342.9207181294757</v>
      </c>
      <c r="AL11" s="69">
        <v>2799.6465117136636</v>
      </c>
      <c r="AM11" s="69">
        <v>177.75645446777344</v>
      </c>
      <c r="AN11" s="69">
        <v>1258.8463439941406</v>
      </c>
      <c r="AO11" s="69">
        <v>2473.1437920888266</v>
      </c>
      <c r="AP11" s="69">
        <v>590.12443246841417</v>
      </c>
      <c r="AQ11" s="69">
        <v>2073.5696269989016</v>
      </c>
      <c r="AR11" s="69">
        <v>424.75139328638716</v>
      </c>
      <c r="AS11" s="69">
        <v>672.53562170664463</v>
      </c>
    </row>
    <row r="12" spans="1:49" x14ac:dyDescent="0.25">
      <c r="A12" s="11">
        <v>43560</v>
      </c>
      <c r="B12" s="59"/>
      <c r="C12" s="60">
        <v>62.779345671336003</v>
      </c>
      <c r="D12" s="60">
        <v>919.68238410949925</v>
      </c>
      <c r="E12" s="60">
        <v>15.681585921843826</v>
      </c>
      <c r="F12" s="60">
        <v>0</v>
      </c>
      <c r="G12" s="60">
        <v>3060.9862234751358</v>
      </c>
      <c r="H12" s="61">
        <v>25.946930744250547</v>
      </c>
      <c r="I12" s="59">
        <v>121.77797526518509</v>
      </c>
      <c r="J12" s="60">
        <v>368.9133229414611</v>
      </c>
      <c r="K12" s="60">
        <v>20.290276649097606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253.44100459659543</v>
      </c>
      <c r="V12" s="62">
        <v>146.67791261430247</v>
      </c>
      <c r="W12" s="62">
        <v>39.440855414119724</v>
      </c>
      <c r="X12" s="62">
        <v>22.82622874334718</v>
      </c>
      <c r="Y12" s="66">
        <v>109.2737221882108</v>
      </c>
      <c r="Z12" s="66">
        <v>63.2417058939375</v>
      </c>
      <c r="AA12" s="67">
        <v>0</v>
      </c>
      <c r="AB12" s="68">
        <v>75.44511923260103</v>
      </c>
      <c r="AC12" s="69">
        <v>0</v>
      </c>
      <c r="AD12" s="409">
        <v>10.440634599950533</v>
      </c>
      <c r="AE12" s="409">
        <v>5.9572211384602012</v>
      </c>
      <c r="AF12" s="69">
        <v>15.867611517839954</v>
      </c>
      <c r="AG12" s="68">
        <v>9.8837022845678177</v>
      </c>
      <c r="AH12" s="68">
        <v>5.7201510162459916</v>
      </c>
      <c r="AI12" s="68">
        <v>0.63341420186591602</v>
      </c>
      <c r="AJ12" s="69">
        <v>309.93513145446781</v>
      </c>
      <c r="AK12" s="69">
        <v>1343.5923842748009</v>
      </c>
      <c r="AL12" s="69">
        <v>2753.7661523183187</v>
      </c>
      <c r="AM12" s="69">
        <v>177.75645446777344</v>
      </c>
      <c r="AN12" s="69">
        <v>1258.8463439941406</v>
      </c>
      <c r="AO12" s="69">
        <v>2439.9043228149412</v>
      </c>
      <c r="AP12" s="69">
        <v>576.3044731616975</v>
      </c>
      <c r="AQ12" s="69">
        <v>2030.9358441034954</v>
      </c>
      <c r="AR12" s="69">
        <v>405.63198008537302</v>
      </c>
      <c r="AS12" s="69">
        <v>759.51577081680296</v>
      </c>
    </row>
    <row r="13" spans="1:49" x14ac:dyDescent="0.25">
      <c r="A13" s="11">
        <v>43561</v>
      </c>
      <c r="B13" s="59"/>
      <c r="C13" s="60">
        <v>62.661433760325878</v>
      </c>
      <c r="D13" s="60">
        <v>919.28327382405632</v>
      </c>
      <c r="E13" s="60">
        <v>15.795237435897182</v>
      </c>
      <c r="F13" s="60">
        <v>0</v>
      </c>
      <c r="G13" s="60">
        <v>3085.4160507202173</v>
      </c>
      <c r="H13" s="61">
        <v>25.985741221904778</v>
      </c>
      <c r="I13" s="59">
        <v>121.67583813667309</v>
      </c>
      <c r="J13" s="60">
        <v>369.15208878517114</v>
      </c>
      <c r="K13" s="60">
        <v>20.261079892516136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252.96911217465257</v>
      </c>
      <c r="V13" s="62">
        <v>151.77119082251406</v>
      </c>
      <c r="W13" s="62">
        <v>39.674277549655933</v>
      </c>
      <c r="X13" s="62">
        <v>23.802954823104923</v>
      </c>
      <c r="Y13" s="66">
        <v>110.60955608125468</v>
      </c>
      <c r="Z13" s="66">
        <v>66.361240305146481</v>
      </c>
      <c r="AA13" s="67">
        <v>0</v>
      </c>
      <c r="AB13" s="68">
        <v>75.685505416657335</v>
      </c>
      <c r="AC13" s="69">
        <v>0</v>
      </c>
      <c r="AD13" s="409">
        <v>10.445442119890654</v>
      </c>
      <c r="AE13" s="409">
        <v>5.9548746682867915</v>
      </c>
      <c r="AF13" s="69">
        <v>16.084809520509495</v>
      </c>
      <c r="AG13" s="68">
        <v>9.8899815620810987</v>
      </c>
      <c r="AH13" s="68">
        <v>5.9335871719130671</v>
      </c>
      <c r="AI13" s="68">
        <v>0.62501586894454508</v>
      </c>
      <c r="AJ13" s="69">
        <v>312.037698952357</v>
      </c>
      <c r="AK13" s="69">
        <v>1340.9464492162069</v>
      </c>
      <c r="AL13" s="69">
        <v>3466.3982997894282</v>
      </c>
      <c r="AM13" s="69">
        <v>177.75645446777344</v>
      </c>
      <c r="AN13" s="69">
        <v>1258.8463439941406</v>
      </c>
      <c r="AO13" s="69">
        <v>2416.7269913991295</v>
      </c>
      <c r="AP13" s="69">
        <v>574.52110603650397</v>
      </c>
      <c r="AQ13" s="69">
        <v>2055.7106396992999</v>
      </c>
      <c r="AR13" s="69">
        <v>400.85469787915554</v>
      </c>
      <c r="AS13" s="69">
        <v>610.59815988540652</v>
      </c>
    </row>
    <row r="14" spans="1:49" x14ac:dyDescent="0.25">
      <c r="A14" s="11">
        <v>43562</v>
      </c>
      <c r="B14" s="59"/>
      <c r="C14" s="60">
        <v>62.844955102602448</v>
      </c>
      <c r="D14" s="60">
        <v>919.01928927103904</v>
      </c>
      <c r="E14" s="60">
        <v>15.876986610889409</v>
      </c>
      <c r="F14" s="60">
        <v>0</v>
      </c>
      <c r="G14" s="60">
        <v>3086.5839748382564</v>
      </c>
      <c r="H14" s="61">
        <v>26.002239396174776</v>
      </c>
      <c r="I14" s="59">
        <v>122.42091257572184</v>
      </c>
      <c r="J14" s="60">
        <v>371.30061510403891</v>
      </c>
      <c r="K14" s="60">
        <v>20.238885258634873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250.32159558507749</v>
      </c>
      <c r="V14" s="62">
        <v>150.19027215003968</v>
      </c>
      <c r="W14" s="62">
        <v>38.98558481066015</v>
      </c>
      <c r="X14" s="62">
        <v>23.390932687833001</v>
      </c>
      <c r="Y14" s="66">
        <v>107.77834400997662</v>
      </c>
      <c r="Z14" s="66">
        <v>64.665850267151171</v>
      </c>
      <c r="AA14" s="67">
        <v>0</v>
      </c>
      <c r="AB14" s="68">
        <v>75.462842559814234</v>
      </c>
      <c r="AC14" s="69">
        <v>0</v>
      </c>
      <c r="AD14" s="409">
        <v>10.506885094253546</v>
      </c>
      <c r="AE14" s="409">
        <v>5.9535448229982562</v>
      </c>
      <c r="AF14" s="69">
        <v>15.829358367456342</v>
      </c>
      <c r="AG14" s="68">
        <v>9.7265110549302598</v>
      </c>
      <c r="AH14" s="68">
        <v>5.8358022966254604</v>
      </c>
      <c r="AI14" s="68">
        <v>0.62500419026442022</v>
      </c>
      <c r="AJ14" s="69">
        <v>326.76746829350782</v>
      </c>
      <c r="AK14" s="69">
        <v>1364.6142358779907</v>
      </c>
      <c r="AL14" s="69">
        <v>2834.6742802937824</v>
      </c>
      <c r="AM14" s="69">
        <v>177.75645446777344</v>
      </c>
      <c r="AN14" s="69">
        <v>1258.8463439941406</v>
      </c>
      <c r="AO14" s="69">
        <v>2466.6082440694172</v>
      </c>
      <c r="AP14" s="69">
        <v>571.22965726852431</v>
      </c>
      <c r="AQ14" s="69">
        <v>2052.5095645268757</v>
      </c>
      <c r="AR14" s="69">
        <v>399.38132602373764</v>
      </c>
      <c r="AS14" s="69">
        <v>608.46514609654753</v>
      </c>
    </row>
    <row r="15" spans="1:49" x14ac:dyDescent="0.25">
      <c r="A15" s="11">
        <v>43563</v>
      </c>
      <c r="B15" s="59"/>
      <c r="C15" s="60">
        <v>62.870210941632962</v>
      </c>
      <c r="D15" s="60">
        <v>920.50413754781175</v>
      </c>
      <c r="E15" s="60">
        <v>16.23634058932462</v>
      </c>
      <c r="F15" s="60">
        <v>0</v>
      </c>
      <c r="G15" s="60">
        <v>3087.2588197072337</v>
      </c>
      <c r="H15" s="61">
        <v>26.113835964600316</v>
      </c>
      <c r="I15" s="59">
        <v>122.16437906424196</v>
      </c>
      <c r="J15" s="60">
        <v>370.6098256746925</v>
      </c>
      <c r="K15" s="60">
        <v>20.264388312896077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248.99141200326997</v>
      </c>
      <c r="V15" s="62">
        <v>149.32271526181293</v>
      </c>
      <c r="W15" s="62">
        <v>39.090931734089978</v>
      </c>
      <c r="X15" s="62">
        <v>23.443234534417702</v>
      </c>
      <c r="Y15" s="66">
        <v>109.18564821848916</v>
      </c>
      <c r="Z15" s="66">
        <v>65.47975823114659</v>
      </c>
      <c r="AA15" s="67">
        <v>0</v>
      </c>
      <c r="AB15" s="68">
        <v>75.092398373285704</v>
      </c>
      <c r="AC15" s="69">
        <v>0</v>
      </c>
      <c r="AD15" s="409">
        <v>10.487582425772086</v>
      </c>
      <c r="AE15" s="409">
        <v>5.9629088100525802</v>
      </c>
      <c r="AF15" s="69">
        <v>15.834061214658988</v>
      </c>
      <c r="AG15" s="68">
        <v>9.748474820599732</v>
      </c>
      <c r="AH15" s="68">
        <v>5.8462607933411359</v>
      </c>
      <c r="AI15" s="68">
        <v>0.625113183187608</v>
      </c>
      <c r="AJ15" s="69">
        <v>317.11291925112397</v>
      </c>
      <c r="AK15" s="69">
        <v>1356.519379488627</v>
      </c>
      <c r="AL15" s="69">
        <v>2824.4921901702878</v>
      </c>
      <c r="AM15" s="69">
        <v>177.75645446777344</v>
      </c>
      <c r="AN15" s="69">
        <v>1258.8463439941406</v>
      </c>
      <c r="AO15" s="69">
        <v>2456.0245360056556</v>
      </c>
      <c r="AP15" s="69">
        <v>605.45253469149281</v>
      </c>
      <c r="AQ15" s="69">
        <v>2048.2204252243041</v>
      </c>
      <c r="AR15" s="69">
        <v>397.28008519808452</v>
      </c>
      <c r="AS15" s="69">
        <v>686.93589541117365</v>
      </c>
    </row>
    <row r="16" spans="1:49" x14ac:dyDescent="0.25">
      <c r="A16" s="11">
        <v>43564</v>
      </c>
      <c r="B16" s="59"/>
      <c r="C16" s="60">
        <v>64.171489044030622</v>
      </c>
      <c r="D16" s="60">
        <v>936.1375519434589</v>
      </c>
      <c r="E16" s="60">
        <v>16.195044215520209</v>
      </c>
      <c r="F16" s="60">
        <v>0</v>
      </c>
      <c r="G16" s="60">
        <v>3089.6075388590439</v>
      </c>
      <c r="H16" s="61">
        <v>26.645869724949232</v>
      </c>
      <c r="I16" s="59">
        <v>120.26759125391638</v>
      </c>
      <c r="J16" s="60">
        <v>365.11623778343147</v>
      </c>
      <c r="K16" s="60">
        <v>20.066925778985016</v>
      </c>
      <c r="L16" s="50">
        <v>0</v>
      </c>
      <c r="M16" s="60">
        <v>0</v>
      </c>
      <c r="N16" s="61">
        <v>0</v>
      </c>
      <c r="O16" s="59">
        <v>0</v>
      </c>
      <c r="P16" s="60">
        <v>0</v>
      </c>
      <c r="Q16" s="60">
        <v>0</v>
      </c>
      <c r="R16" s="63">
        <v>0</v>
      </c>
      <c r="S16" s="60">
        <v>0</v>
      </c>
      <c r="T16" s="64">
        <v>0</v>
      </c>
      <c r="U16" s="65">
        <v>251.20990904953325</v>
      </c>
      <c r="V16" s="62">
        <v>150.72896890389219</v>
      </c>
      <c r="W16" s="62">
        <v>39.397097347450291</v>
      </c>
      <c r="X16" s="62">
        <v>23.638732578086898</v>
      </c>
      <c r="Y16" s="66">
        <v>118.91124277633702</v>
      </c>
      <c r="Z16" s="66">
        <v>71.348176839726364</v>
      </c>
      <c r="AA16" s="67">
        <v>0</v>
      </c>
      <c r="AB16" s="68">
        <v>75.182267136043166</v>
      </c>
      <c r="AC16" s="69">
        <v>0</v>
      </c>
      <c r="AD16" s="409">
        <v>10.331178281172871</v>
      </c>
      <c r="AE16" s="409">
        <v>6.0638676586217759</v>
      </c>
      <c r="AF16" s="69">
        <v>16.16255416936345</v>
      </c>
      <c r="AG16" s="68">
        <v>9.9996549519908609</v>
      </c>
      <c r="AH16" s="68">
        <v>5.9999133235269255</v>
      </c>
      <c r="AI16" s="68">
        <v>0.62499529861015868</v>
      </c>
      <c r="AJ16" s="69">
        <v>312.79349096616113</v>
      </c>
      <c r="AK16" s="69">
        <v>1354.9883091608685</v>
      </c>
      <c r="AL16" s="69">
        <v>3241.4152064005534</v>
      </c>
      <c r="AM16" s="69">
        <v>177.75645446777344</v>
      </c>
      <c r="AN16" s="69">
        <v>1258.8463439941406</v>
      </c>
      <c r="AO16" s="69">
        <v>2454.8432539621995</v>
      </c>
      <c r="AP16" s="69">
        <v>595.98044751485179</v>
      </c>
      <c r="AQ16" s="69">
        <v>2027.1025278727216</v>
      </c>
      <c r="AR16" s="69">
        <v>389.13444299697875</v>
      </c>
      <c r="AS16" s="69">
        <v>799.88500350316383</v>
      </c>
    </row>
    <row r="17" spans="1:45" x14ac:dyDescent="0.25">
      <c r="A17" s="11">
        <v>43565</v>
      </c>
      <c r="B17" s="49"/>
      <c r="C17" s="50">
        <v>64.542367259662214</v>
      </c>
      <c r="D17" s="50">
        <v>945.76818129221488</v>
      </c>
      <c r="E17" s="50">
        <v>16.286399627725277</v>
      </c>
      <c r="F17" s="50">
        <v>0</v>
      </c>
      <c r="G17" s="50">
        <v>3110.1650342305588</v>
      </c>
      <c r="H17" s="51">
        <v>26.877267193794278</v>
      </c>
      <c r="I17" s="49">
        <v>120.19948958555867</v>
      </c>
      <c r="J17" s="50">
        <v>365.06495606104522</v>
      </c>
      <c r="K17" s="50">
        <v>19.879174619913094</v>
      </c>
      <c r="L17" s="50">
        <v>0</v>
      </c>
      <c r="M17" s="50">
        <v>0</v>
      </c>
      <c r="N17" s="51">
        <v>0</v>
      </c>
      <c r="O17" s="49">
        <v>0</v>
      </c>
      <c r="P17" s="50">
        <v>0</v>
      </c>
      <c r="Q17" s="50">
        <v>0</v>
      </c>
      <c r="R17" s="70">
        <v>0</v>
      </c>
      <c r="S17" s="50">
        <v>0</v>
      </c>
      <c r="T17" s="52">
        <v>0</v>
      </c>
      <c r="U17" s="71">
        <v>251.43973983988482</v>
      </c>
      <c r="V17" s="66">
        <v>150.83736246097342</v>
      </c>
      <c r="W17" s="62">
        <v>39.326268065252009</v>
      </c>
      <c r="X17" s="62">
        <v>23.591619026384599</v>
      </c>
      <c r="Y17" s="66">
        <v>118.76025184437145</v>
      </c>
      <c r="Z17" s="66">
        <v>71.243643366848573</v>
      </c>
      <c r="AA17" s="67">
        <v>0</v>
      </c>
      <c r="AB17" s="68">
        <v>75.032550684610499</v>
      </c>
      <c r="AC17" s="69">
        <v>0</v>
      </c>
      <c r="AD17" s="409">
        <v>10.330410480245579</v>
      </c>
      <c r="AE17" s="409">
        <v>6.126349588606784</v>
      </c>
      <c r="AF17" s="69">
        <v>16.170437811480635</v>
      </c>
      <c r="AG17" s="68">
        <v>10.001135075521663</v>
      </c>
      <c r="AH17" s="68">
        <v>5.9996277333417822</v>
      </c>
      <c r="AI17" s="68">
        <v>0.62504114303735847</v>
      </c>
      <c r="AJ17" s="69">
        <v>316.93499514261885</v>
      </c>
      <c r="AK17" s="69">
        <v>1347.8937620162963</v>
      </c>
      <c r="AL17" s="69">
        <v>3337.8402927398679</v>
      </c>
      <c r="AM17" s="69">
        <v>177.75645446777344</v>
      </c>
      <c r="AN17" s="69">
        <v>1258.8463439941406</v>
      </c>
      <c r="AO17" s="69">
        <v>2553.711994425455</v>
      </c>
      <c r="AP17" s="69">
        <v>612.70566671689369</v>
      </c>
      <c r="AQ17" s="69">
        <v>2049.5112032572424</v>
      </c>
      <c r="AR17" s="69">
        <v>463.35320838292438</v>
      </c>
      <c r="AS17" s="69">
        <v>622.81033407847076</v>
      </c>
    </row>
    <row r="18" spans="1:45" x14ac:dyDescent="0.25">
      <c r="A18" s="11">
        <v>43566</v>
      </c>
      <c r="B18" s="59"/>
      <c r="C18" s="60">
        <v>65.483972994487146</v>
      </c>
      <c r="D18" s="60">
        <v>946.95699043273726</v>
      </c>
      <c r="E18" s="60">
        <v>16.234878431260569</v>
      </c>
      <c r="F18" s="60">
        <v>0</v>
      </c>
      <c r="G18" s="60">
        <v>3087.6556070963557</v>
      </c>
      <c r="H18" s="61">
        <v>26.887539917230679</v>
      </c>
      <c r="I18" s="59">
        <v>120.33886566162093</v>
      </c>
      <c r="J18" s="60">
        <v>365.13900949160234</v>
      </c>
      <c r="K18" s="60">
        <v>20.021040263275317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242.51266479569827</v>
      </c>
      <c r="V18" s="66">
        <v>140.45684231574629</v>
      </c>
      <c r="W18" s="62">
        <v>38.298673798234205</v>
      </c>
      <c r="X18" s="62">
        <v>22.181566439478605</v>
      </c>
      <c r="Y18" s="66">
        <v>115.48620800655775</v>
      </c>
      <c r="Z18" s="66">
        <v>66.886519602123002</v>
      </c>
      <c r="AA18" s="67">
        <v>0</v>
      </c>
      <c r="AB18" s="68">
        <v>75.028936666911505</v>
      </c>
      <c r="AC18" s="69">
        <v>0</v>
      </c>
      <c r="AD18" s="409">
        <v>10.331591430441916</v>
      </c>
      <c r="AE18" s="409">
        <v>6.1339315197807291</v>
      </c>
      <c r="AF18" s="69">
        <v>15.589655551314353</v>
      </c>
      <c r="AG18" s="68">
        <v>9.7751725930157214</v>
      </c>
      <c r="AH18" s="68">
        <v>5.6615182413795653</v>
      </c>
      <c r="AI18" s="68">
        <v>0.63324275247096062</v>
      </c>
      <c r="AJ18" s="69">
        <v>329.11828130086269</v>
      </c>
      <c r="AK18" s="69">
        <v>1339.8846164703371</v>
      </c>
      <c r="AL18" s="69">
        <v>3145.1357309977211</v>
      </c>
      <c r="AM18" s="69">
        <v>177.75645446777344</v>
      </c>
      <c r="AN18" s="69">
        <v>1258.8463439941406</v>
      </c>
      <c r="AO18" s="69">
        <v>2649.3078247070321</v>
      </c>
      <c r="AP18" s="69">
        <v>686.76365226109829</v>
      </c>
      <c r="AQ18" s="69">
        <v>2107.4307736078895</v>
      </c>
      <c r="AR18" s="69">
        <v>496.24554413159689</v>
      </c>
      <c r="AS18" s="69">
        <v>568.80370709101373</v>
      </c>
    </row>
    <row r="19" spans="1:45" x14ac:dyDescent="0.25">
      <c r="A19" s="11">
        <v>43567</v>
      </c>
      <c r="B19" s="59"/>
      <c r="C19" s="60">
        <v>65.148380406698053</v>
      </c>
      <c r="D19" s="60">
        <v>945.76923001607042</v>
      </c>
      <c r="E19" s="60">
        <v>16.260313412547074</v>
      </c>
      <c r="F19" s="60">
        <v>0</v>
      </c>
      <c r="G19" s="60">
        <v>2969.7878339131707</v>
      </c>
      <c r="H19" s="61">
        <v>26.838206313053838</v>
      </c>
      <c r="I19" s="59">
        <v>120.4892773151397</v>
      </c>
      <c r="J19" s="60">
        <v>365.32307375272069</v>
      </c>
      <c r="K19" s="60">
        <v>20.118766494095325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249.13646134245326</v>
      </c>
      <c r="V19" s="66">
        <v>149.49087967368169</v>
      </c>
      <c r="W19" s="62">
        <v>38.993139203762745</v>
      </c>
      <c r="X19" s="62">
        <v>23.397292589768053</v>
      </c>
      <c r="Y19" s="66">
        <v>116.16455624500132</v>
      </c>
      <c r="Z19" s="66">
        <v>69.702931503462779</v>
      </c>
      <c r="AA19" s="67">
        <v>0</v>
      </c>
      <c r="AB19" s="68">
        <v>75.031680536269391</v>
      </c>
      <c r="AC19" s="69">
        <v>0</v>
      </c>
      <c r="AD19" s="409">
        <v>10.337972979436296</v>
      </c>
      <c r="AE19" s="409">
        <v>6.1267772634347999</v>
      </c>
      <c r="AF19" s="69">
        <v>16.170123087697558</v>
      </c>
      <c r="AG19" s="68">
        <v>10.000383974384436</v>
      </c>
      <c r="AH19" s="68">
        <v>6.0005917614379047</v>
      </c>
      <c r="AI19" s="68">
        <v>0.62498588457927462</v>
      </c>
      <c r="AJ19" s="69">
        <v>308.74706439971925</v>
      </c>
      <c r="AK19" s="69">
        <v>1322.2293541590373</v>
      </c>
      <c r="AL19" s="69">
        <v>2857.7444033304846</v>
      </c>
      <c r="AM19" s="69">
        <v>177.75645446777344</v>
      </c>
      <c r="AN19" s="69">
        <v>1258.8463439941406</v>
      </c>
      <c r="AO19" s="69">
        <v>2605.5397598266604</v>
      </c>
      <c r="AP19" s="69">
        <v>666.31133788426746</v>
      </c>
      <c r="AQ19" s="69">
        <v>2123.3955408732095</v>
      </c>
      <c r="AR19" s="69">
        <v>480.35391407012929</v>
      </c>
      <c r="AS19" s="69">
        <v>568.82311630249023</v>
      </c>
    </row>
    <row r="20" spans="1:45" x14ac:dyDescent="0.25">
      <c r="A20" s="11">
        <v>43568</v>
      </c>
      <c r="B20" s="59"/>
      <c r="C20" s="60">
        <v>64.566480000814238</v>
      </c>
      <c r="D20" s="60">
        <v>945.8991186141958</v>
      </c>
      <c r="E20" s="60">
        <v>16.260752082864386</v>
      </c>
      <c r="F20" s="60">
        <v>0</v>
      </c>
      <c r="G20" s="60">
        <v>2915.5822415669759</v>
      </c>
      <c r="H20" s="61">
        <v>26.729071068763815</v>
      </c>
      <c r="I20" s="59">
        <v>120.46612038612365</v>
      </c>
      <c r="J20" s="60">
        <v>365.35423512458789</v>
      </c>
      <c r="K20" s="60">
        <v>20.072706269721188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249.40188247992126</v>
      </c>
      <c r="V20" s="62">
        <v>149.6312041696545</v>
      </c>
      <c r="W20" s="62">
        <v>39.36480272552155</v>
      </c>
      <c r="X20" s="62">
        <v>23.617315054528078</v>
      </c>
      <c r="Y20" s="66">
        <v>113.25920886750016</v>
      </c>
      <c r="Z20" s="66">
        <v>67.951018002082762</v>
      </c>
      <c r="AA20" s="67">
        <v>0</v>
      </c>
      <c r="AB20" s="68">
        <v>75.033539724349041</v>
      </c>
      <c r="AC20" s="69">
        <v>0</v>
      </c>
      <c r="AD20" s="409">
        <v>10.338522318155423</v>
      </c>
      <c r="AE20" s="409">
        <v>6.1268300344004576</v>
      </c>
      <c r="AF20" s="69">
        <v>16.049371693531683</v>
      </c>
      <c r="AG20" s="68">
        <v>9.927255250996545</v>
      </c>
      <c r="AH20" s="68">
        <v>5.9559580807323185</v>
      </c>
      <c r="AI20" s="68">
        <v>0.62501554588865926</v>
      </c>
      <c r="AJ20" s="69">
        <v>282.49024318059293</v>
      </c>
      <c r="AK20" s="69">
        <v>1294.0464672724402</v>
      </c>
      <c r="AL20" s="69">
        <v>3078.3999724070231</v>
      </c>
      <c r="AM20" s="69">
        <v>177.75645446777344</v>
      </c>
      <c r="AN20" s="69">
        <v>1258.8463439941406</v>
      </c>
      <c r="AO20" s="69">
        <v>2585.3809881846109</v>
      </c>
      <c r="AP20" s="69">
        <v>650.31832176844273</v>
      </c>
      <c r="AQ20" s="69">
        <v>2119.7607187906901</v>
      </c>
      <c r="AR20" s="69">
        <v>473.46823519070938</v>
      </c>
      <c r="AS20" s="69">
        <v>526.17969112396247</v>
      </c>
    </row>
    <row r="21" spans="1:45" x14ac:dyDescent="0.25">
      <c r="A21" s="11">
        <v>43569</v>
      </c>
      <c r="B21" s="59"/>
      <c r="C21" s="60">
        <v>63.629432372251927</v>
      </c>
      <c r="D21" s="60">
        <v>934.93720531463657</v>
      </c>
      <c r="E21" s="60">
        <v>16.030932257572779</v>
      </c>
      <c r="F21" s="60">
        <v>0</v>
      </c>
      <c r="G21" s="60">
        <v>2850.4098993937223</v>
      </c>
      <c r="H21" s="61">
        <v>26.470546331008293</v>
      </c>
      <c r="I21" s="59">
        <v>120.36505974133813</v>
      </c>
      <c r="J21" s="60">
        <v>365.25484086672458</v>
      </c>
      <c r="K21" s="60">
        <v>20.073405437171463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255.25786797806362</v>
      </c>
      <c r="V21" s="62">
        <v>153.14804202644703</v>
      </c>
      <c r="W21" s="62">
        <v>39.074672644810462</v>
      </c>
      <c r="X21" s="62">
        <v>23.443781207525262</v>
      </c>
      <c r="Y21" s="66">
        <v>113.98090141023545</v>
      </c>
      <c r="Z21" s="66">
        <v>68.385558563417845</v>
      </c>
      <c r="AA21" s="67">
        <v>0</v>
      </c>
      <c r="AB21" s="68">
        <v>74.873816188176164</v>
      </c>
      <c r="AC21" s="69">
        <v>0</v>
      </c>
      <c r="AD21" s="409">
        <v>10.336013151191487</v>
      </c>
      <c r="AE21" s="409">
        <v>6.0564224818138985</v>
      </c>
      <c r="AF21" s="69">
        <v>16.161690908670419</v>
      </c>
      <c r="AG21" s="68">
        <v>9.9999835923485669</v>
      </c>
      <c r="AH21" s="68">
        <v>5.9997285082565659</v>
      </c>
      <c r="AI21" s="68">
        <v>0.62501022077580715</v>
      </c>
      <c r="AJ21" s="69">
        <v>267.2997850259145</v>
      </c>
      <c r="AK21" s="69">
        <v>1282.0735102971394</v>
      </c>
      <c r="AL21" s="69">
        <v>2836.2489092508954</v>
      </c>
      <c r="AM21" s="69">
        <v>177.75645446777344</v>
      </c>
      <c r="AN21" s="69">
        <v>1258.8463439941406</v>
      </c>
      <c r="AO21" s="69">
        <v>2593.9802898406983</v>
      </c>
      <c r="AP21" s="69">
        <v>613.89669132232655</v>
      </c>
      <c r="AQ21" s="69">
        <v>2099.4198828379317</v>
      </c>
      <c r="AR21" s="69">
        <v>455.12872974077845</v>
      </c>
      <c r="AS21" s="69">
        <v>570.78227529525759</v>
      </c>
    </row>
    <row r="22" spans="1:45" x14ac:dyDescent="0.25">
      <c r="A22" s="11">
        <v>43570</v>
      </c>
      <c r="B22" s="59"/>
      <c r="C22" s="60">
        <v>62.824081023534028</v>
      </c>
      <c r="D22" s="60">
        <v>918.97479572296231</v>
      </c>
      <c r="E22" s="60">
        <v>15.828734390934287</v>
      </c>
      <c r="F22" s="60">
        <v>0</v>
      </c>
      <c r="G22" s="60">
        <v>2856.2386906941797</v>
      </c>
      <c r="H22" s="61">
        <v>26.074597197771013</v>
      </c>
      <c r="I22" s="59">
        <v>121.39298342863756</v>
      </c>
      <c r="J22" s="60">
        <v>368.69112159411071</v>
      </c>
      <c r="K22" s="60">
        <v>20.235282462835329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270.28464526746683</v>
      </c>
      <c r="V22" s="62">
        <v>162.07903737346237</v>
      </c>
      <c r="W22" s="62">
        <v>40.97384111292159</v>
      </c>
      <c r="X22" s="62">
        <v>24.570395845105306</v>
      </c>
      <c r="Y22" s="66">
        <v>112.54452824234008</v>
      </c>
      <c r="Z22" s="66">
        <v>67.48851301233924</v>
      </c>
      <c r="AA22" s="67">
        <v>0</v>
      </c>
      <c r="AB22" s="68">
        <v>74.224702978133251</v>
      </c>
      <c r="AC22" s="69">
        <v>0</v>
      </c>
      <c r="AD22" s="409">
        <v>10.433262867515882</v>
      </c>
      <c r="AE22" s="409">
        <v>5.9528050168689086</v>
      </c>
      <c r="AF22" s="69">
        <v>15.980531551109388</v>
      </c>
      <c r="AG22" s="68">
        <v>9.8901140125648581</v>
      </c>
      <c r="AH22" s="68">
        <v>5.9307111474424863</v>
      </c>
      <c r="AI22" s="68">
        <v>0.62513262819979654</v>
      </c>
      <c r="AJ22" s="69">
        <v>244.38723122278853</v>
      </c>
      <c r="AK22" s="69">
        <v>1268.6259557088215</v>
      </c>
      <c r="AL22" s="69">
        <v>2864.7398839314783</v>
      </c>
      <c r="AM22" s="69">
        <v>177.75645446777344</v>
      </c>
      <c r="AN22" s="69">
        <v>1258.8463439941406</v>
      </c>
      <c r="AO22" s="69">
        <v>2466.4076428731287</v>
      </c>
      <c r="AP22" s="69">
        <v>574.61112581888835</v>
      </c>
      <c r="AQ22" s="69">
        <v>2038.8403079986567</v>
      </c>
      <c r="AR22" s="69">
        <v>416.1311035315195</v>
      </c>
      <c r="AS22" s="69">
        <v>688.5693650881451</v>
      </c>
    </row>
    <row r="23" spans="1:45" x14ac:dyDescent="0.25">
      <c r="A23" s="11">
        <v>43571</v>
      </c>
      <c r="B23" s="59"/>
      <c r="C23" s="60">
        <v>63.384188524882383</v>
      </c>
      <c r="D23" s="60">
        <v>915.16865603129156</v>
      </c>
      <c r="E23" s="60">
        <v>15.845827973882351</v>
      </c>
      <c r="F23" s="60">
        <v>0</v>
      </c>
      <c r="G23" s="60">
        <v>2823.2525084177669</v>
      </c>
      <c r="H23" s="61">
        <v>26.09542979300026</v>
      </c>
      <c r="I23" s="59">
        <v>121.31704947153735</v>
      </c>
      <c r="J23" s="60">
        <v>368.04993982315034</v>
      </c>
      <c r="K23" s="60">
        <v>20.163317899902641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255.2954367159638</v>
      </c>
      <c r="V23" s="62">
        <v>153.1158422842104</v>
      </c>
      <c r="W23" s="62">
        <v>39.50572791286028</v>
      </c>
      <c r="X23" s="62">
        <v>23.693932340664503</v>
      </c>
      <c r="Y23" s="66">
        <v>111.64956812397094</v>
      </c>
      <c r="Z23" s="66">
        <v>66.962879884884188</v>
      </c>
      <c r="AA23" s="67">
        <v>0</v>
      </c>
      <c r="AB23" s="68">
        <v>74.573537662294484</v>
      </c>
      <c r="AC23" s="69">
        <v>0</v>
      </c>
      <c r="AD23" s="409">
        <v>10.414919714425565</v>
      </c>
      <c r="AE23" s="409">
        <v>5.9554766064437556</v>
      </c>
      <c r="AF23" s="69">
        <v>15.54262938665021</v>
      </c>
      <c r="AG23" s="68">
        <v>9.6394628964368732</v>
      </c>
      <c r="AH23" s="68">
        <v>5.7813586468348879</v>
      </c>
      <c r="AI23" s="68">
        <v>0.62509399187247938</v>
      </c>
      <c r="AJ23" s="69">
        <v>243.46898193359374</v>
      </c>
      <c r="AK23" s="69">
        <v>1253.2513287862143</v>
      </c>
      <c r="AL23" s="69">
        <v>2858.9956433614097</v>
      </c>
      <c r="AM23" s="69">
        <v>177.75645446777344</v>
      </c>
      <c r="AN23" s="69">
        <v>1258.8463439941406</v>
      </c>
      <c r="AO23" s="69">
        <v>2497.8348452250161</v>
      </c>
      <c r="AP23" s="69">
        <v>579.26076965332038</v>
      </c>
      <c r="AQ23" s="69">
        <v>2031.7169614791869</v>
      </c>
      <c r="AR23" s="69">
        <v>419.61546339988712</v>
      </c>
      <c r="AS23" s="69">
        <v>667.2862929344177</v>
      </c>
    </row>
    <row r="24" spans="1:45" x14ac:dyDescent="0.25">
      <c r="A24" s="11">
        <v>43572</v>
      </c>
      <c r="B24" s="59"/>
      <c r="C24" s="60">
        <v>62.79661707480799</v>
      </c>
      <c r="D24" s="60">
        <v>912.26967353820783</v>
      </c>
      <c r="E24" s="60">
        <v>15.869108702739046</v>
      </c>
      <c r="F24" s="60">
        <v>0</v>
      </c>
      <c r="G24" s="60">
        <v>2769.7775445302377</v>
      </c>
      <c r="H24" s="61">
        <v>26.177971827983878</v>
      </c>
      <c r="I24" s="59">
        <v>120.49441722234096</v>
      </c>
      <c r="J24" s="60">
        <v>365.46634195645606</v>
      </c>
      <c r="K24" s="60">
        <v>20.105206221342097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254.23504145412011</v>
      </c>
      <c r="V24" s="62">
        <v>138.67338508498284</v>
      </c>
      <c r="W24" s="62">
        <v>39.281538847735511</v>
      </c>
      <c r="X24" s="62">
        <v>21.426251598545957</v>
      </c>
      <c r="Y24" s="66">
        <v>112.89509658295174</v>
      </c>
      <c r="Z24" s="66">
        <v>61.579021967667011</v>
      </c>
      <c r="AA24" s="67">
        <v>0</v>
      </c>
      <c r="AB24" s="68">
        <v>74.375586011676532</v>
      </c>
      <c r="AC24" s="69">
        <v>0</v>
      </c>
      <c r="AD24" s="409">
        <v>10.341542450282663</v>
      </c>
      <c r="AE24" s="409">
        <v>5.9599105669288024</v>
      </c>
      <c r="AF24" s="69">
        <v>15.147051405244419</v>
      </c>
      <c r="AG24" s="68">
        <v>9.6872002401400614</v>
      </c>
      <c r="AH24" s="68">
        <v>5.2839169675935747</v>
      </c>
      <c r="AI24" s="68">
        <v>0.64705927458345869</v>
      </c>
      <c r="AJ24" s="69">
        <v>242.55491712888087</v>
      </c>
      <c r="AK24" s="69">
        <v>1261.8228848775227</v>
      </c>
      <c r="AL24" s="69">
        <v>3083.1807982126866</v>
      </c>
      <c r="AM24" s="69">
        <v>177.75645446777344</v>
      </c>
      <c r="AN24" s="69">
        <v>1258.8463439941406</v>
      </c>
      <c r="AO24" s="69">
        <v>2432.0431875864665</v>
      </c>
      <c r="AP24" s="69">
        <v>563.43433758417757</v>
      </c>
      <c r="AQ24" s="69">
        <v>1978.0111857732138</v>
      </c>
      <c r="AR24" s="69">
        <v>402.20794901847842</v>
      </c>
      <c r="AS24" s="69">
        <v>604.90633338292434</v>
      </c>
    </row>
    <row r="25" spans="1:45" x14ac:dyDescent="0.25">
      <c r="A25" s="11">
        <v>43573</v>
      </c>
      <c r="B25" s="59"/>
      <c r="C25" s="60">
        <v>62.371553738911679</v>
      </c>
      <c r="D25" s="60">
        <v>906.67244981129863</v>
      </c>
      <c r="E25" s="60">
        <v>15.798401493827475</v>
      </c>
      <c r="F25" s="60">
        <v>0</v>
      </c>
      <c r="G25" s="60">
        <v>2802.1980773925802</v>
      </c>
      <c r="H25" s="61">
        <v>26.099015301466032</v>
      </c>
      <c r="I25" s="59">
        <v>121.05084055264805</v>
      </c>
      <c r="J25" s="60">
        <v>367.16301485697386</v>
      </c>
      <c r="K25" s="60">
        <v>20.588526041309031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259.63692773654583</v>
      </c>
      <c r="V25" s="62">
        <v>155.78557925283042</v>
      </c>
      <c r="W25" s="62">
        <v>40.86415502400228</v>
      </c>
      <c r="X25" s="62">
        <v>24.519031697799541</v>
      </c>
      <c r="Y25" s="66">
        <v>115.66517330825789</v>
      </c>
      <c r="Z25" s="66">
        <v>69.400628717536904</v>
      </c>
      <c r="AA25" s="67">
        <v>0</v>
      </c>
      <c r="AB25" s="68">
        <v>74.373275274702181</v>
      </c>
      <c r="AC25" s="69">
        <v>0</v>
      </c>
      <c r="AD25" s="409">
        <v>10.388880937678122</v>
      </c>
      <c r="AE25" s="409">
        <v>5.9504529717100585</v>
      </c>
      <c r="AF25" s="69">
        <v>16.1721569524871</v>
      </c>
      <c r="AG25" s="68">
        <v>9.9988303011794955</v>
      </c>
      <c r="AH25" s="68">
        <v>5.9994299882510376</v>
      </c>
      <c r="AI25" s="68">
        <v>0.62499485070794591</v>
      </c>
      <c r="AJ25" s="69">
        <v>251.74857131640118</v>
      </c>
      <c r="AK25" s="69">
        <v>1267.1443660736084</v>
      </c>
      <c r="AL25" s="69">
        <v>2874.7706292470293</v>
      </c>
      <c r="AM25" s="69">
        <v>177.75645446777344</v>
      </c>
      <c r="AN25" s="69">
        <v>1258.8463439941406</v>
      </c>
      <c r="AO25" s="69">
        <v>2411.7583455403642</v>
      </c>
      <c r="AP25" s="69">
        <v>565.98059024810789</v>
      </c>
      <c r="AQ25" s="69">
        <v>2017.9492131551103</v>
      </c>
      <c r="AR25" s="69">
        <v>427.33231008847554</v>
      </c>
      <c r="AS25" s="69">
        <v>619.53104689915972</v>
      </c>
    </row>
    <row r="26" spans="1:45" x14ac:dyDescent="0.25">
      <c r="A26" s="11">
        <v>43575</v>
      </c>
      <c r="B26" s="59"/>
      <c r="C26" s="60">
        <v>62.371839221318822</v>
      </c>
      <c r="D26" s="60">
        <v>856.76011740366698</v>
      </c>
      <c r="E26" s="60">
        <v>15.851945516467042</v>
      </c>
      <c r="F26" s="60">
        <v>0</v>
      </c>
      <c r="G26" s="60">
        <v>2586.3656935374006</v>
      </c>
      <c r="H26" s="61">
        <v>26.02654828230537</v>
      </c>
      <c r="I26" s="59">
        <v>123.00186847050968</v>
      </c>
      <c r="J26" s="60">
        <v>365.94224944114654</v>
      </c>
      <c r="K26" s="60">
        <v>20.459271307786302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251.23183174052107</v>
      </c>
      <c r="V26" s="62">
        <v>150.71029866618304</v>
      </c>
      <c r="W26" s="62">
        <v>38.870220673849794</v>
      </c>
      <c r="X26" s="62">
        <v>23.317676452030135</v>
      </c>
      <c r="Y26" s="66">
        <v>116.76453595974549</v>
      </c>
      <c r="Z26" s="66">
        <v>70.045336079413701</v>
      </c>
      <c r="AA26" s="67">
        <v>0</v>
      </c>
      <c r="AB26" s="68">
        <v>74.379019180935416</v>
      </c>
      <c r="AC26" s="69">
        <v>0</v>
      </c>
      <c r="AD26" s="409">
        <v>10.35515087083466</v>
      </c>
      <c r="AE26" s="409">
        <v>5.9486289322422561</v>
      </c>
      <c r="AF26" s="69">
        <v>16.157641237974147</v>
      </c>
      <c r="AG26" s="68">
        <v>10.000360566796807</v>
      </c>
      <c r="AH26" s="68">
        <v>5.9990699321417926</v>
      </c>
      <c r="AI26" s="68">
        <v>0.62504478315401468</v>
      </c>
      <c r="AJ26" s="69">
        <v>241.32333796819049</v>
      </c>
      <c r="AK26" s="69">
        <v>1275.6678801854455</v>
      </c>
      <c r="AL26" s="69">
        <v>2914.9189114888513</v>
      </c>
      <c r="AM26" s="69">
        <v>405.13949858347576</v>
      </c>
      <c r="AN26" s="69">
        <v>4147.5383561452227</v>
      </c>
      <c r="AO26" s="69">
        <v>2407.5962029774987</v>
      </c>
      <c r="AP26" s="69">
        <v>542.67315376599629</v>
      </c>
      <c r="AQ26" s="69">
        <v>1983.8188026428222</v>
      </c>
      <c r="AR26" s="69">
        <v>399.36145178476977</v>
      </c>
      <c r="AS26" s="69">
        <v>716.58224935531621</v>
      </c>
    </row>
    <row r="27" spans="1:45" x14ac:dyDescent="0.25">
      <c r="A27" s="11">
        <v>43576</v>
      </c>
      <c r="B27" s="59"/>
      <c r="C27" s="60">
        <v>62.271545239289132</v>
      </c>
      <c r="D27" s="60">
        <v>856.17522621155001</v>
      </c>
      <c r="E27" s="60">
        <v>15.824029417832678</v>
      </c>
      <c r="F27" s="60">
        <v>0</v>
      </c>
      <c r="G27" s="60">
        <v>2619.4103085835791</v>
      </c>
      <c r="H27" s="61">
        <v>26.049877788623171</v>
      </c>
      <c r="I27" s="59">
        <v>127.11879581610364</v>
      </c>
      <c r="J27" s="60">
        <v>365.45384179751005</v>
      </c>
      <c r="K27" s="60">
        <v>20.478749494751323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251.85891249843829</v>
      </c>
      <c r="V27" s="62">
        <v>151.14588092298888</v>
      </c>
      <c r="W27" s="62">
        <v>40.426280455616137</v>
      </c>
      <c r="X27" s="62">
        <v>24.260669242514087</v>
      </c>
      <c r="Y27" s="62">
        <v>115.1572529234528</v>
      </c>
      <c r="Z27" s="62">
        <v>69.108312527533201</v>
      </c>
      <c r="AA27" s="72">
        <v>0</v>
      </c>
      <c r="AB27" s="69">
        <v>74.383916494582749</v>
      </c>
      <c r="AC27" s="69">
        <v>0</v>
      </c>
      <c r="AD27" s="409">
        <v>10.340616190427966</v>
      </c>
      <c r="AE27" s="409">
        <v>5.9492074687720384</v>
      </c>
      <c r="AF27" s="69">
        <v>16.04700841108955</v>
      </c>
      <c r="AG27" s="69">
        <v>9.9276397192065868</v>
      </c>
      <c r="AH27" s="69">
        <v>5.9577873816748017</v>
      </c>
      <c r="AI27" s="69">
        <v>0.62495264723828303</v>
      </c>
      <c r="AJ27" s="69">
        <v>235.84174702962238</v>
      </c>
      <c r="AK27" s="69">
        <v>1260.5536456425987</v>
      </c>
      <c r="AL27" s="69">
        <v>2791.9147711435958</v>
      </c>
      <c r="AM27" s="69">
        <v>506.21539306640625</v>
      </c>
      <c r="AN27" s="69">
        <v>5547.2138671875</v>
      </c>
      <c r="AO27" s="69">
        <v>2352.2486871083579</v>
      </c>
      <c r="AP27" s="69">
        <v>569.99993435541796</v>
      </c>
      <c r="AQ27" s="69">
        <v>1975.1980297088624</v>
      </c>
      <c r="AR27" s="69">
        <v>392.69218664169313</v>
      </c>
      <c r="AS27" s="69">
        <v>595.98113721211757</v>
      </c>
    </row>
    <row r="28" spans="1:45" x14ac:dyDescent="0.25">
      <c r="A28" s="11">
        <v>43577</v>
      </c>
      <c r="B28" s="59"/>
      <c r="C28" s="60">
        <v>62.113291954993741</v>
      </c>
      <c r="D28" s="60">
        <v>855.95259863535466</v>
      </c>
      <c r="E28" s="60">
        <v>15.804688535133989</v>
      </c>
      <c r="F28" s="60">
        <v>0</v>
      </c>
      <c r="G28" s="60">
        <v>2606.7607259114602</v>
      </c>
      <c r="H28" s="61">
        <v>26.031721852223114</v>
      </c>
      <c r="I28" s="59">
        <v>127.12033467292802</v>
      </c>
      <c r="J28" s="60">
        <v>365.36716245015418</v>
      </c>
      <c r="K28" s="60">
        <v>20.474709752202092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256.19574226340524</v>
      </c>
      <c r="V28" s="62">
        <v>153.72053009072792</v>
      </c>
      <c r="W28" s="62">
        <v>42.335781237488497</v>
      </c>
      <c r="X28" s="62">
        <v>25.401978487764293</v>
      </c>
      <c r="Y28" s="66">
        <v>112.63268759308781</v>
      </c>
      <c r="Z28" s="66">
        <v>67.580968713178805</v>
      </c>
      <c r="AA28" s="67">
        <v>0</v>
      </c>
      <c r="AB28" s="68">
        <v>74.379546546937902</v>
      </c>
      <c r="AC28" s="69">
        <v>0</v>
      </c>
      <c r="AD28" s="409">
        <v>10.336812202965156</v>
      </c>
      <c r="AE28" s="409">
        <v>5.9482677615332884</v>
      </c>
      <c r="AF28" s="69">
        <v>16.16158221960066</v>
      </c>
      <c r="AG28" s="68">
        <v>9.9994560966051349</v>
      </c>
      <c r="AH28" s="68">
        <v>5.9997940567206056</v>
      </c>
      <c r="AI28" s="68">
        <v>0.62499529670311227</v>
      </c>
      <c r="AJ28" s="69">
        <v>245.06038672129307</v>
      </c>
      <c r="AK28" s="69">
        <v>1257.5898338953655</v>
      </c>
      <c r="AL28" s="69">
        <v>2815.9993452707927</v>
      </c>
      <c r="AM28" s="69">
        <v>506.21539306640625</v>
      </c>
      <c r="AN28" s="69">
        <v>5547.2138671875</v>
      </c>
      <c r="AO28" s="69">
        <v>2507.6149346669513</v>
      </c>
      <c r="AP28" s="69">
        <v>566.69184157053621</v>
      </c>
      <c r="AQ28" s="69">
        <v>2019.7863825480147</v>
      </c>
      <c r="AR28" s="69">
        <v>442.79080934524524</v>
      </c>
      <c r="AS28" s="69">
        <v>556.35526787439971</v>
      </c>
    </row>
    <row r="29" spans="1:45" x14ac:dyDescent="0.25">
      <c r="A29" s="11">
        <v>43578</v>
      </c>
      <c r="B29" s="59"/>
      <c r="C29" s="60">
        <v>63.166308156649897</v>
      </c>
      <c r="D29" s="60">
        <v>856.55891475677481</v>
      </c>
      <c r="E29" s="60">
        <v>15.816574108600593</v>
      </c>
      <c r="F29" s="60">
        <v>0</v>
      </c>
      <c r="G29" s="60">
        <v>2556.7330989837706</v>
      </c>
      <c r="H29" s="61">
        <v>26.193470923105888</v>
      </c>
      <c r="I29" s="59">
        <v>86.559413103262543</v>
      </c>
      <c r="J29" s="60">
        <v>365.40371724764481</v>
      </c>
      <c r="K29" s="60">
        <v>20.443966668844265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253.52445472349183</v>
      </c>
      <c r="V29" s="62">
        <v>152.10605995122165</v>
      </c>
      <c r="W29" s="62">
        <v>40.560338442307426</v>
      </c>
      <c r="X29" s="62">
        <v>24.334825125553397</v>
      </c>
      <c r="Y29" s="66">
        <v>110.79884895395421</v>
      </c>
      <c r="Z29" s="66">
        <v>66.475545248278081</v>
      </c>
      <c r="AA29" s="67">
        <v>0</v>
      </c>
      <c r="AB29" s="68">
        <v>74.377309921054433</v>
      </c>
      <c r="AC29" s="69">
        <v>0</v>
      </c>
      <c r="AD29" s="409">
        <v>10.339626315605358</v>
      </c>
      <c r="AE29" s="409">
        <v>5.9521246895027851</v>
      </c>
      <c r="AF29" s="69">
        <v>15.979342156979788</v>
      </c>
      <c r="AG29" s="68">
        <v>9.8882530766118002</v>
      </c>
      <c r="AH29" s="68">
        <v>5.9326159163792838</v>
      </c>
      <c r="AI29" s="68">
        <v>0.62501327082554481</v>
      </c>
      <c r="AJ29" s="69">
        <v>237.38091553052266</v>
      </c>
      <c r="AK29" s="69">
        <v>1249.3602184295655</v>
      </c>
      <c r="AL29" s="69">
        <v>2897.2883185068767</v>
      </c>
      <c r="AM29" s="69">
        <v>506.21539306640625</v>
      </c>
      <c r="AN29" s="69">
        <v>5547.2138671875</v>
      </c>
      <c r="AO29" s="69">
        <v>2475.9183972676597</v>
      </c>
      <c r="AP29" s="69">
        <v>571.11538144747419</v>
      </c>
      <c r="AQ29" s="69">
        <v>2032.0653076171877</v>
      </c>
      <c r="AR29" s="69">
        <v>426.69251721700027</v>
      </c>
      <c r="AS29" s="69">
        <v>667.83689002990729</v>
      </c>
    </row>
    <row r="30" spans="1:45" x14ac:dyDescent="0.25">
      <c r="A30" s="11">
        <v>43579</v>
      </c>
      <c r="B30" s="59"/>
      <c r="C30" s="60">
        <v>62.965517644087377</v>
      </c>
      <c r="D30" s="60">
        <v>856.75533307393528</v>
      </c>
      <c r="E30" s="60">
        <v>15.823870578408222</v>
      </c>
      <c r="F30" s="60">
        <v>0</v>
      </c>
      <c r="G30" s="60">
        <v>2499.7440357208247</v>
      </c>
      <c r="H30" s="61">
        <v>26.119828699032489</v>
      </c>
      <c r="I30" s="59">
        <v>107.3173668583233</v>
      </c>
      <c r="J30" s="60">
        <v>407.46453480720561</v>
      </c>
      <c r="K30" s="60">
        <v>22.408945233623122</v>
      </c>
      <c r="L30" s="60">
        <v>1.3217926025390625E-3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268.22221033248047</v>
      </c>
      <c r="V30" s="62">
        <v>149.63215440174434</v>
      </c>
      <c r="W30" s="62">
        <v>43.100203897713754</v>
      </c>
      <c r="X30" s="62">
        <v>24.044154868365137</v>
      </c>
      <c r="Y30" s="66">
        <v>123.01092048190228</v>
      </c>
      <c r="Z30" s="66">
        <v>68.623657316941319</v>
      </c>
      <c r="AA30" s="67">
        <v>0</v>
      </c>
      <c r="AB30" s="68">
        <v>85.456791649926785</v>
      </c>
      <c r="AC30" s="69">
        <v>0</v>
      </c>
      <c r="AD30" s="409">
        <v>11.045446525147074</v>
      </c>
      <c r="AE30" s="409">
        <v>5.9535418457652911</v>
      </c>
      <c r="AF30" s="69">
        <v>16.473196445239907</v>
      </c>
      <c r="AG30" s="68">
        <v>10.44985729680805</v>
      </c>
      <c r="AH30" s="68">
        <v>5.8296240962817389</v>
      </c>
      <c r="AI30" s="68">
        <v>0.64190357447404556</v>
      </c>
      <c r="AJ30" s="69">
        <v>228.1472383181254</v>
      </c>
      <c r="AK30" s="69">
        <v>1246.483240699768</v>
      </c>
      <c r="AL30" s="69">
        <v>2855.7428203582763</v>
      </c>
      <c r="AM30" s="69">
        <v>506.21539306640625</v>
      </c>
      <c r="AN30" s="69">
        <v>5547.2138671875</v>
      </c>
      <c r="AO30" s="69">
        <v>2510.0254730224619</v>
      </c>
      <c r="AP30" s="69">
        <v>574.69558854103082</v>
      </c>
      <c r="AQ30" s="69">
        <v>2064.7721841176349</v>
      </c>
      <c r="AR30" s="69">
        <v>405.24823282559703</v>
      </c>
      <c r="AS30" s="69">
        <v>804.7775132497153</v>
      </c>
    </row>
    <row r="31" spans="1:45" x14ac:dyDescent="0.25">
      <c r="A31" s="11">
        <v>43580</v>
      </c>
      <c r="B31" s="59"/>
      <c r="C31" s="60">
        <v>62.921361446380111</v>
      </c>
      <c r="D31" s="60">
        <v>857.06364854176979</v>
      </c>
      <c r="E31" s="60">
        <v>15.817656741539629</v>
      </c>
      <c r="F31" s="60">
        <v>0</v>
      </c>
      <c r="G31" s="60">
        <v>2490.6836608886742</v>
      </c>
      <c r="H31" s="61">
        <v>26.091630433003125</v>
      </c>
      <c r="I31" s="59">
        <v>134.91316414674114</v>
      </c>
      <c r="J31" s="60">
        <v>433.78640572230012</v>
      </c>
      <c r="K31" s="60">
        <v>23.892280465364514</v>
      </c>
      <c r="L31" s="60">
        <v>5.5704116821289E-4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270.91448761561537</v>
      </c>
      <c r="V31" s="62">
        <v>147.83554898427886</v>
      </c>
      <c r="W31" s="62">
        <v>43.724142667675544</v>
      </c>
      <c r="X31" s="62">
        <v>23.859863280232211</v>
      </c>
      <c r="Y31" s="66">
        <v>130.77545487309621</v>
      </c>
      <c r="Z31" s="66">
        <v>71.362965247778817</v>
      </c>
      <c r="AA31" s="67">
        <v>0</v>
      </c>
      <c r="AB31" s="68">
        <v>93.178100665411094</v>
      </c>
      <c r="AC31" s="69">
        <v>0</v>
      </c>
      <c r="AD31" s="409">
        <v>12.27403869258208</v>
      </c>
      <c r="AE31" s="409">
        <v>5.9556144691179673</v>
      </c>
      <c r="AF31" s="69">
        <v>16.912996775574161</v>
      </c>
      <c r="AG31" s="68">
        <v>10.804367410349588</v>
      </c>
      <c r="AH31" s="68">
        <v>5.8958441152219025</v>
      </c>
      <c r="AI31" s="68">
        <v>0.64695991387928586</v>
      </c>
      <c r="AJ31" s="69">
        <v>223.3427732626597</v>
      </c>
      <c r="AK31" s="69">
        <v>1243.2886019388834</v>
      </c>
      <c r="AL31" s="69">
        <v>2866.8938634236656</v>
      </c>
      <c r="AM31" s="69">
        <v>506.21539306640625</v>
      </c>
      <c r="AN31" s="69">
        <v>5547.2138671875</v>
      </c>
      <c r="AO31" s="69">
        <v>2424.5659469604489</v>
      </c>
      <c r="AP31" s="69">
        <v>576.45155054728195</v>
      </c>
      <c r="AQ31" s="69">
        <v>2066.1653412501018</v>
      </c>
      <c r="AR31" s="69">
        <v>395.33720210393261</v>
      </c>
      <c r="AS31" s="69">
        <v>637.40469633738212</v>
      </c>
    </row>
    <row r="32" spans="1:45" x14ac:dyDescent="0.25">
      <c r="A32" s="11">
        <v>43581</v>
      </c>
      <c r="B32" s="59"/>
      <c r="C32" s="60">
        <v>62.986991933982026</v>
      </c>
      <c r="D32" s="60">
        <v>831.21141891479363</v>
      </c>
      <c r="E32" s="60">
        <v>15.863988115390141</v>
      </c>
      <c r="F32" s="60">
        <v>0</v>
      </c>
      <c r="G32" s="60">
        <v>2393.1595188140886</v>
      </c>
      <c r="H32" s="61">
        <v>26.012315756082511</v>
      </c>
      <c r="I32" s="59">
        <v>155.36471684773758</v>
      </c>
      <c r="J32" s="60">
        <v>407.39018319447848</v>
      </c>
      <c r="K32" s="60">
        <v>22.362118040521903</v>
      </c>
      <c r="L32" s="60">
        <v>1.4162063598632813E-4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274.73768923026262</v>
      </c>
      <c r="V32" s="62">
        <v>144.66616950556471</v>
      </c>
      <c r="W32" s="62">
        <v>43.999909980790207</v>
      </c>
      <c r="X32" s="62">
        <v>23.16863934229174</v>
      </c>
      <c r="Y32" s="66">
        <v>125.84286513564396</v>
      </c>
      <c r="Z32" s="66">
        <v>66.263952753569527</v>
      </c>
      <c r="AA32" s="67">
        <v>0</v>
      </c>
      <c r="AB32" s="68">
        <v>88.995086500379927</v>
      </c>
      <c r="AC32" s="69">
        <v>0</v>
      </c>
      <c r="AD32" s="409">
        <v>11.527674103826072</v>
      </c>
      <c r="AE32" s="409">
        <v>5.9637734258536357</v>
      </c>
      <c r="AF32" s="69">
        <v>16.739647393756425</v>
      </c>
      <c r="AG32" s="68">
        <v>10.772334112058921</v>
      </c>
      <c r="AH32" s="68">
        <v>5.6722916939130847</v>
      </c>
      <c r="AI32" s="68">
        <v>0.65506714711300129</v>
      </c>
      <c r="AJ32" s="69">
        <v>223.37148884137474</v>
      </c>
      <c r="AK32" s="69">
        <v>1248.3829701105756</v>
      </c>
      <c r="AL32" s="69">
        <v>3047.8667279561359</v>
      </c>
      <c r="AM32" s="69">
        <v>506.21539306640625</v>
      </c>
      <c r="AN32" s="69">
        <v>5547.2138671875</v>
      </c>
      <c r="AO32" s="69">
        <v>2401.3720172882086</v>
      </c>
      <c r="AP32" s="69">
        <v>572.77362626393631</v>
      </c>
      <c r="AQ32" s="69">
        <v>2071.8510290145878</v>
      </c>
      <c r="AR32" s="69">
        <v>401.85091443061827</v>
      </c>
      <c r="AS32" s="69">
        <v>709.69057197570805</v>
      </c>
    </row>
    <row r="33" spans="1:45" x14ac:dyDescent="0.25">
      <c r="A33" s="11" t="s">
        <v>234</v>
      </c>
      <c r="B33" s="59"/>
      <c r="C33" s="60">
        <v>62.724348266919179</v>
      </c>
      <c r="D33" s="60">
        <v>802.54454224904316</v>
      </c>
      <c r="E33" s="60">
        <v>15.843655610084543</v>
      </c>
      <c r="F33" s="60">
        <v>0</v>
      </c>
      <c r="G33" s="60">
        <v>2261.2436851501457</v>
      </c>
      <c r="H33" s="61">
        <v>26.181931994358738</v>
      </c>
      <c r="I33" s="59">
        <v>155.66225636800115</v>
      </c>
      <c r="J33" s="60">
        <v>404.79361298879013</v>
      </c>
      <c r="K33" s="60">
        <v>21.858913266658774</v>
      </c>
      <c r="L33" s="60">
        <v>3.7765502929687501E-5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273.16863776785704</v>
      </c>
      <c r="V33" s="62">
        <v>149.02237505969308</v>
      </c>
      <c r="W33" s="62">
        <v>43.68719337233</v>
      </c>
      <c r="X33" s="62">
        <v>23.832784646271552</v>
      </c>
      <c r="Y33" s="66">
        <v>125.76921187315284</v>
      </c>
      <c r="Z33" s="66">
        <v>68.611194959542132</v>
      </c>
      <c r="AA33" s="67">
        <v>0</v>
      </c>
      <c r="AB33" s="68">
        <v>88.300616317327709</v>
      </c>
      <c r="AC33" s="69">
        <v>0</v>
      </c>
      <c r="AD33" s="409">
        <v>11.455219520964093</v>
      </c>
      <c r="AE33" s="409">
        <v>5.9557311322113975</v>
      </c>
      <c r="AF33" s="69">
        <v>16.883707900842015</v>
      </c>
      <c r="AG33" s="68">
        <v>10.728919658361761</v>
      </c>
      <c r="AH33" s="68">
        <v>5.8529745668403814</v>
      </c>
      <c r="AI33" s="68">
        <v>0.64702617883397873</v>
      </c>
      <c r="AJ33" s="69">
        <v>225.8322291692098</v>
      </c>
      <c r="AK33" s="69">
        <v>1244.5622452418011</v>
      </c>
      <c r="AL33" s="69">
        <v>2910.4445325215656</v>
      </c>
      <c r="AM33" s="69">
        <v>506.21539306640625</v>
      </c>
      <c r="AN33" s="69">
        <v>5547.2138671875</v>
      </c>
      <c r="AO33" s="69">
        <v>2386.4033248901369</v>
      </c>
      <c r="AP33" s="69">
        <v>593.64682882626846</v>
      </c>
      <c r="AQ33" s="69">
        <v>2079.5505404790247</v>
      </c>
      <c r="AR33" s="69">
        <v>402.40057528813679</v>
      </c>
      <c r="AS33" s="69">
        <v>678.29674644470231</v>
      </c>
    </row>
    <row r="34" spans="1:45" x14ac:dyDescent="0.25">
      <c r="A34" s="11" t="s">
        <v>235</v>
      </c>
      <c r="B34" s="59"/>
      <c r="C34" s="60">
        <v>62.328077526886638</v>
      </c>
      <c r="D34" s="60">
        <v>802.40956624349087</v>
      </c>
      <c r="E34" s="60">
        <v>15.745023322105398</v>
      </c>
      <c r="F34" s="60">
        <v>0</v>
      </c>
      <c r="G34" s="60">
        <v>2281.5333932240819</v>
      </c>
      <c r="H34" s="61">
        <v>26.117313903570253</v>
      </c>
      <c r="I34" s="59">
        <v>158.64261764685304</v>
      </c>
      <c r="J34" s="60">
        <v>404.64156818389898</v>
      </c>
      <c r="K34" s="60">
        <v>21.821688729524563</v>
      </c>
      <c r="L34" s="60">
        <v>2.8324127197265628E-5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277.90959234297526</v>
      </c>
      <c r="V34" s="62">
        <v>151.56943529917154</v>
      </c>
      <c r="W34" s="62">
        <v>44.24328133361594</v>
      </c>
      <c r="X34" s="62">
        <v>24.129894585439818</v>
      </c>
      <c r="Y34" s="66">
        <v>127.37993063445907</v>
      </c>
      <c r="Z34" s="66">
        <v>69.471888292669888</v>
      </c>
      <c r="AA34" s="67">
        <v>0</v>
      </c>
      <c r="AB34" s="68">
        <v>88.301062038212024</v>
      </c>
      <c r="AC34" s="69">
        <v>0</v>
      </c>
      <c r="AD34" s="409">
        <v>11.450289856656248</v>
      </c>
      <c r="AE34" s="409">
        <v>5.9547932955531166</v>
      </c>
      <c r="AF34" s="69">
        <v>17.188092351622053</v>
      </c>
      <c r="AG34" s="68">
        <v>10.92752677741256</v>
      </c>
      <c r="AH34" s="68">
        <v>5.9597765190664651</v>
      </c>
      <c r="AI34" s="68">
        <v>0.64708536262808347</v>
      </c>
      <c r="AJ34" s="69">
        <v>224.63207421302795</v>
      </c>
      <c r="AK34" s="69">
        <v>1256.564083099365</v>
      </c>
      <c r="AL34" s="69">
        <v>2852.8688513437905</v>
      </c>
      <c r="AM34" s="69">
        <v>558.28044595718382</v>
      </c>
      <c r="AN34" s="69">
        <v>5547.2138671875</v>
      </c>
      <c r="AO34" s="69">
        <v>2404.2180806477863</v>
      </c>
      <c r="AP34" s="69">
        <v>593.07884507179267</v>
      </c>
      <c r="AQ34" s="69">
        <v>2070.896754964193</v>
      </c>
      <c r="AR34" s="69">
        <v>409.64164388974513</v>
      </c>
      <c r="AS34" s="69">
        <v>780.05885604222613</v>
      </c>
    </row>
    <row r="35" spans="1:45" x14ac:dyDescent="0.25">
      <c r="A35" s="11" t="s">
        <v>234</v>
      </c>
      <c r="B35" s="59"/>
      <c r="C35" s="60">
        <v>62.918249873321031</v>
      </c>
      <c r="D35" s="60">
        <v>798.99264322916486</v>
      </c>
      <c r="E35" s="60">
        <v>15.853507946928323</v>
      </c>
      <c r="F35" s="60">
        <v>0</v>
      </c>
      <c r="G35" s="60">
        <v>2213.0235343933095</v>
      </c>
      <c r="H35" s="61">
        <v>26.143406709035244</v>
      </c>
      <c r="I35" s="59">
        <v>162.91026337146749</v>
      </c>
      <c r="J35" s="60">
        <v>404.53327178955061</v>
      </c>
      <c r="K35" s="60">
        <v>21.788132966558113</v>
      </c>
      <c r="L35" s="60">
        <v>5.6648254394531249E-5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279.84246064735589</v>
      </c>
      <c r="V35" s="62">
        <v>152.67983365144218</v>
      </c>
      <c r="W35" s="62">
        <v>45.300673327657222</v>
      </c>
      <c r="X35" s="62">
        <v>24.715689148691666</v>
      </c>
      <c r="Y35" s="66">
        <v>127.05173847339545</v>
      </c>
      <c r="Z35" s="66">
        <v>69.318423838794374</v>
      </c>
      <c r="AA35" s="67">
        <v>0</v>
      </c>
      <c r="AB35" s="68">
        <v>88.291471698550581</v>
      </c>
      <c r="AC35" s="69">
        <v>0</v>
      </c>
      <c r="AD35" s="409">
        <v>11.447740869408531</v>
      </c>
      <c r="AE35" s="409">
        <v>5.9540639065933281</v>
      </c>
      <c r="AF35" s="69">
        <v>17.30035850074557</v>
      </c>
      <c r="AG35" s="68">
        <v>10.999116827656067</v>
      </c>
      <c r="AH35" s="68">
        <v>6.0010311647292705</v>
      </c>
      <c r="AI35" s="68">
        <v>0.64700123978819268</v>
      </c>
      <c r="AJ35" s="69">
        <v>249.64796229998265</v>
      </c>
      <c r="AK35" s="69">
        <v>1259.4142322540283</v>
      </c>
      <c r="AL35" s="69">
        <v>2823.6028617858883</v>
      </c>
      <c r="AM35" s="69">
        <v>625.79063415527344</v>
      </c>
      <c r="AN35" s="69">
        <v>5547.2138671875</v>
      </c>
      <c r="AO35" s="69">
        <v>2541.4878130594893</v>
      </c>
      <c r="AP35" s="69">
        <v>596.51652024587008</v>
      </c>
      <c r="AQ35" s="69">
        <v>2104.0298871358236</v>
      </c>
      <c r="AR35" s="69">
        <v>450.43546380996708</v>
      </c>
      <c r="AS35" s="69">
        <v>557.83335434595745</v>
      </c>
    </row>
    <row r="36" spans="1:45" x14ac:dyDescent="0.25">
      <c r="A36" s="11">
        <v>43584</v>
      </c>
      <c r="B36" s="59"/>
      <c r="C36" s="60">
        <v>62.918249873321031</v>
      </c>
      <c r="D36" s="60">
        <v>798.99264322916486</v>
      </c>
      <c r="E36" s="60">
        <v>15.853507946928323</v>
      </c>
      <c r="F36" s="60">
        <v>0</v>
      </c>
      <c r="G36" s="60">
        <v>2213.0235343933095</v>
      </c>
      <c r="H36" s="61">
        <v>26.143406709035244</v>
      </c>
      <c r="I36" s="59">
        <v>162.91026337146749</v>
      </c>
      <c r="J36" s="60">
        <v>404.53327178955061</v>
      </c>
      <c r="K36" s="60">
        <v>21.788132966558113</v>
      </c>
      <c r="L36" s="60">
        <v>5.6648254394531249E-5</v>
      </c>
      <c r="M36" s="60">
        <v>0</v>
      </c>
      <c r="N36" s="61">
        <v>0</v>
      </c>
      <c r="O36" s="59">
        <v>0</v>
      </c>
      <c r="P36" s="60">
        <v>0</v>
      </c>
      <c r="Q36" s="60">
        <v>0</v>
      </c>
      <c r="R36" s="63">
        <v>0</v>
      </c>
      <c r="S36" s="60">
        <v>0</v>
      </c>
      <c r="T36" s="64">
        <v>0</v>
      </c>
      <c r="U36" s="65">
        <v>279.84246064735589</v>
      </c>
      <c r="V36" s="62">
        <v>152.67983365144218</v>
      </c>
      <c r="W36" s="62">
        <v>45.300673327657222</v>
      </c>
      <c r="X36" s="62">
        <v>24.715689148691666</v>
      </c>
      <c r="Y36" s="66">
        <v>127.05173847339545</v>
      </c>
      <c r="Z36" s="66">
        <v>69.318423838794374</v>
      </c>
      <c r="AA36" s="67">
        <v>0</v>
      </c>
      <c r="AB36" s="68">
        <v>88.291471698550581</v>
      </c>
      <c r="AC36" s="69">
        <v>0</v>
      </c>
      <c r="AD36" s="409">
        <v>11.447740869408531</v>
      </c>
      <c r="AE36" s="409">
        <v>5.9540639065933281</v>
      </c>
      <c r="AF36" s="69">
        <v>17.30035850074557</v>
      </c>
      <c r="AG36" s="68">
        <v>10.999116827656067</v>
      </c>
      <c r="AH36" s="68">
        <v>6.0010311647292705</v>
      </c>
      <c r="AI36" s="68">
        <v>0.64700123978819268</v>
      </c>
      <c r="AJ36" s="69">
        <v>249.64796229998265</v>
      </c>
      <c r="AK36" s="69">
        <v>1259.4142322540283</v>
      </c>
      <c r="AL36" s="69">
        <v>2823.6028617858883</v>
      </c>
      <c r="AM36" s="69">
        <v>625.79063415527344</v>
      </c>
      <c r="AN36" s="69">
        <v>5547.2138671875</v>
      </c>
      <c r="AO36" s="69">
        <v>2541.4878130594893</v>
      </c>
      <c r="AP36" s="69">
        <v>596.51652024587008</v>
      </c>
      <c r="AQ36" s="69">
        <v>2104.0298871358236</v>
      </c>
      <c r="AR36" s="69">
        <v>450.43546380996708</v>
      </c>
      <c r="AS36" s="69">
        <v>557.83335434595745</v>
      </c>
    </row>
    <row r="37" spans="1:45" x14ac:dyDescent="0.25">
      <c r="A37" s="11">
        <v>43585</v>
      </c>
      <c r="B37" s="59"/>
      <c r="C37" s="60">
        <v>63.076501107215151</v>
      </c>
      <c r="D37" s="60">
        <v>748.3210248947131</v>
      </c>
      <c r="E37" s="60">
        <v>15.839382230242061</v>
      </c>
      <c r="F37" s="60">
        <v>0</v>
      </c>
      <c r="G37" s="60">
        <v>1917.1302693684836</v>
      </c>
      <c r="H37" s="61">
        <v>26.020413798093806</v>
      </c>
      <c r="I37" s="59">
        <v>162.90499928792318</v>
      </c>
      <c r="J37" s="60">
        <v>404.5058333396907</v>
      </c>
      <c r="K37" s="60">
        <v>21.746388806899397</v>
      </c>
      <c r="L37" s="60">
        <v>5.6648254394531249E-5</v>
      </c>
      <c r="M37" s="60">
        <v>0</v>
      </c>
      <c r="N37" s="61">
        <v>0</v>
      </c>
      <c r="O37" s="59">
        <v>0</v>
      </c>
      <c r="P37" s="60">
        <v>0</v>
      </c>
      <c r="Q37" s="60">
        <v>0</v>
      </c>
      <c r="R37" s="63">
        <v>0</v>
      </c>
      <c r="S37" s="60">
        <v>0</v>
      </c>
      <c r="T37" s="64">
        <v>0</v>
      </c>
      <c r="U37" s="65">
        <v>272.72599776243572</v>
      </c>
      <c r="V37" s="62">
        <v>148.77013803401147</v>
      </c>
      <c r="W37" s="62">
        <v>44.528104877380095</v>
      </c>
      <c r="X37" s="62">
        <v>24.289772017888659</v>
      </c>
      <c r="Y37" s="66">
        <v>126.99918327719948</v>
      </c>
      <c r="Z37" s="66">
        <v>69.277172625154236</v>
      </c>
      <c r="AA37" s="67">
        <v>0</v>
      </c>
      <c r="AB37" s="68">
        <v>88.290379497741768</v>
      </c>
      <c r="AC37" s="69">
        <v>0</v>
      </c>
      <c r="AD37" s="409">
        <v>11.446635394766286</v>
      </c>
      <c r="AE37" s="409">
        <v>5.9536351145164979</v>
      </c>
      <c r="AF37" s="69">
        <v>17.294736790657023</v>
      </c>
      <c r="AG37" s="68">
        <v>10.999774061019211</v>
      </c>
      <c r="AH37" s="68">
        <v>6.0003003704334192</v>
      </c>
      <c r="AI37" s="68">
        <v>0.64704270004065489</v>
      </c>
      <c r="AJ37" s="69">
        <v>265.74647512435911</v>
      </c>
      <c r="AK37" s="69">
        <v>1272.5593964894611</v>
      </c>
      <c r="AL37" s="69">
        <v>2800.9296585083011</v>
      </c>
      <c r="AM37" s="69">
        <v>625.79063415527344</v>
      </c>
      <c r="AN37" s="69">
        <v>5547.2138671875</v>
      </c>
      <c r="AO37" s="69">
        <v>2563.7633862813309</v>
      </c>
      <c r="AP37" s="69">
        <v>641.43082720438633</v>
      </c>
      <c r="AQ37" s="69">
        <v>2155.6038560231527</v>
      </c>
      <c r="AR37" s="69">
        <v>481.37050832112629</v>
      </c>
      <c r="AS37" s="69">
        <v>556.50795447031658</v>
      </c>
    </row>
    <row r="38" spans="1:45" ht="15.75" thickBot="1" x14ac:dyDescent="0.3">
      <c r="A38" s="11"/>
      <c r="B38" s="73"/>
      <c r="C38" s="74"/>
      <c r="D38" s="74"/>
      <c r="E38" s="74"/>
      <c r="F38" s="74"/>
      <c r="G38" s="74"/>
      <c r="H38" s="75"/>
      <c r="I38" s="76"/>
      <c r="J38" s="74"/>
      <c r="K38" s="74"/>
      <c r="L38" s="74"/>
      <c r="M38" s="74"/>
      <c r="N38" s="75"/>
      <c r="O38" s="76"/>
      <c r="P38" s="74"/>
      <c r="Q38" s="74"/>
      <c r="R38" s="77"/>
      <c r="S38" s="74"/>
      <c r="T38" s="78"/>
      <c r="U38" s="79"/>
      <c r="V38" s="80"/>
      <c r="W38" s="81"/>
      <c r="X38" s="81"/>
      <c r="Y38" s="80"/>
      <c r="Z38" s="80"/>
      <c r="AA38" s="82"/>
      <c r="AB38" s="83"/>
      <c r="AC38" s="84"/>
      <c r="AD38" s="409"/>
      <c r="AE38" s="409"/>
      <c r="AF38" s="85"/>
      <c r="AG38" s="83"/>
      <c r="AH38" s="83"/>
      <c r="AI38" s="83"/>
      <c r="AJ38" s="84"/>
      <c r="AK38" s="84"/>
      <c r="AL38" s="84"/>
      <c r="AM38" s="84"/>
      <c r="AN38" s="84"/>
      <c r="AO38" s="84"/>
      <c r="AP38" s="84"/>
      <c r="AQ38" s="84"/>
      <c r="AR38" s="84"/>
      <c r="AS38" s="84"/>
    </row>
    <row r="39" spans="1:45" ht="15.75" thickTop="1" x14ac:dyDescent="0.25">
      <c r="A39" s="46" t="s">
        <v>171</v>
      </c>
      <c r="B39" s="29">
        <f>SUM(B8:B38)</f>
        <v>0</v>
      </c>
      <c r="C39" s="30">
        <f t="shared" ref="C39:AC39" si="0">SUM(C8:C38)</f>
        <v>1881.1811938544142</v>
      </c>
      <c r="D39" s="30">
        <f t="shared" si="0"/>
        <v>26584.205917040512</v>
      </c>
      <c r="E39" s="30">
        <f t="shared" si="0"/>
        <v>477.41785552253276</v>
      </c>
      <c r="F39" s="30">
        <f t="shared" si="0"/>
        <v>0</v>
      </c>
      <c r="G39" s="30">
        <f t="shared" si="0"/>
        <v>82389.560077031521</v>
      </c>
      <c r="H39" s="31">
        <f t="shared" si="0"/>
        <v>786.5478284438459</v>
      </c>
      <c r="I39" s="29">
        <f t="shared" si="0"/>
        <v>3842.6238865057626</v>
      </c>
      <c r="J39" s="30">
        <f t="shared" si="0"/>
        <v>11345.325291808434</v>
      </c>
      <c r="K39" s="30">
        <f t="shared" si="0"/>
        <v>622.56499845882263</v>
      </c>
      <c r="L39" s="30">
        <f t="shared" si="0"/>
        <v>2.2564888000488276E-3</v>
      </c>
      <c r="M39" s="30">
        <f t="shared" si="0"/>
        <v>0</v>
      </c>
      <c r="N39" s="31">
        <f t="shared" si="0"/>
        <v>0</v>
      </c>
      <c r="O39" s="261">
        <f t="shared" si="0"/>
        <v>0</v>
      </c>
      <c r="P39" s="262">
        <f t="shared" si="0"/>
        <v>0</v>
      </c>
      <c r="Q39" s="262">
        <f t="shared" si="0"/>
        <v>0</v>
      </c>
      <c r="R39" s="262">
        <f t="shared" si="0"/>
        <v>0</v>
      </c>
      <c r="S39" s="262">
        <f t="shared" si="0"/>
        <v>0</v>
      </c>
      <c r="T39" s="263">
        <f t="shared" si="0"/>
        <v>0</v>
      </c>
      <c r="U39" s="261">
        <f t="shared" si="0"/>
        <v>7766.7570342366989</v>
      </c>
      <c r="V39" s="262">
        <f t="shared" si="0"/>
        <v>4513.9023866880152</v>
      </c>
      <c r="W39" s="262">
        <f t="shared" si="0"/>
        <v>1228.3518588418472</v>
      </c>
      <c r="X39" s="262">
        <f t="shared" si="0"/>
        <v>713.61474082522489</v>
      </c>
      <c r="Y39" s="262">
        <f t="shared" si="0"/>
        <v>3498.1213768917642</v>
      </c>
      <c r="Z39" s="262">
        <f t="shared" si="0"/>
        <v>2031.7829779825281</v>
      </c>
      <c r="AA39" s="270">
        <f t="shared" si="0"/>
        <v>0</v>
      </c>
      <c r="AB39" s="273">
        <f t="shared" si="0"/>
        <v>2355.4396480719465</v>
      </c>
      <c r="AC39" s="273">
        <f t="shared" si="0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1">SUM(AJ8:AJ38)</f>
        <v>8134.4181174119331</v>
      </c>
      <c r="AK39" s="273">
        <f t="shared" si="1"/>
        <v>38765.223043187449</v>
      </c>
      <c r="AL39" s="273">
        <f t="shared" si="1"/>
        <v>87976.437811152151</v>
      </c>
      <c r="AM39" s="273">
        <f t="shared" si="1"/>
        <v>9583.9157788912453</v>
      </c>
      <c r="AN39" s="273">
        <f t="shared" si="1"/>
        <v>87826.125087102249</v>
      </c>
      <c r="AO39" s="273">
        <f t="shared" si="1"/>
        <v>74580.550525156665</v>
      </c>
      <c r="AP39" s="273">
        <f t="shared" si="1"/>
        <v>17830.351284392673</v>
      </c>
      <c r="AQ39" s="273">
        <f t="shared" si="1"/>
        <v>61833.479878171274</v>
      </c>
      <c r="AR39" s="273">
        <f t="shared" si="1"/>
        <v>12811.53822628657</v>
      </c>
      <c r="AS39" s="273">
        <f t="shared" si="1"/>
        <v>19191.023831653591</v>
      </c>
    </row>
    <row r="40" spans="1:45" ht="15.75" thickBot="1" x14ac:dyDescent="0.3">
      <c r="A40" s="47" t="s">
        <v>172</v>
      </c>
      <c r="B40" s="32">
        <f>Projection!$AB$30</f>
        <v>0.82128400199999985</v>
      </c>
      <c r="C40" s="33">
        <f>Projection!$AB$28</f>
        <v>1.4863548</v>
      </c>
      <c r="D40" s="33">
        <f>Projection!$AB$31</f>
        <v>3.0824639999999999</v>
      </c>
      <c r="E40" s="33">
        <f>Projection!$AB$26</f>
        <v>4.3368000000000002</v>
      </c>
      <c r="F40" s="33">
        <f>Projection!$AB$23</f>
        <v>0</v>
      </c>
      <c r="G40" s="33">
        <f>Projection!$AB$24</f>
        <v>5.7950000000000002E-2</v>
      </c>
      <c r="H40" s="34">
        <f>Projection!$AB$29</f>
        <v>3.7390305000000001</v>
      </c>
      <c r="I40" s="32">
        <f>Projection!$AB$30</f>
        <v>0.82128400199999985</v>
      </c>
      <c r="J40" s="33">
        <f>Projection!$AB$28</f>
        <v>1.4863548</v>
      </c>
      <c r="K40" s="33">
        <f>Projection!$AB$26</f>
        <v>4.3368000000000002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1.4863548</v>
      </c>
      <c r="T40" s="38">
        <f>Projection!$AB$28</f>
        <v>1.4863548</v>
      </c>
      <c r="U40" s="26">
        <f>Projection!$AB$27</f>
        <v>0.29960000000000003</v>
      </c>
      <c r="V40" s="27">
        <f>Projection!$AB$27</f>
        <v>0.29960000000000003</v>
      </c>
      <c r="W40" s="27">
        <f>Projection!$AB$22</f>
        <v>0.74349432000000004</v>
      </c>
      <c r="X40" s="27">
        <f>Projection!$AB$22</f>
        <v>0.74349432000000004</v>
      </c>
      <c r="Y40" s="27">
        <f>Projection!$AB$31</f>
        <v>3.0824639999999999</v>
      </c>
      <c r="Z40" s="27">
        <f>Projection!$AB$31</f>
        <v>3.0824639999999999</v>
      </c>
      <c r="AA40" s="28">
        <v>0</v>
      </c>
      <c r="AB40" s="41">
        <f>Projection!$AB$27</f>
        <v>0.29960000000000003</v>
      </c>
      <c r="AC40" s="41">
        <f>Projection!$AB$30</f>
        <v>0.82128400199999985</v>
      </c>
      <c r="AD40" s="400">
        <f>SUM(AD8:AD38)</f>
        <v>320.55581976106362</v>
      </c>
      <c r="AE40" s="400">
        <f>SUM(AE8:AE38)</f>
        <v>179.53320185252548</v>
      </c>
      <c r="AF40" s="277">
        <f>SUM(AF8:AF38)</f>
        <v>488.06253699428498</v>
      </c>
      <c r="AG40" s="277">
        <f>SUM(AG8:AG38)</f>
        <v>304.5516379189491</v>
      </c>
      <c r="AH40" s="277">
        <f>SUM(AH8:AH38)</f>
        <v>176.98237826285984</v>
      </c>
      <c r="AI40" s="277">
        <f>IF(SUM(AG40:AH40)&gt;0, AG40/(AG40+AH40), 0)</f>
        <v>0.63246131671819827</v>
      </c>
      <c r="AJ40" s="312">
        <v>6.3E-2</v>
      </c>
      <c r="AK40" s="312">
        <f t="shared" ref="AK40:AS40" si="2">$AJ$40</f>
        <v>6.3E-2</v>
      </c>
      <c r="AL40" s="312">
        <f t="shared" si="2"/>
        <v>6.3E-2</v>
      </c>
      <c r="AM40" s="312">
        <f t="shared" si="2"/>
        <v>6.3E-2</v>
      </c>
      <c r="AN40" s="312">
        <f t="shared" si="2"/>
        <v>6.3E-2</v>
      </c>
      <c r="AO40" s="312">
        <f t="shared" si="2"/>
        <v>6.3E-2</v>
      </c>
      <c r="AP40" s="312">
        <f t="shared" si="2"/>
        <v>6.3E-2</v>
      </c>
      <c r="AQ40" s="312">
        <f t="shared" si="2"/>
        <v>6.3E-2</v>
      </c>
      <c r="AR40" s="312">
        <f t="shared" si="2"/>
        <v>6.3E-2</v>
      </c>
      <c r="AS40" s="312">
        <f t="shared" si="2"/>
        <v>6.3E-2</v>
      </c>
    </row>
    <row r="41" spans="1:45" ht="16.5" thickTop="1" thickBot="1" x14ac:dyDescent="0.3">
      <c r="A41" s="48" t="s">
        <v>26</v>
      </c>
      <c r="B41" s="35">
        <f t="shared" ref="B41:AC41" si="3">B40*B39</f>
        <v>0</v>
      </c>
      <c r="C41" s="36">
        <f t="shared" si="3"/>
        <v>2796.1026971552392</v>
      </c>
      <c r="D41" s="36">
        <f t="shared" si="3"/>
        <v>81944.857707864358</v>
      </c>
      <c r="E41" s="36">
        <f t="shared" si="3"/>
        <v>2070.4657558301201</v>
      </c>
      <c r="F41" s="36">
        <f t="shared" si="3"/>
        <v>0</v>
      </c>
      <c r="G41" s="36">
        <f t="shared" si="3"/>
        <v>4774.4750064639766</v>
      </c>
      <c r="H41" s="37">
        <f t="shared" si="3"/>
        <v>2940.9263202603074</v>
      </c>
      <c r="I41" s="35">
        <f t="shared" si="3"/>
        <v>3155.8855236902459</v>
      </c>
      <c r="J41" s="36">
        <f t="shared" si="3"/>
        <v>16863.178705040867</v>
      </c>
      <c r="K41" s="36">
        <f t="shared" si="3"/>
        <v>2699.939885316222</v>
      </c>
      <c r="L41" s="36">
        <f t="shared" si="3"/>
        <v>0</v>
      </c>
      <c r="M41" s="36">
        <f t="shared" si="3"/>
        <v>0</v>
      </c>
      <c r="N41" s="37">
        <f t="shared" si="3"/>
        <v>0</v>
      </c>
      <c r="O41" s="267">
        <f t="shared" si="3"/>
        <v>0</v>
      </c>
      <c r="P41" s="268">
        <f t="shared" si="3"/>
        <v>0</v>
      </c>
      <c r="Q41" s="268">
        <f t="shared" si="3"/>
        <v>0</v>
      </c>
      <c r="R41" s="268">
        <f t="shared" si="3"/>
        <v>0</v>
      </c>
      <c r="S41" s="268">
        <f t="shared" si="3"/>
        <v>0</v>
      </c>
      <c r="T41" s="269">
        <f t="shared" si="3"/>
        <v>0</v>
      </c>
      <c r="U41" s="267">
        <f t="shared" si="3"/>
        <v>2326.9204074573154</v>
      </c>
      <c r="V41" s="268">
        <f t="shared" si="3"/>
        <v>1352.3651550517295</v>
      </c>
      <c r="W41" s="268">
        <f t="shared" si="3"/>
        <v>913.27263001035521</v>
      </c>
      <c r="X41" s="268">
        <f t="shared" si="3"/>
        <v>530.56850647182682</v>
      </c>
      <c r="Y41" s="268">
        <f t="shared" si="3"/>
        <v>10782.833211899295</v>
      </c>
      <c r="Z41" s="268">
        <f t="shared" si="3"/>
        <v>6262.8978854439356</v>
      </c>
      <c r="AA41" s="272">
        <f t="shared" si="3"/>
        <v>0</v>
      </c>
      <c r="AB41" s="275">
        <f t="shared" si="3"/>
        <v>705.68971856235521</v>
      </c>
      <c r="AC41" s="275">
        <f t="shared" si="3"/>
        <v>0</v>
      </c>
      <c r="AJ41" s="278">
        <f t="shared" ref="AJ41:AS41" si="4">AJ40*AJ39</f>
        <v>512.46834139695181</v>
      </c>
      <c r="AK41" s="278">
        <f t="shared" si="4"/>
        <v>2442.2090517208094</v>
      </c>
      <c r="AL41" s="278">
        <f t="shared" si="4"/>
        <v>5542.5155821025855</v>
      </c>
      <c r="AM41" s="278">
        <f t="shared" si="4"/>
        <v>603.78669407014843</v>
      </c>
      <c r="AN41" s="278">
        <f t="shared" si="4"/>
        <v>5533.0458804874415</v>
      </c>
      <c r="AO41" s="278">
        <f t="shared" si="4"/>
        <v>4698.5746830848702</v>
      </c>
      <c r="AP41" s="278">
        <f t="shared" si="4"/>
        <v>1123.3121309167384</v>
      </c>
      <c r="AQ41" s="278">
        <f t="shared" si="4"/>
        <v>3895.5092323247904</v>
      </c>
      <c r="AR41" s="278">
        <f t="shared" si="4"/>
        <v>807.12690825605387</v>
      </c>
      <c r="AS41" s="278">
        <f t="shared" si="4"/>
        <v>1209.0345013941762</v>
      </c>
    </row>
    <row r="42" spans="1:45" ht="49.5" customHeight="1" thickTop="1" thickBot="1" x14ac:dyDescent="0.3">
      <c r="A42" s="633">
        <f>MARCH!$A$42+31</f>
        <v>43557</v>
      </c>
      <c r="B42" s="634"/>
      <c r="C42" s="634"/>
      <c r="D42" s="634"/>
      <c r="E42" s="634"/>
      <c r="F42" s="634"/>
      <c r="G42" s="634"/>
      <c r="H42" s="634"/>
      <c r="I42" s="634"/>
      <c r="J42" s="634"/>
      <c r="K42" s="63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1675.89</v>
      </c>
      <c r="AK42" s="278" t="s">
        <v>197</v>
      </c>
      <c r="AL42" s="278">
        <v>1397.97</v>
      </c>
      <c r="AM42" s="278">
        <v>779.75</v>
      </c>
      <c r="AN42" s="278">
        <v>891.82</v>
      </c>
      <c r="AO42" s="278">
        <v>4901.24</v>
      </c>
      <c r="AP42" s="278">
        <v>2045.36</v>
      </c>
      <c r="AQ42" s="278" t="s">
        <v>197</v>
      </c>
      <c r="AR42" s="278">
        <v>153.59</v>
      </c>
      <c r="AS42" s="278">
        <v>760.22</v>
      </c>
    </row>
    <row r="43" spans="1:45" ht="38.25" customHeight="1" thickTop="1" thickBot="1" x14ac:dyDescent="0.3">
      <c r="A43" s="630" t="s">
        <v>49</v>
      </c>
      <c r="B43" s="626"/>
      <c r="C43" s="289"/>
      <c r="D43" s="626" t="s">
        <v>47</v>
      </c>
      <c r="E43" s="626"/>
      <c r="F43" s="289"/>
      <c r="G43" s="626" t="s">
        <v>48</v>
      </c>
      <c r="H43" s="626"/>
      <c r="I43" s="290"/>
      <c r="J43" s="626" t="s">
        <v>50</v>
      </c>
      <c r="K43" s="627"/>
      <c r="L43" s="44"/>
      <c r="M43" s="44"/>
      <c r="N43" s="44"/>
      <c r="O43" s="45"/>
      <c r="P43" s="45"/>
      <c r="Q43" s="45"/>
      <c r="R43" s="615" t="s">
        <v>166</v>
      </c>
      <c r="S43" s="616"/>
      <c r="T43" s="616"/>
      <c r="U43" s="617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140120.37911651813</v>
      </c>
      <c r="C44" s="12"/>
      <c r="D44" s="282" t="s">
        <v>135</v>
      </c>
      <c r="E44" s="283">
        <f>SUM(B41:H41)+P41+R41+T41+V41+X41+Z41</f>
        <v>102672.65903454149</v>
      </c>
      <c r="F44" s="12"/>
      <c r="G44" s="282" t="s">
        <v>135</v>
      </c>
      <c r="H44" s="283">
        <f>SUM(I41:N41)+O41+Q41+S41+U41+W41+Y41</f>
        <v>36742.030363414298</v>
      </c>
      <c r="I44" s="12"/>
      <c r="J44" s="282" t="s">
        <v>198</v>
      </c>
      <c r="K44" s="283">
        <v>149922.87</v>
      </c>
      <c r="L44" s="12"/>
      <c r="M44" s="12"/>
      <c r="N44" s="12"/>
      <c r="O44" s="12"/>
      <c r="P44" s="12"/>
      <c r="Q44" s="12"/>
      <c r="R44" s="319" t="s">
        <v>135</v>
      </c>
      <c r="S44" s="320"/>
      <c r="T44" s="313" t="s">
        <v>167</v>
      </c>
      <c r="U44" s="255" t="s">
        <v>168</v>
      </c>
    </row>
    <row r="45" spans="1:45" ht="24" thickBot="1" x14ac:dyDescent="0.4">
      <c r="A45" s="284" t="s">
        <v>183</v>
      </c>
      <c r="B45" s="285">
        <f>SUM(AJ41:AS41)</f>
        <v>26367.583005754568</v>
      </c>
      <c r="C45" s="12"/>
      <c r="D45" s="284" t="s">
        <v>183</v>
      </c>
      <c r="E45" s="285">
        <f>AJ41*(1-$AI$40)+AK41+AL41*0.5+AN41+AO41*(1-$AI$40)+AP41*(1-$AI$40)+AQ41*(1-$AI$40)+AR41*0.5+AS41*0.5</f>
        <v>15514.464315299896</v>
      </c>
      <c r="F45" s="24"/>
      <c r="G45" s="284" t="s">
        <v>183</v>
      </c>
      <c r="H45" s="285">
        <f>AJ41*AI40+AL41*0.5+AM41+AO41*AI40+AP41*AI40+AQ41*AI40+AR41*0.5+AS41*0.5</f>
        <v>10853.118690454672</v>
      </c>
      <c r="I45" s="12"/>
      <c r="J45" s="12"/>
      <c r="K45" s="288"/>
      <c r="L45" s="12"/>
      <c r="M45" s="12"/>
      <c r="N45" s="12"/>
      <c r="O45" s="12"/>
      <c r="P45" s="12"/>
      <c r="Q45" s="12"/>
      <c r="R45" s="317" t="s">
        <v>141</v>
      </c>
      <c r="S45" s="318"/>
      <c r="T45" s="254">
        <f>$W$39+$X$39</f>
        <v>1941.9665996670719</v>
      </c>
      <c r="U45" s="256">
        <f>(T45*8.34*0.895)/27000</f>
        <v>0.53686745518129353</v>
      </c>
    </row>
    <row r="46" spans="1:45" ht="32.25" thickBot="1" x14ac:dyDescent="0.3">
      <c r="A46" s="286" t="s">
        <v>184</v>
      </c>
      <c r="B46" s="287">
        <f>SUM(AJ42:AS42)</f>
        <v>12605.84</v>
      </c>
      <c r="C46" s="12"/>
      <c r="D46" s="286" t="s">
        <v>184</v>
      </c>
      <c r="E46" s="287">
        <f>AJ42*(1-$AI$40)+AL42*0.5+AN42+AO42*(1-$AI$40)+AP42*(1-$AI$40)+AR42*0.5+AS42*0.5</f>
        <v>5216.8086212105027</v>
      </c>
      <c r="F46" s="23"/>
      <c r="G46" s="286" t="s">
        <v>184</v>
      </c>
      <c r="H46" s="287">
        <f>AJ42*AI40+AL42*0.5+AM42+AO42*AI40+AP42*AI40+AR42*0.5+AS42*0.5</f>
        <v>7389.0313787894975</v>
      </c>
      <c r="I46" s="12"/>
      <c r="J46" s="628" t="s">
        <v>199</v>
      </c>
      <c r="K46" s="629"/>
      <c r="L46" s="12"/>
      <c r="M46" s="12"/>
      <c r="N46" s="12"/>
      <c r="O46" s="12"/>
      <c r="P46" s="12"/>
      <c r="Q46" s="12"/>
      <c r="R46" s="317" t="s">
        <v>145</v>
      </c>
      <c r="S46" s="318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149922.87</v>
      </c>
      <c r="C47" s="12"/>
      <c r="D47" s="286" t="s">
        <v>187</v>
      </c>
      <c r="E47" s="287">
        <f>K44*0.5</f>
        <v>74961.434999999998</v>
      </c>
      <c r="F47" s="24"/>
      <c r="G47" s="286" t="s">
        <v>185</v>
      </c>
      <c r="H47" s="287">
        <f>K44*0.5</f>
        <v>74961.434999999998</v>
      </c>
      <c r="I47" s="12"/>
      <c r="J47" s="282" t="s">
        <v>198</v>
      </c>
      <c r="K47" s="283">
        <v>34232.68</v>
      </c>
      <c r="L47" s="12"/>
      <c r="M47" s="12"/>
      <c r="N47" s="12"/>
      <c r="O47" s="12"/>
      <c r="P47" s="12"/>
      <c r="Q47" s="12"/>
      <c r="R47" s="317" t="s">
        <v>148</v>
      </c>
      <c r="S47" s="318"/>
      <c r="T47" s="254">
        <f>$G$39</f>
        <v>82389.560077031521</v>
      </c>
      <c r="U47" s="256">
        <f>T47/40000</f>
        <v>2.059739001925788</v>
      </c>
    </row>
    <row r="48" spans="1:45" ht="24" thickBot="1" x14ac:dyDescent="0.3">
      <c r="A48" s="286" t="s">
        <v>186</v>
      </c>
      <c r="B48" s="287">
        <f>K47</f>
        <v>34232.68</v>
      </c>
      <c r="C48" s="12"/>
      <c r="D48" s="286" t="s">
        <v>186</v>
      </c>
      <c r="E48" s="287">
        <f>K47*0.5</f>
        <v>17116.34</v>
      </c>
      <c r="F48" s="23"/>
      <c r="G48" s="286" t="s">
        <v>186</v>
      </c>
      <c r="H48" s="287">
        <f>K47*0.5</f>
        <v>17116.34</v>
      </c>
      <c r="I48" s="12"/>
      <c r="J48" s="12"/>
      <c r="K48" s="86"/>
      <c r="L48" s="12"/>
      <c r="M48" s="12"/>
      <c r="N48" s="12"/>
      <c r="O48" s="12"/>
      <c r="P48" s="12"/>
      <c r="Q48" s="12"/>
      <c r="R48" s="317" t="s">
        <v>150</v>
      </c>
      <c r="S48" s="318"/>
      <c r="T48" s="254">
        <f>$L$39</f>
        <v>2.2564888000488276E-3</v>
      </c>
      <c r="U48" s="256">
        <f>T48*9.34*0.107</f>
        <v>2.2550897769927974E-3</v>
      </c>
    </row>
    <row r="49" spans="1:25" ht="48" thickTop="1" thickBot="1" x14ac:dyDescent="0.3">
      <c r="A49" s="291" t="s">
        <v>194</v>
      </c>
      <c r="B49" s="292">
        <f>AF40</f>
        <v>488.06253699428498</v>
      </c>
      <c r="C49" s="12"/>
      <c r="D49" s="291" t="s">
        <v>195</v>
      </c>
      <c r="E49" s="292">
        <f>AH40</f>
        <v>176.98237826285984</v>
      </c>
      <c r="F49" s="23"/>
      <c r="G49" s="291" t="s">
        <v>196</v>
      </c>
      <c r="H49" s="292">
        <f>AG40</f>
        <v>304.5516379189491</v>
      </c>
      <c r="I49" s="12"/>
      <c r="J49" s="12"/>
      <c r="K49" s="86"/>
      <c r="L49" s="12"/>
      <c r="M49" s="12"/>
      <c r="N49" s="12"/>
      <c r="O49" s="12"/>
      <c r="P49" s="12"/>
      <c r="Q49" s="12"/>
      <c r="R49" s="317" t="s">
        <v>152</v>
      </c>
      <c r="S49" s="318"/>
      <c r="T49" s="254">
        <f>$E$39+$K$39</f>
        <v>1099.9828539813554</v>
      </c>
      <c r="U49" s="256">
        <f>(T49*8.34*1.04)/45000</f>
        <v>0.212018028495393</v>
      </c>
    </row>
    <row r="50" spans="1:25" ht="48" customHeight="1" thickTop="1" thickBot="1" x14ac:dyDescent="0.3">
      <c r="A50" s="291" t="s">
        <v>223</v>
      </c>
      <c r="B50" s="292">
        <f>SUM(E50+H50)</f>
        <v>500.08902161358913</v>
      </c>
      <c r="C50" s="12"/>
      <c r="D50" s="291" t="s">
        <v>224</v>
      </c>
      <c r="E50" s="292">
        <f>AE40</f>
        <v>179.53320185252548</v>
      </c>
      <c r="F50" s="23"/>
      <c r="G50" s="291" t="s">
        <v>225</v>
      </c>
      <c r="H50" s="292">
        <f>AD40</f>
        <v>320.55581976106362</v>
      </c>
      <c r="I50" s="12"/>
      <c r="J50" s="12"/>
      <c r="K50" s="86"/>
      <c r="L50" s="12"/>
      <c r="M50" s="12"/>
      <c r="N50" s="12"/>
      <c r="O50" s="12"/>
      <c r="P50" s="12"/>
      <c r="Q50" s="12"/>
      <c r="R50" s="317"/>
      <c r="S50" s="318"/>
      <c r="T50" s="254"/>
      <c r="U50" s="256"/>
    </row>
    <row r="51" spans="1:25" ht="48" thickTop="1" thickBot="1" x14ac:dyDescent="0.3">
      <c r="A51" s="291" t="s">
        <v>190</v>
      </c>
      <c r="B51" s="293">
        <f>(SUM(B44:B48)/B50)</f>
        <v>726.36937909616756</v>
      </c>
      <c r="C51" s="12"/>
      <c r="D51" s="291" t="s">
        <v>188</v>
      </c>
      <c r="E51" s="294">
        <f>SUM(E44:E48)/E50</f>
        <v>1200.2331866617947</v>
      </c>
      <c r="F51" s="23"/>
      <c r="G51" s="291" t="s">
        <v>189</v>
      </c>
      <c r="H51" s="294">
        <f>SUM(H44:H48)/H50</f>
        <v>458.77175320752474</v>
      </c>
      <c r="I51" s="12"/>
      <c r="J51" s="12"/>
      <c r="K51" s="86"/>
      <c r="L51" s="12"/>
      <c r="M51" s="12"/>
      <c r="N51" s="12"/>
      <c r="O51" s="12"/>
      <c r="P51" s="12"/>
      <c r="Q51" s="12"/>
      <c r="R51" s="317" t="s">
        <v>153</v>
      </c>
      <c r="S51" s="318"/>
      <c r="T51" s="254">
        <f>$U$39+$V$39+$AB$39</f>
        <v>14636.09906899666</v>
      </c>
      <c r="U51" s="256">
        <f>T51/2000/8</f>
        <v>0.91475619181229129</v>
      </c>
    </row>
    <row r="52" spans="1:25" ht="47.25" customHeight="1" thickTop="1" thickBot="1" x14ac:dyDescent="0.3">
      <c r="A52" s="281" t="s">
        <v>191</v>
      </c>
      <c r="B52" s="294">
        <f>B51/1000</f>
        <v>0.72636937909616761</v>
      </c>
      <c r="C52" s="12"/>
      <c r="D52" s="281" t="s">
        <v>192</v>
      </c>
      <c r="E52" s="294">
        <f>E51/1000</f>
        <v>1.2002331866617946</v>
      </c>
      <c r="F52" s="373">
        <f>E44/E49</f>
        <v>580.12927638506926</v>
      </c>
      <c r="G52" s="281" t="s">
        <v>193</v>
      </c>
      <c r="H52" s="294">
        <f>H51/1000</f>
        <v>0.45877175320752472</v>
      </c>
      <c r="I52" s="373">
        <f>H44/H49</f>
        <v>120.64302334565846</v>
      </c>
      <c r="J52" s="12"/>
      <c r="K52" s="86"/>
      <c r="L52" s="12"/>
      <c r="M52" s="12"/>
      <c r="N52" s="12"/>
      <c r="O52" s="12"/>
      <c r="P52" s="12"/>
      <c r="Q52" s="12"/>
      <c r="R52" s="317" t="s">
        <v>154</v>
      </c>
      <c r="S52" s="318"/>
      <c r="T52" s="254">
        <f>$C$39+$J$39+$S$39+$T$39</f>
        <v>13226.506485662849</v>
      </c>
      <c r="U52" s="256">
        <f>(T52*8.34*1.4)/45000</f>
        <v>3.4318375494799866</v>
      </c>
    </row>
    <row r="53" spans="1:25" ht="16.5" thickTop="1" thickBot="1" x14ac:dyDescent="0.3">
      <c r="A53" s="302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7" t="s">
        <v>155</v>
      </c>
      <c r="S53" s="318"/>
      <c r="T53" s="254">
        <f>$H$39</f>
        <v>786.5478284438459</v>
      </c>
      <c r="U53" s="256">
        <f>(T53*8.34*1.135)/45000</f>
        <v>0.16545295753925779</v>
      </c>
    </row>
    <row r="54" spans="1:25" ht="48" customHeight="1" thickTop="1" thickBot="1" x14ac:dyDescent="0.3">
      <c r="A54" s="618" t="s">
        <v>51</v>
      </c>
      <c r="B54" s="619"/>
      <c r="C54" s="619"/>
      <c r="D54" s="619"/>
      <c r="E54" s="62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7" t="s">
        <v>156</v>
      </c>
      <c r="S54" s="318"/>
      <c r="T54" s="254">
        <f>$B$39+$I$39+$AC$39</f>
        <v>3842.6238865057626</v>
      </c>
      <c r="U54" s="256">
        <f>(T54*8.34*1.029*0.03)/3300</f>
        <v>0.29978963842407585</v>
      </c>
    </row>
    <row r="55" spans="1:25" ht="45.75" customHeight="1" thickBot="1" x14ac:dyDescent="0.3">
      <c r="A55" s="623" t="s">
        <v>200</v>
      </c>
      <c r="B55" s="624"/>
      <c r="C55" s="624"/>
      <c r="D55" s="624"/>
      <c r="E55" s="62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1" t="s">
        <v>158</v>
      </c>
      <c r="S55" s="632"/>
      <c r="T55" s="258">
        <f>$D$39+$Y$39+$Z$39</f>
        <v>32114.110271914808</v>
      </c>
      <c r="U55" s="259">
        <f>(T55*1.54*8.34)/45000</f>
        <v>9.1657952597414454</v>
      </c>
    </row>
    <row r="56" spans="1:25" ht="24" thickTop="1" x14ac:dyDescent="0.25">
      <c r="A56" s="661"/>
      <c r="B56" s="66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63"/>
      <c r="B57" s="66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59"/>
      <c r="B58" s="66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60"/>
      <c r="B59" s="66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59"/>
      <c r="B60" s="66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60"/>
      <c r="B61" s="660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</sheetData>
  <sheetProtection algorithmName="SHA-512" hashValue="BcsCwPGTWtJ9kUB4hKgBOJcgkRP1r6ZBD5XORwaBq3yOLeGpkod2Q8fnhtlHAYImq70wjltzF/upWgQ7hSlaOg==" saltValue="H7709eHKmbsT5vm/oeo+gg==" spinCount="100000" sheet="1" objects="1" scenarios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52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W65"/>
  <sheetViews>
    <sheetView topLeftCell="A44" zoomScale="80" zoomScaleNormal="80" workbookViewId="0">
      <selection activeCell="AU30" sqref="AU30"/>
    </sheetView>
  </sheetViews>
  <sheetFormatPr defaultRowHeight="15" x14ac:dyDescent="0.25"/>
  <cols>
    <col min="1" max="1" width="46.5703125" bestFit="1" customWidth="1"/>
    <col min="2" max="2" width="19.140625" customWidth="1"/>
    <col min="3" max="3" width="27.85546875" bestFit="1" customWidth="1"/>
    <col min="4" max="4" width="29.5703125" customWidth="1"/>
    <col min="5" max="5" width="22.42578125" bestFit="1" customWidth="1"/>
    <col min="6" max="6" width="15.140625" bestFit="1" customWidth="1"/>
    <col min="7" max="7" width="35.5703125" customWidth="1"/>
    <col min="8" max="8" width="19.140625" bestFit="1" customWidth="1"/>
    <col min="9" max="9" width="28.28515625" bestFit="1" customWidth="1"/>
    <col min="10" max="10" width="25.42578125" bestFit="1" customWidth="1"/>
    <col min="11" max="11" width="19.28515625" bestFit="1" customWidth="1"/>
    <col min="12" max="12" width="17.140625" bestFit="1" customWidth="1"/>
    <col min="13" max="13" width="16.140625" bestFit="1" customWidth="1"/>
    <col min="14" max="14" width="15.140625" bestFit="1" customWidth="1"/>
    <col min="15" max="15" width="16.28515625" bestFit="1" customWidth="1"/>
    <col min="16" max="16" width="15.7109375" bestFit="1" customWidth="1"/>
    <col min="17" max="17" width="24" bestFit="1" customWidth="1"/>
    <col min="18" max="18" width="24.42578125" bestFit="1" customWidth="1"/>
    <col min="19" max="19" width="26" bestFit="1" customWidth="1"/>
    <col min="20" max="20" width="25.85546875" bestFit="1" customWidth="1"/>
    <col min="21" max="21" width="13.5703125" bestFit="1" customWidth="1"/>
    <col min="22" max="22" width="11.5703125" bestFit="1" customWidth="1"/>
    <col min="23" max="23" width="20.28515625" bestFit="1" customWidth="1"/>
    <col min="24" max="24" width="20" bestFit="1" customWidth="1"/>
    <col min="25" max="25" width="22.5703125" bestFit="1" customWidth="1"/>
    <col min="26" max="26" width="22.28515625" bestFit="1" customWidth="1"/>
    <col min="27" max="27" width="21.28515625" bestFit="1" customWidth="1"/>
    <col min="28" max="28" width="32.85546875" bestFit="1" customWidth="1"/>
    <col min="29" max="31" width="36.7109375" customWidth="1"/>
    <col min="32" max="32" width="33.28515625" bestFit="1" customWidth="1"/>
    <col min="33" max="33" width="26.85546875" customWidth="1"/>
    <col min="34" max="34" width="23" customWidth="1"/>
    <col min="35" max="35" width="22.28515625" customWidth="1"/>
    <col min="36" max="36" width="23" bestFit="1" customWidth="1"/>
    <col min="37" max="37" width="17" bestFit="1" customWidth="1"/>
    <col min="38" max="38" width="17.5703125" bestFit="1" customWidth="1"/>
    <col min="39" max="40" width="15.85546875" bestFit="1" customWidth="1"/>
    <col min="41" max="41" width="21.85546875" bestFit="1" customWidth="1"/>
    <col min="42" max="42" width="18.7109375" bestFit="1" customWidth="1"/>
    <col min="43" max="45" width="15.85546875" bestFit="1" customWidth="1"/>
    <col min="46" max="47" width="20.42578125" customWidth="1"/>
  </cols>
  <sheetData>
    <row r="1" spans="1:49" ht="15" customHeight="1" x14ac:dyDescent="0.25">
      <c r="A1" s="1" t="s">
        <v>0</v>
      </c>
      <c r="B1" s="2"/>
      <c r="C1" t="s">
        <v>1</v>
      </c>
      <c r="O1" s="3"/>
      <c r="P1" s="4"/>
      <c r="Q1" s="4"/>
      <c r="R1" s="4"/>
    </row>
    <row r="2" spans="1:49" ht="15" customHeight="1" x14ac:dyDescent="0.25">
      <c r="A2" s="1" t="s">
        <v>2</v>
      </c>
      <c r="B2" s="5"/>
      <c r="O2" s="4"/>
      <c r="P2" s="4"/>
      <c r="Q2" s="4"/>
      <c r="R2" s="4"/>
    </row>
    <row r="3" spans="1:49" ht="15.75" thickBot="1" x14ac:dyDescent="0.3">
      <c r="A3" s="6"/>
    </row>
    <row r="4" spans="1:49" ht="30" customHeight="1" thickTop="1" x14ac:dyDescent="0.25">
      <c r="A4" s="13"/>
      <c r="B4" s="637" t="s">
        <v>3</v>
      </c>
      <c r="C4" s="638"/>
      <c r="D4" s="638"/>
      <c r="E4" s="638"/>
      <c r="F4" s="638"/>
      <c r="G4" s="638"/>
      <c r="H4" s="639"/>
      <c r="I4" s="637" t="s">
        <v>4</v>
      </c>
      <c r="J4" s="638"/>
      <c r="K4" s="638"/>
      <c r="L4" s="638"/>
      <c r="M4" s="638"/>
      <c r="N4" s="639"/>
      <c r="O4" s="643" t="s">
        <v>5</v>
      </c>
      <c r="P4" s="644"/>
      <c r="Q4" s="645"/>
      <c r="R4" s="645"/>
      <c r="S4" s="645"/>
      <c r="T4" s="646"/>
      <c r="U4" s="637" t="s">
        <v>6</v>
      </c>
      <c r="V4" s="650"/>
      <c r="W4" s="650"/>
      <c r="X4" s="650"/>
      <c r="Y4" s="650"/>
      <c r="Z4" s="650"/>
      <c r="AA4" s="651"/>
      <c r="AB4" s="655" t="s">
        <v>7</v>
      </c>
      <c r="AC4" s="657" t="s">
        <v>8</v>
      </c>
      <c r="AD4" s="621" t="s">
        <v>222</v>
      </c>
      <c r="AE4" s="621" t="s">
        <v>221</v>
      </c>
      <c r="AF4" s="621" t="s">
        <v>27</v>
      </c>
      <c r="AG4" s="621" t="s">
        <v>31</v>
      </c>
      <c r="AH4" s="621" t="s">
        <v>32</v>
      </c>
      <c r="AI4" s="621" t="s">
        <v>33</v>
      </c>
      <c r="AJ4" s="655" t="s">
        <v>173</v>
      </c>
      <c r="AK4" s="655" t="s">
        <v>174</v>
      </c>
      <c r="AL4" s="655" t="s">
        <v>175</v>
      </c>
      <c r="AM4" s="655" t="s">
        <v>176</v>
      </c>
      <c r="AN4" s="655" t="s">
        <v>177</v>
      </c>
      <c r="AO4" s="655" t="s">
        <v>178</v>
      </c>
      <c r="AP4" s="655" t="s">
        <v>179</v>
      </c>
      <c r="AQ4" s="655" t="s">
        <v>182</v>
      </c>
      <c r="AR4" s="655" t="s">
        <v>180</v>
      </c>
      <c r="AS4" s="655" t="s">
        <v>181</v>
      </c>
      <c r="AV4" t="s">
        <v>169</v>
      </c>
      <c r="AW4" s="337" t="s">
        <v>207</v>
      </c>
    </row>
    <row r="5" spans="1:49" ht="30" customHeight="1" thickBot="1" x14ac:dyDescent="0.3">
      <c r="A5" s="13"/>
      <c r="B5" s="640"/>
      <c r="C5" s="641"/>
      <c r="D5" s="641"/>
      <c r="E5" s="641"/>
      <c r="F5" s="641"/>
      <c r="G5" s="641"/>
      <c r="H5" s="642"/>
      <c r="I5" s="640"/>
      <c r="J5" s="641"/>
      <c r="K5" s="641"/>
      <c r="L5" s="641"/>
      <c r="M5" s="641"/>
      <c r="N5" s="642"/>
      <c r="O5" s="647"/>
      <c r="P5" s="648"/>
      <c r="Q5" s="648"/>
      <c r="R5" s="648"/>
      <c r="S5" s="648"/>
      <c r="T5" s="649"/>
      <c r="U5" s="652"/>
      <c r="V5" s="653"/>
      <c r="W5" s="653"/>
      <c r="X5" s="653"/>
      <c r="Y5" s="653"/>
      <c r="Z5" s="653"/>
      <c r="AA5" s="654"/>
      <c r="AB5" s="656"/>
      <c r="AC5" s="658"/>
      <c r="AD5" s="622"/>
      <c r="AE5" s="622"/>
      <c r="AF5" s="636"/>
      <c r="AG5" s="636"/>
      <c r="AH5" s="636"/>
      <c r="AI5" s="636"/>
      <c r="AJ5" s="622"/>
      <c r="AK5" s="622"/>
      <c r="AL5" s="622"/>
      <c r="AM5" s="622"/>
      <c r="AN5" s="622"/>
      <c r="AO5" s="622"/>
      <c r="AP5" s="622"/>
      <c r="AQ5" s="622"/>
      <c r="AR5" s="622"/>
      <c r="AS5" s="622"/>
    </row>
    <row r="6" spans="1:49" ht="18" x14ac:dyDescent="0.25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35</v>
      </c>
      <c r="P6" s="9" t="s">
        <v>36</v>
      </c>
      <c r="Q6" s="9" t="s">
        <v>37</v>
      </c>
      <c r="R6" s="9" t="s">
        <v>38</v>
      </c>
      <c r="S6" s="8" t="s">
        <v>39</v>
      </c>
      <c r="T6" s="39" t="s">
        <v>40</v>
      </c>
      <c r="U6" s="17" t="s">
        <v>41</v>
      </c>
      <c r="V6" s="8" t="s">
        <v>42</v>
      </c>
      <c r="W6" s="8" t="s">
        <v>43</v>
      </c>
      <c r="X6" s="8" t="s">
        <v>44</v>
      </c>
      <c r="Y6" s="8" t="s">
        <v>45</v>
      </c>
      <c r="Z6" s="8" t="s">
        <v>46</v>
      </c>
      <c r="AA6" s="18" t="s">
        <v>20</v>
      </c>
      <c r="AB6" s="19" t="s">
        <v>21</v>
      </c>
      <c r="AC6" s="19" t="s">
        <v>22</v>
      </c>
      <c r="AD6" s="42"/>
      <c r="AE6" s="42"/>
      <c r="AF6" s="42" t="s">
        <v>30</v>
      </c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</row>
    <row r="7" spans="1:49" ht="15.75" thickBot="1" x14ac:dyDescent="0.3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40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316" t="s">
        <v>23</v>
      </c>
      <c r="AD7" s="398" t="s">
        <v>28</v>
      </c>
      <c r="AE7" s="398" t="s">
        <v>28</v>
      </c>
      <c r="AF7" s="22" t="s">
        <v>28</v>
      </c>
      <c r="AG7" s="22" t="s">
        <v>28</v>
      </c>
      <c r="AH7" s="22" t="s">
        <v>28</v>
      </c>
      <c r="AI7" s="22" t="s">
        <v>34</v>
      </c>
      <c r="AJ7" s="22" t="s">
        <v>170</v>
      </c>
      <c r="AK7" s="22" t="s">
        <v>170</v>
      </c>
      <c r="AL7" s="22" t="s">
        <v>170</v>
      </c>
      <c r="AM7" s="22" t="s">
        <v>170</v>
      </c>
      <c r="AN7" s="22" t="s">
        <v>170</v>
      </c>
      <c r="AO7" s="22" t="s">
        <v>170</v>
      </c>
      <c r="AP7" s="22" t="s">
        <v>170</v>
      </c>
      <c r="AQ7" s="22" t="s">
        <v>170</v>
      </c>
      <c r="AR7" s="22" t="s">
        <v>170</v>
      </c>
      <c r="AS7" s="22" t="s">
        <v>170</v>
      </c>
    </row>
    <row r="8" spans="1:49" x14ac:dyDescent="0.25">
      <c r="A8" s="11">
        <v>43586</v>
      </c>
      <c r="B8" s="49"/>
      <c r="C8" s="50">
        <v>62.951854272682993</v>
      </c>
      <c r="D8" s="50">
        <v>761.11027901967191</v>
      </c>
      <c r="E8" s="50">
        <v>15.808455335100465</v>
      </c>
      <c r="F8" s="50">
        <v>0</v>
      </c>
      <c r="G8" s="50">
        <v>1820.1043944040964</v>
      </c>
      <c r="H8" s="51">
        <v>26.196021113793105</v>
      </c>
      <c r="I8" s="49">
        <v>122.5986357688902</v>
      </c>
      <c r="J8" s="50">
        <v>404.32622257868456</v>
      </c>
      <c r="K8" s="50">
        <v>22.225296264886904</v>
      </c>
      <c r="L8" s="50">
        <v>0</v>
      </c>
      <c r="M8" s="50">
        <v>0</v>
      </c>
      <c r="N8" s="51">
        <v>0</v>
      </c>
      <c r="O8" s="49">
        <v>0</v>
      </c>
      <c r="P8" s="50">
        <v>0</v>
      </c>
      <c r="Q8" s="50">
        <v>0</v>
      </c>
      <c r="R8" s="50">
        <v>0</v>
      </c>
      <c r="S8" s="50">
        <v>0</v>
      </c>
      <c r="T8" s="52">
        <v>0</v>
      </c>
      <c r="U8" s="53">
        <v>272.09219939885446</v>
      </c>
      <c r="V8" s="54">
        <v>148.44572668163559</v>
      </c>
      <c r="W8" s="54">
        <v>44.269228725972688</v>
      </c>
      <c r="X8" s="54">
        <v>24.152025829411631</v>
      </c>
      <c r="Y8" s="54">
        <v>125.49382233540275</v>
      </c>
      <c r="Z8" s="54">
        <v>68.465842430591053</v>
      </c>
      <c r="AA8" s="55">
        <v>0</v>
      </c>
      <c r="AB8" s="57">
        <v>88.292868471147287</v>
      </c>
      <c r="AC8" s="57">
        <v>0</v>
      </c>
      <c r="AD8" s="408">
        <v>11.441470162820153</v>
      </c>
      <c r="AE8" s="408">
        <v>5.951725234975501</v>
      </c>
      <c r="AF8" s="57">
        <v>17.288235529263805</v>
      </c>
      <c r="AG8" s="58">
        <v>10.998434851900914</v>
      </c>
      <c r="AH8" s="58">
        <v>6.0004316829302384</v>
      </c>
      <c r="AI8" s="58">
        <v>0.64700989500475303</v>
      </c>
      <c r="AJ8" s="57">
        <v>262.06339488029482</v>
      </c>
      <c r="AK8" s="57">
        <v>1267.389475186666</v>
      </c>
      <c r="AL8" s="57">
        <v>2837.6765888214109</v>
      </c>
      <c r="AM8" s="57">
        <v>625.79063415527344</v>
      </c>
      <c r="AN8" s="57">
        <v>5547.2138671875</v>
      </c>
      <c r="AO8" s="57">
        <v>2616.1549297332763</v>
      </c>
      <c r="AP8" s="57">
        <v>650.40178928375246</v>
      </c>
      <c r="AQ8" s="57">
        <v>2149.4457931518555</v>
      </c>
      <c r="AR8" s="57">
        <v>475.6310447057088</v>
      </c>
      <c r="AS8" s="57">
        <v>571.53137063980103</v>
      </c>
    </row>
    <row r="9" spans="1:49" x14ac:dyDescent="0.25">
      <c r="A9" s="11">
        <v>43587</v>
      </c>
      <c r="B9" s="59"/>
      <c r="C9" s="60">
        <v>62.933810214201806</v>
      </c>
      <c r="D9" s="60">
        <v>781.99903008143099</v>
      </c>
      <c r="E9" s="60">
        <v>15.547428718209259</v>
      </c>
      <c r="F9" s="60">
        <v>0</v>
      </c>
      <c r="G9" s="60">
        <v>1895.1820847829192</v>
      </c>
      <c r="H9" s="61">
        <v>26.232013158003539</v>
      </c>
      <c r="I9" s="59">
        <v>110.47044774691253</v>
      </c>
      <c r="J9" s="60">
        <v>403.4224306106571</v>
      </c>
      <c r="K9" s="60">
        <v>22.147615355253176</v>
      </c>
      <c r="L9" s="50">
        <v>0</v>
      </c>
      <c r="M9" s="60">
        <v>0</v>
      </c>
      <c r="N9" s="61">
        <v>0</v>
      </c>
      <c r="O9" s="59">
        <v>0</v>
      </c>
      <c r="P9" s="60">
        <v>0</v>
      </c>
      <c r="Q9" s="62">
        <v>0</v>
      </c>
      <c r="R9" s="63">
        <v>0</v>
      </c>
      <c r="S9" s="60">
        <v>0</v>
      </c>
      <c r="T9" s="64">
        <v>0</v>
      </c>
      <c r="U9" s="65">
        <v>267.43573541829807</v>
      </c>
      <c r="V9" s="62">
        <v>145.84119634439875</v>
      </c>
      <c r="W9" s="62">
        <v>42.986400263267448</v>
      </c>
      <c r="X9" s="62">
        <v>23.441848678630858</v>
      </c>
      <c r="Y9" s="66">
        <v>122.35468737317127</v>
      </c>
      <c r="Z9" s="66">
        <v>66.723895207713085</v>
      </c>
      <c r="AA9" s="67">
        <v>0</v>
      </c>
      <c r="AB9" s="68">
        <v>88.401746294234997</v>
      </c>
      <c r="AC9" s="69">
        <v>0</v>
      </c>
      <c r="AD9" s="409">
        <v>11.414495668677123</v>
      </c>
      <c r="AE9" s="409">
        <v>5.9555951483960081</v>
      </c>
      <c r="AF9" s="69">
        <v>16.92783041265276</v>
      </c>
      <c r="AG9" s="68">
        <v>10.76503552595749</v>
      </c>
      <c r="AH9" s="68">
        <v>5.8705156113111396</v>
      </c>
      <c r="AI9" s="68">
        <v>0.64711024222338975</v>
      </c>
      <c r="AJ9" s="69">
        <v>250.71609767278036</v>
      </c>
      <c r="AK9" s="69">
        <v>1259.8922080993652</v>
      </c>
      <c r="AL9" s="69">
        <v>2804.9269022623698</v>
      </c>
      <c r="AM9" s="69">
        <v>625.79063415527344</v>
      </c>
      <c r="AN9" s="69">
        <v>5547.2138671875</v>
      </c>
      <c r="AO9" s="69">
        <v>2536.8304191589364</v>
      </c>
      <c r="AP9" s="69">
        <v>625.39348042805989</v>
      </c>
      <c r="AQ9" s="69">
        <v>2145.3887967427572</v>
      </c>
      <c r="AR9" s="69">
        <v>443.97131760915124</v>
      </c>
      <c r="AS9" s="69">
        <v>658.17469377517693</v>
      </c>
    </row>
    <row r="10" spans="1:49" x14ac:dyDescent="0.25">
      <c r="A10" s="11">
        <v>43588</v>
      </c>
      <c r="B10" s="59"/>
      <c r="C10" s="60">
        <v>62.654008591175611</v>
      </c>
      <c r="D10" s="60">
        <v>786.85824000040759</v>
      </c>
      <c r="E10" s="60">
        <v>15.254761840899741</v>
      </c>
      <c r="F10" s="60">
        <v>0</v>
      </c>
      <c r="G10" s="60">
        <v>1985.5271091461136</v>
      </c>
      <c r="H10" s="61">
        <v>26.285377744833671</v>
      </c>
      <c r="I10" s="59">
        <v>135.21862064997373</v>
      </c>
      <c r="J10" s="60">
        <v>433.26332553227775</v>
      </c>
      <c r="K10" s="60">
        <v>23.739073199033719</v>
      </c>
      <c r="L10" s="50">
        <v>0</v>
      </c>
      <c r="M10" s="60">
        <v>0</v>
      </c>
      <c r="N10" s="61">
        <v>0</v>
      </c>
      <c r="O10" s="59">
        <v>0</v>
      </c>
      <c r="P10" s="60">
        <v>0</v>
      </c>
      <c r="Q10" s="60">
        <v>0</v>
      </c>
      <c r="R10" s="63">
        <v>0</v>
      </c>
      <c r="S10" s="60">
        <v>0</v>
      </c>
      <c r="T10" s="64">
        <v>0</v>
      </c>
      <c r="U10" s="65">
        <v>268.08910230675895</v>
      </c>
      <c r="V10" s="62">
        <v>147.24484277685974</v>
      </c>
      <c r="W10" s="62">
        <v>41.877829711342557</v>
      </c>
      <c r="X10" s="62">
        <v>23.000914243157126</v>
      </c>
      <c r="Y10" s="66">
        <v>121.54199286504884</v>
      </c>
      <c r="Z10" s="66">
        <v>66.755535664118369</v>
      </c>
      <c r="AA10" s="67">
        <v>0</v>
      </c>
      <c r="AB10" s="68">
        <v>92.636436006757975</v>
      </c>
      <c r="AC10" s="69">
        <v>0</v>
      </c>
      <c r="AD10" s="409">
        <v>12.255873903262884</v>
      </c>
      <c r="AE10" s="409">
        <v>5.9550155032269405</v>
      </c>
      <c r="AF10" s="69">
        <v>16.759113605154859</v>
      </c>
      <c r="AG10" s="68">
        <v>10.624798309757029</v>
      </c>
      <c r="AH10" s="68">
        <v>5.8355477458606746</v>
      </c>
      <c r="AI10" s="68">
        <v>0.64547842881656325</v>
      </c>
      <c r="AJ10" s="69">
        <v>234.70047121047975</v>
      </c>
      <c r="AK10" s="69">
        <v>1255.2480801900228</v>
      </c>
      <c r="AL10" s="69">
        <v>2843.266639963786</v>
      </c>
      <c r="AM10" s="69">
        <v>625.79063415527344</v>
      </c>
      <c r="AN10" s="69">
        <v>5547.2138671875</v>
      </c>
      <c r="AO10" s="69">
        <v>2556.4789204915364</v>
      </c>
      <c r="AP10" s="69">
        <v>648.32830918629952</v>
      </c>
      <c r="AQ10" s="69">
        <v>2098.7153863271078</v>
      </c>
      <c r="AR10" s="69">
        <v>416.87496800422673</v>
      </c>
      <c r="AS10" s="69">
        <v>647.98371063868194</v>
      </c>
    </row>
    <row r="11" spans="1:49" x14ac:dyDescent="0.25">
      <c r="A11" s="11">
        <v>43589</v>
      </c>
      <c r="B11" s="59"/>
      <c r="C11" s="60">
        <v>62.267651353279938</v>
      </c>
      <c r="D11" s="60">
        <v>783.99110749959971</v>
      </c>
      <c r="E11" s="60">
        <v>15.693433996041602</v>
      </c>
      <c r="F11" s="60">
        <v>0</v>
      </c>
      <c r="G11" s="60">
        <v>1909.2720962524386</v>
      </c>
      <c r="H11" s="61">
        <v>26.794118677576392</v>
      </c>
      <c r="I11" s="59">
        <v>144.83016574382782</v>
      </c>
      <c r="J11" s="60">
        <v>409.60197417736049</v>
      </c>
      <c r="K11" s="60">
        <v>22.516595480342726</v>
      </c>
      <c r="L11" s="50">
        <v>0</v>
      </c>
      <c r="M11" s="60">
        <v>0</v>
      </c>
      <c r="N11" s="61">
        <v>0</v>
      </c>
      <c r="O11" s="59">
        <v>0</v>
      </c>
      <c r="P11" s="60">
        <v>0</v>
      </c>
      <c r="Q11" s="60">
        <v>0</v>
      </c>
      <c r="R11" s="63">
        <v>0</v>
      </c>
      <c r="S11" s="60">
        <v>0</v>
      </c>
      <c r="T11" s="64">
        <v>0</v>
      </c>
      <c r="U11" s="65">
        <v>279.63448122209235</v>
      </c>
      <c r="V11" s="62">
        <v>134.91619431840633</v>
      </c>
      <c r="W11" s="62">
        <v>43.55636379606468</v>
      </c>
      <c r="X11" s="62">
        <v>21.014786216746419</v>
      </c>
      <c r="Y11" s="66">
        <v>125.84256875557443</v>
      </c>
      <c r="Z11" s="66">
        <v>60.715689944796189</v>
      </c>
      <c r="AA11" s="67">
        <v>0</v>
      </c>
      <c r="AB11" s="68">
        <v>90.515989261204268</v>
      </c>
      <c r="AC11" s="69">
        <v>0</v>
      </c>
      <c r="AD11" s="409">
        <v>11.766936008076025</v>
      </c>
      <c r="AE11" s="409">
        <v>6.0285691446633498</v>
      </c>
      <c r="AF11" s="69">
        <v>16.479463161031411</v>
      </c>
      <c r="AG11" s="68">
        <v>10.974491700822146</v>
      </c>
      <c r="AH11" s="68">
        <v>5.2949001438699606</v>
      </c>
      <c r="AI11" s="68">
        <v>0.67454836699397447</v>
      </c>
      <c r="AJ11" s="69">
        <v>225.29661698341366</v>
      </c>
      <c r="AK11" s="69">
        <v>1233.1212683995566</v>
      </c>
      <c r="AL11" s="69">
        <v>2656.5290664672848</v>
      </c>
      <c r="AM11" s="69">
        <v>246.0778139591217</v>
      </c>
      <c r="AN11" s="69">
        <v>1742.7672810236613</v>
      </c>
      <c r="AO11" s="69">
        <v>2544.4296681722008</v>
      </c>
      <c r="AP11" s="69">
        <v>651.3712802092233</v>
      </c>
      <c r="AQ11" s="69">
        <v>2089.2781262079875</v>
      </c>
      <c r="AR11" s="69">
        <v>344.87381159464525</v>
      </c>
      <c r="AS11" s="69">
        <v>714.74866364796969</v>
      </c>
    </row>
    <row r="12" spans="1:49" x14ac:dyDescent="0.25">
      <c r="A12" s="11">
        <v>43590</v>
      </c>
      <c r="B12" s="59"/>
      <c r="C12" s="60">
        <v>63.146019812425223</v>
      </c>
      <c r="D12" s="60">
        <v>787.90592219034886</v>
      </c>
      <c r="E12" s="60">
        <v>15.832319364945068</v>
      </c>
      <c r="F12" s="60">
        <v>0</v>
      </c>
      <c r="G12" s="60">
        <v>1922.9173472086591</v>
      </c>
      <c r="H12" s="61">
        <v>26.037267774343501</v>
      </c>
      <c r="I12" s="59">
        <v>166.57379624048855</v>
      </c>
      <c r="J12" s="60">
        <v>436.37308537165353</v>
      </c>
      <c r="K12" s="60">
        <v>23.97387088338532</v>
      </c>
      <c r="L12" s="50">
        <v>0</v>
      </c>
      <c r="M12" s="60">
        <v>0</v>
      </c>
      <c r="N12" s="61">
        <v>0</v>
      </c>
      <c r="O12" s="59">
        <v>0</v>
      </c>
      <c r="P12" s="60">
        <v>0</v>
      </c>
      <c r="Q12" s="60">
        <v>0</v>
      </c>
      <c r="R12" s="63">
        <v>0</v>
      </c>
      <c r="S12" s="60">
        <v>0</v>
      </c>
      <c r="T12" s="64">
        <v>0</v>
      </c>
      <c r="U12" s="65">
        <v>297.79262770208373</v>
      </c>
      <c r="V12" s="62">
        <v>148.93119446775543</v>
      </c>
      <c r="W12" s="62">
        <v>47.533290543471047</v>
      </c>
      <c r="X12" s="62">
        <v>23.772212872590437</v>
      </c>
      <c r="Y12" s="66">
        <v>132.68606738520643</v>
      </c>
      <c r="Z12" s="66">
        <v>66.358575285742731</v>
      </c>
      <c r="AA12" s="67">
        <v>0</v>
      </c>
      <c r="AB12" s="68">
        <v>92.406510596802249</v>
      </c>
      <c r="AC12" s="69">
        <v>0</v>
      </c>
      <c r="AD12" s="409">
        <v>12.347884204175049</v>
      </c>
      <c r="AE12" s="409">
        <v>5.9633628322829306</v>
      </c>
      <c r="AF12" s="69">
        <v>18.197347448931801</v>
      </c>
      <c r="AG12" s="68">
        <v>11.999805032892311</v>
      </c>
      <c r="AH12" s="68">
        <v>6.0013080603080686</v>
      </c>
      <c r="AI12" s="68">
        <v>0.66661461270553524</v>
      </c>
      <c r="AJ12" s="69">
        <v>234.96299304962156</v>
      </c>
      <c r="AK12" s="69">
        <v>1252.0062758763634</v>
      </c>
      <c r="AL12" s="69">
        <v>2798.0011403401695</v>
      </c>
      <c r="AM12" s="69">
        <v>432.4303092956543</v>
      </c>
      <c r="AN12" s="69">
        <v>1100.4574584960938</v>
      </c>
      <c r="AO12" s="69">
        <v>2435.7588958740225</v>
      </c>
      <c r="AP12" s="69">
        <v>608.55852491060898</v>
      </c>
      <c r="AQ12" s="69">
        <v>2160.1922613779702</v>
      </c>
      <c r="AR12" s="69">
        <v>333.96526061693828</v>
      </c>
      <c r="AS12" s="69">
        <v>648.57804648081446</v>
      </c>
    </row>
    <row r="13" spans="1:49" x14ac:dyDescent="0.25">
      <c r="A13" s="11">
        <v>43591</v>
      </c>
      <c r="B13" s="59"/>
      <c r="C13" s="60">
        <v>62.944976131121408</v>
      </c>
      <c r="D13" s="60">
        <v>787.73557923634803</v>
      </c>
      <c r="E13" s="60">
        <v>15.421427805225044</v>
      </c>
      <c r="F13" s="60">
        <v>0</v>
      </c>
      <c r="G13" s="60">
        <v>1967.2458265940343</v>
      </c>
      <c r="H13" s="61">
        <v>26.317695262034782</v>
      </c>
      <c r="I13" s="59">
        <v>182.40575924317039</v>
      </c>
      <c r="J13" s="60">
        <v>435.82470518747959</v>
      </c>
      <c r="K13" s="60">
        <v>23.727058644592759</v>
      </c>
      <c r="L13" s="50">
        <v>0</v>
      </c>
      <c r="M13" s="60">
        <v>0</v>
      </c>
      <c r="N13" s="61">
        <v>0</v>
      </c>
      <c r="O13" s="59">
        <v>0</v>
      </c>
      <c r="P13" s="60">
        <v>0</v>
      </c>
      <c r="Q13" s="60">
        <v>0</v>
      </c>
      <c r="R13" s="63">
        <v>0</v>
      </c>
      <c r="S13" s="60">
        <v>0</v>
      </c>
      <c r="T13" s="64">
        <v>0</v>
      </c>
      <c r="U13" s="65">
        <v>292.69333867042769</v>
      </c>
      <c r="V13" s="62">
        <v>146.35549490111586</v>
      </c>
      <c r="W13" s="62">
        <v>46.140074494642413</v>
      </c>
      <c r="X13" s="62">
        <v>23.071428506411785</v>
      </c>
      <c r="Y13" s="66">
        <v>123.84798275675209</v>
      </c>
      <c r="Z13" s="66">
        <v>61.927725759686588</v>
      </c>
      <c r="AA13" s="67">
        <v>0</v>
      </c>
      <c r="AB13" s="68">
        <v>88.693078385458179</v>
      </c>
      <c r="AC13" s="69">
        <v>0</v>
      </c>
      <c r="AD13" s="409">
        <v>12.333110272255439</v>
      </c>
      <c r="AE13" s="409">
        <v>5.9614228678211507</v>
      </c>
      <c r="AF13" s="69">
        <v>17.767636989553765</v>
      </c>
      <c r="AG13" s="68">
        <v>11.722295568597504</v>
      </c>
      <c r="AH13" s="68">
        <v>5.8615012460226632</v>
      </c>
      <c r="AI13" s="68">
        <v>0.66665326562753058</v>
      </c>
      <c r="AJ13" s="69">
        <v>227.71444540023802</v>
      </c>
      <c r="AK13" s="69">
        <v>1249.6130078633626</v>
      </c>
      <c r="AL13" s="69">
        <v>2816.6350566864007</v>
      </c>
      <c r="AM13" s="69">
        <v>474.65496826171875</v>
      </c>
      <c r="AN13" s="69">
        <v>1100.4574584960938</v>
      </c>
      <c r="AO13" s="69">
        <v>2270.0830117543533</v>
      </c>
      <c r="AP13" s="69">
        <v>617.83224240938819</v>
      </c>
      <c r="AQ13" s="69">
        <v>2160.9887100855512</v>
      </c>
      <c r="AR13" s="69">
        <v>333.25673282941182</v>
      </c>
      <c r="AS13" s="69">
        <v>612.33014392852783</v>
      </c>
    </row>
    <row r="14" spans="1:49" x14ac:dyDescent="0.25">
      <c r="A14" s="11">
        <v>43592</v>
      </c>
      <c r="B14" s="59"/>
      <c r="C14" s="60">
        <v>17.250249775250719</v>
      </c>
      <c r="D14" s="60">
        <v>215.60796543757107</v>
      </c>
      <c r="E14" s="60">
        <v>5.697548538943134</v>
      </c>
      <c r="F14" s="60">
        <v>0</v>
      </c>
      <c r="G14" s="60">
        <v>543.82826563517244</v>
      </c>
      <c r="H14" s="61">
        <v>7.2617114951213173</v>
      </c>
      <c r="I14" s="59">
        <v>222.36856287320424</v>
      </c>
      <c r="J14" s="60">
        <v>587.97375033696653</v>
      </c>
      <c r="K14" s="60">
        <v>32.177340810497626</v>
      </c>
      <c r="L14" s="50">
        <v>0</v>
      </c>
      <c r="M14" s="60">
        <v>0</v>
      </c>
      <c r="N14" s="61">
        <v>0</v>
      </c>
      <c r="O14" s="59">
        <v>0</v>
      </c>
      <c r="P14" s="60">
        <v>0</v>
      </c>
      <c r="Q14" s="60">
        <v>0</v>
      </c>
      <c r="R14" s="63">
        <v>0</v>
      </c>
      <c r="S14" s="60">
        <v>0</v>
      </c>
      <c r="T14" s="64">
        <v>0</v>
      </c>
      <c r="U14" s="65">
        <v>399.94813893367132</v>
      </c>
      <c r="V14" s="62">
        <v>39.453872195919772</v>
      </c>
      <c r="W14" s="62">
        <v>65.189338956989801</v>
      </c>
      <c r="X14" s="62">
        <v>6.4307633849800547</v>
      </c>
      <c r="Y14" s="66">
        <v>182.29115679944314</v>
      </c>
      <c r="Z14" s="66">
        <v>17.982561494065013</v>
      </c>
      <c r="AA14" s="67">
        <v>0</v>
      </c>
      <c r="AB14" s="68">
        <v>76.806139842669964</v>
      </c>
      <c r="AC14" s="69">
        <v>0</v>
      </c>
      <c r="AD14" s="409">
        <v>16.632903950192965</v>
      </c>
      <c r="AE14" s="409">
        <v>1.6227137473020739</v>
      </c>
      <c r="AF14" s="69">
        <v>18.012861757477118</v>
      </c>
      <c r="AG14" s="68">
        <v>16.213268745418674</v>
      </c>
      <c r="AH14" s="68">
        <v>1.5993979486073682</v>
      </c>
      <c r="AI14" s="68">
        <v>0.91021007825045253</v>
      </c>
      <c r="AJ14" s="69">
        <v>229.87728645006814</v>
      </c>
      <c r="AK14" s="69">
        <v>1288.6503447214768</v>
      </c>
      <c r="AL14" s="69">
        <v>1413.2499341328939</v>
      </c>
      <c r="AM14" s="69">
        <v>474.65496826171875</v>
      </c>
      <c r="AN14" s="69">
        <v>1100.4574584960938</v>
      </c>
      <c r="AO14" s="69">
        <v>2106.9277008056642</v>
      </c>
      <c r="AP14" s="69">
        <v>599.40582132339489</v>
      </c>
      <c r="AQ14" s="69">
        <v>2156.2179705301919</v>
      </c>
      <c r="AR14" s="69">
        <v>405.77171893119811</v>
      </c>
      <c r="AS14" s="69">
        <v>547.6908289591471</v>
      </c>
    </row>
    <row r="15" spans="1:49" x14ac:dyDescent="0.25">
      <c r="A15" s="11">
        <v>43593</v>
      </c>
      <c r="B15" s="59"/>
      <c r="C15" s="60">
        <v>0</v>
      </c>
      <c r="D15" s="60">
        <v>0</v>
      </c>
      <c r="E15" s="60">
        <v>0.89471665024757441</v>
      </c>
      <c r="F15" s="60">
        <v>0</v>
      </c>
      <c r="G15" s="60">
        <v>0</v>
      </c>
      <c r="H15" s="61">
        <v>0</v>
      </c>
      <c r="I15" s="59">
        <v>237.45905370712222</v>
      </c>
      <c r="J15" s="60">
        <v>648.38305797576936</v>
      </c>
      <c r="K15" s="60">
        <v>35.534245622158075</v>
      </c>
      <c r="L15" s="50">
        <v>0</v>
      </c>
      <c r="M15" s="60">
        <v>0</v>
      </c>
      <c r="N15" s="61">
        <v>0</v>
      </c>
      <c r="O15" s="59">
        <v>0</v>
      </c>
      <c r="P15" s="60">
        <v>0</v>
      </c>
      <c r="Q15" s="60">
        <v>0</v>
      </c>
      <c r="R15" s="63">
        <v>0</v>
      </c>
      <c r="S15" s="60">
        <v>0</v>
      </c>
      <c r="T15" s="64">
        <v>0</v>
      </c>
      <c r="U15" s="65">
        <v>436.47836341857686</v>
      </c>
      <c r="V15" s="62">
        <v>0</v>
      </c>
      <c r="W15" s="62">
        <v>72.309509921073982</v>
      </c>
      <c r="X15" s="62">
        <v>0</v>
      </c>
      <c r="Y15" s="66">
        <v>203.73155343532562</v>
      </c>
      <c r="Z15" s="66">
        <v>0</v>
      </c>
      <c r="AA15" s="67">
        <v>0</v>
      </c>
      <c r="AB15" s="68">
        <v>75.689994102053703</v>
      </c>
      <c r="AC15" s="69">
        <v>0</v>
      </c>
      <c r="AD15" s="409">
        <v>18.332381944203384</v>
      </c>
      <c r="AE15" s="409">
        <v>0</v>
      </c>
      <c r="AF15" s="69">
        <v>18.189263529247732</v>
      </c>
      <c r="AG15" s="68">
        <v>18.000037389894253</v>
      </c>
      <c r="AH15" s="68">
        <v>0</v>
      </c>
      <c r="AI15" s="68">
        <v>1</v>
      </c>
      <c r="AJ15" s="69">
        <v>245.29744885762531</v>
      </c>
      <c r="AK15" s="69">
        <v>1248.2752482096353</v>
      </c>
      <c r="AL15" s="69">
        <v>898.32431958516429</v>
      </c>
      <c r="AM15" s="69">
        <v>474.65496826171875</v>
      </c>
      <c r="AN15" s="69">
        <v>1100.4574584960938</v>
      </c>
      <c r="AO15" s="69">
        <v>2132.8709138234458</v>
      </c>
      <c r="AP15" s="69">
        <v>597.4090878804526</v>
      </c>
      <c r="AQ15" s="69">
        <v>2207.5103524525962</v>
      </c>
      <c r="AR15" s="69">
        <v>478.33051713307697</v>
      </c>
      <c r="AS15" s="69">
        <v>562.46091734568279</v>
      </c>
    </row>
    <row r="16" spans="1:49" x14ac:dyDescent="0.25">
      <c r="A16" s="11">
        <v>43594</v>
      </c>
      <c r="B16" s="49"/>
      <c r="C16" s="50">
        <v>33.523088820775371</v>
      </c>
      <c r="D16" s="50">
        <v>407.88930754860206</v>
      </c>
      <c r="E16" s="50">
        <v>8.5788883904616071</v>
      </c>
      <c r="F16" s="50">
        <v>0</v>
      </c>
      <c r="G16" s="50">
        <v>1269.869632212321</v>
      </c>
      <c r="H16" s="51">
        <v>12.4870228032271</v>
      </c>
      <c r="I16" s="49">
        <v>237.08716161648377</v>
      </c>
      <c r="J16" s="50">
        <v>648.65435717900732</v>
      </c>
      <c r="K16" s="50">
        <v>35.500661313533776</v>
      </c>
      <c r="L16" s="50">
        <v>0</v>
      </c>
      <c r="M16" s="50">
        <v>0</v>
      </c>
      <c r="N16" s="51">
        <v>0</v>
      </c>
      <c r="O16" s="49">
        <v>0</v>
      </c>
      <c r="P16" s="50">
        <v>0</v>
      </c>
      <c r="Q16" s="50">
        <v>0</v>
      </c>
      <c r="R16" s="70">
        <v>0</v>
      </c>
      <c r="S16" s="50">
        <v>0</v>
      </c>
      <c r="T16" s="52">
        <v>0</v>
      </c>
      <c r="U16" s="71">
        <v>423.82095161014524</v>
      </c>
      <c r="V16" s="66">
        <v>0</v>
      </c>
      <c r="W16" s="62">
        <v>70.731376143296515</v>
      </c>
      <c r="X16" s="62">
        <v>0</v>
      </c>
      <c r="Y16" s="66">
        <v>202.67744178771952</v>
      </c>
      <c r="Z16" s="66">
        <v>0</v>
      </c>
      <c r="AA16" s="67">
        <v>0</v>
      </c>
      <c r="AB16" s="68">
        <v>92.984758769143141</v>
      </c>
      <c r="AC16" s="69">
        <v>0</v>
      </c>
      <c r="AD16" s="409">
        <v>18.349243689650578</v>
      </c>
      <c r="AE16" s="409">
        <v>3.1781392736858129</v>
      </c>
      <c r="AF16" s="69">
        <v>18.117608061101713</v>
      </c>
      <c r="AG16" s="68">
        <v>17.932309197015154</v>
      </c>
      <c r="AH16" s="68">
        <v>0</v>
      </c>
      <c r="AI16" s="68">
        <v>1</v>
      </c>
      <c r="AJ16" s="69">
        <v>268.36403706868487</v>
      </c>
      <c r="AK16" s="69">
        <v>1260.0565966288248</v>
      </c>
      <c r="AL16" s="69">
        <v>1883.4951499938963</v>
      </c>
      <c r="AM16" s="69">
        <v>474.65496826171875</v>
      </c>
      <c r="AN16" s="69">
        <v>1100.4574584960938</v>
      </c>
      <c r="AO16" s="69">
        <v>2242.3446008046467</v>
      </c>
      <c r="AP16" s="69">
        <v>654.12959009806309</v>
      </c>
      <c r="AQ16" s="69">
        <v>2256.9338261922203</v>
      </c>
      <c r="AR16" s="69">
        <v>472.33666998545323</v>
      </c>
      <c r="AS16" s="69">
        <v>531.96778192520139</v>
      </c>
    </row>
    <row r="17" spans="1:45" x14ac:dyDescent="0.25">
      <c r="A17" s="11">
        <v>43595</v>
      </c>
      <c r="B17" s="59"/>
      <c r="C17" s="60">
        <v>63.566114091873089</v>
      </c>
      <c r="D17" s="60">
        <v>711.46687072117925</v>
      </c>
      <c r="E17" s="60">
        <v>15.829383628567024</v>
      </c>
      <c r="F17" s="60">
        <v>0</v>
      </c>
      <c r="G17" s="60">
        <v>2216.2268534978198</v>
      </c>
      <c r="H17" s="61">
        <v>26.136379679044079</v>
      </c>
      <c r="I17" s="59">
        <v>201.36430971622457</v>
      </c>
      <c r="J17" s="60">
        <v>531.23992128372277</v>
      </c>
      <c r="K17" s="60">
        <v>29.113403162856866</v>
      </c>
      <c r="L17" s="50">
        <v>0</v>
      </c>
      <c r="M17" s="60">
        <v>0</v>
      </c>
      <c r="N17" s="61">
        <v>0</v>
      </c>
      <c r="O17" s="59">
        <v>0</v>
      </c>
      <c r="P17" s="60">
        <v>0</v>
      </c>
      <c r="Q17" s="60">
        <v>0</v>
      </c>
      <c r="R17" s="63">
        <v>0</v>
      </c>
      <c r="S17" s="60">
        <v>0</v>
      </c>
      <c r="T17" s="64">
        <v>0</v>
      </c>
      <c r="U17" s="65">
        <v>353.73854947702239</v>
      </c>
      <c r="V17" s="62">
        <v>80.357049803439551</v>
      </c>
      <c r="W17" s="62">
        <v>56.523717495520557</v>
      </c>
      <c r="X17" s="62">
        <v>12.84021543192914</v>
      </c>
      <c r="Y17" s="66">
        <v>162.94408127442634</v>
      </c>
      <c r="Z17" s="66">
        <v>37.015207060420479</v>
      </c>
      <c r="AA17" s="67">
        <v>0</v>
      </c>
      <c r="AB17" s="68">
        <v>93.761273082098</v>
      </c>
      <c r="AC17" s="69">
        <v>0</v>
      </c>
      <c r="AD17" s="409">
        <v>15.028606372066047</v>
      </c>
      <c r="AE17" s="409">
        <v>5.9611204053247242</v>
      </c>
      <c r="AF17" s="69">
        <v>17.666632295317143</v>
      </c>
      <c r="AG17" s="68">
        <v>14.255169223529617</v>
      </c>
      <c r="AH17" s="68">
        <v>3.2382768147412122</v>
      </c>
      <c r="AI17" s="68">
        <v>0.81488628325964163</v>
      </c>
      <c r="AJ17" s="69">
        <v>261.27621785799658</v>
      </c>
      <c r="AK17" s="69">
        <v>1267.3941183090212</v>
      </c>
      <c r="AL17" s="69">
        <v>2737.243428039551</v>
      </c>
      <c r="AM17" s="69">
        <v>474.65496826171875</v>
      </c>
      <c r="AN17" s="69">
        <v>1100.4574584960938</v>
      </c>
      <c r="AO17" s="69">
        <v>2417.0070737202959</v>
      </c>
      <c r="AP17" s="69">
        <v>621.50963850021367</v>
      </c>
      <c r="AQ17" s="69">
        <v>2221.3917420069383</v>
      </c>
      <c r="AR17" s="69">
        <v>416.30155965487171</v>
      </c>
      <c r="AS17" s="69">
        <v>536.53511012395211</v>
      </c>
    </row>
    <row r="18" spans="1:45" x14ac:dyDescent="0.25">
      <c r="A18" s="11">
        <v>43596</v>
      </c>
      <c r="B18" s="59"/>
      <c r="C18" s="60">
        <v>63.243506499131854</v>
      </c>
      <c r="D18" s="60">
        <v>778.42974688212087</v>
      </c>
      <c r="E18" s="60">
        <v>15.793733936548211</v>
      </c>
      <c r="F18" s="60">
        <v>0</v>
      </c>
      <c r="G18" s="60">
        <v>1672.3869699478109</v>
      </c>
      <c r="H18" s="61">
        <v>26.020930435260127</v>
      </c>
      <c r="I18" s="59">
        <v>179.68210307757084</v>
      </c>
      <c r="J18" s="60">
        <v>435.98500973383636</v>
      </c>
      <c r="K18" s="60">
        <v>23.920901669561864</v>
      </c>
      <c r="L18" s="50">
        <v>0</v>
      </c>
      <c r="M18" s="60">
        <v>0</v>
      </c>
      <c r="N18" s="61">
        <v>0</v>
      </c>
      <c r="O18" s="59">
        <v>0</v>
      </c>
      <c r="P18" s="60">
        <v>0</v>
      </c>
      <c r="Q18" s="60">
        <v>0</v>
      </c>
      <c r="R18" s="63">
        <v>0</v>
      </c>
      <c r="S18" s="60">
        <v>0</v>
      </c>
      <c r="T18" s="64">
        <v>0</v>
      </c>
      <c r="U18" s="65">
        <v>301.02543643990896</v>
      </c>
      <c r="V18" s="62">
        <v>150.5471137826963</v>
      </c>
      <c r="W18" s="62">
        <v>48.133066424294107</v>
      </c>
      <c r="X18" s="62">
        <v>24.07203295969574</v>
      </c>
      <c r="Y18" s="66">
        <v>131.01175708474571</v>
      </c>
      <c r="Z18" s="66">
        <v>65.520848118246633</v>
      </c>
      <c r="AA18" s="67">
        <v>0</v>
      </c>
      <c r="AB18" s="68">
        <v>82.387806696362773</v>
      </c>
      <c r="AC18" s="69">
        <v>0</v>
      </c>
      <c r="AD18" s="409">
        <v>12.337387753668027</v>
      </c>
      <c r="AE18" s="409">
        <v>5.9475981920744241</v>
      </c>
      <c r="AF18" s="69">
        <v>18.080538680818357</v>
      </c>
      <c r="AG18" s="68">
        <v>11.922455580622142</v>
      </c>
      <c r="AH18" s="68">
        <v>5.962590065784565</v>
      </c>
      <c r="AI18" s="68">
        <v>0.66661588772726943</v>
      </c>
      <c r="AJ18" s="69">
        <v>247.31977246602378</v>
      </c>
      <c r="AK18" s="69">
        <v>1263.6057095209758</v>
      </c>
      <c r="AL18" s="69">
        <v>2786.7134607950843</v>
      </c>
      <c r="AM18" s="69">
        <v>474.65496826171875</v>
      </c>
      <c r="AN18" s="69">
        <v>1100.4574584960938</v>
      </c>
      <c r="AO18" s="69">
        <v>2438.4236488342285</v>
      </c>
      <c r="AP18" s="69">
        <v>611.25153433481842</v>
      </c>
      <c r="AQ18" s="69">
        <v>2181.2595631917311</v>
      </c>
      <c r="AR18" s="69">
        <v>375.12534596125278</v>
      </c>
      <c r="AS18" s="69">
        <v>518.6064691543578</v>
      </c>
    </row>
    <row r="19" spans="1:45" x14ac:dyDescent="0.25">
      <c r="A19" s="11">
        <v>43597</v>
      </c>
      <c r="B19" s="59"/>
      <c r="C19" s="60">
        <v>63.113879207769486</v>
      </c>
      <c r="D19" s="60">
        <v>809.28996162414785</v>
      </c>
      <c r="E19" s="60">
        <v>15.79308650394278</v>
      </c>
      <c r="F19" s="60">
        <v>0</v>
      </c>
      <c r="G19" s="60">
        <v>1884.0253140767416</v>
      </c>
      <c r="H19" s="61">
        <v>26.058028920491516</v>
      </c>
      <c r="I19" s="59">
        <v>180.80398664474467</v>
      </c>
      <c r="J19" s="60">
        <v>439.01601212819378</v>
      </c>
      <c r="K19" s="60">
        <v>24.080902423957951</v>
      </c>
      <c r="L19" s="50">
        <v>0</v>
      </c>
      <c r="M19" s="60">
        <v>0</v>
      </c>
      <c r="N19" s="61">
        <v>0</v>
      </c>
      <c r="O19" s="59">
        <v>0</v>
      </c>
      <c r="P19" s="60">
        <v>0</v>
      </c>
      <c r="Q19" s="60">
        <v>0</v>
      </c>
      <c r="R19" s="63">
        <v>0</v>
      </c>
      <c r="S19" s="60">
        <v>0</v>
      </c>
      <c r="T19" s="64">
        <v>0</v>
      </c>
      <c r="U19" s="65">
        <v>296.53731674005439</v>
      </c>
      <c r="V19" s="62">
        <v>148.27616959230559</v>
      </c>
      <c r="W19" s="62">
        <v>47.389119295648527</v>
      </c>
      <c r="X19" s="62">
        <v>23.695760003356312</v>
      </c>
      <c r="Y19" s="66">
        <v>126.85311777249447</v>
      </c>
      <c r="Z19" s="66">
        <v>63.429772046650697</v>
      </c>
      <c r="AA19" s="67">
        <v>0</v>
      </c>
      <c r="AB19" s="68">
        <v>82.746665414175538</v>
      </c>
      <c r="AC19" s="69">
        <v>0</v>
      </c>
      <c r="AD19" s="409">
        <v>12.422191311382257</v>
      </c>
      <c r="AE19" s="409">
        <v>5.9478987922687381</v>
      </c>
      <c r="AF19" s="69">
        <v>17.833102655410752</v>
      </c>
      <c r="AG19" s="68">
        <v>11.761100273320235</v>
      </c>
      <c r="AH19" s="68">
        <v>5.880848042634863</v>
      </c>
      <c r="AI19" s="68">
        <v>0.66665540918083765</v>
      </c>
      <c r="AJ19" s="69">
        <v>240.63459383646645</v>
      </c>
      <c r="AK19" s="69">
        <v>1260.951852226257</v>
      </c>
      <c r="AL19" s="69">
        <v>2826.2836599985758</v>
      </c>
      <c r="AM19" s="69">
        <v>474.65496826171875</v>
      </c>
      <c r="AN19" s="69">
        <v>1100.4574584960938</v>
      </c>
      <c r="AO19" s="69">
        <v>2378.8315467834473</v>
      </c>
      <c r="AP19" s="69">
        <v>602.39774705568948</v>
      </c>
      <c r="AQ19" s="69">
        <v>2162.3717346827193</v>
      </c>
      <c r="AR19" s="69">
        <v>368.7869748592376</v>
      </c>
      <c r="AS19" s="69">
        <v>592.31181996663406</v>
      </c>
    </row>
    <row r="20" spans="1:45" x14ac:dyDescent="0.25">
      <c r="A20" s="11">
        <v>43598</v>
      </c>
      <c r="B20" s="59"/>
      <c r="C20" s="60">
        <v>63.446228675048324</v>
      </c>
      <c r="D20" s="60">
        <v>843.86313381195055</v>
      </c>
      <c r="E20" s="60">
        <v>15.939866219957645</v>
      </c>
      <c r="F20" s="60">
        <v>0</v>
      </c>
      <c r="G20" s="60">
        <v>1986.3162501017255</v>
      </c>
      <c r="H20" s="61">
        <v>26.264010697603236</v>
      </c>
      <c r="I20" s="59">
        <v>184.3682543675105</v>
      </c>
      <c r="J20" s="60">
        <v>436.47098042170268</v>
      </c>
      <c r="K20" s="60">
        <v>23.810913539926194</v>
      </c>
      <c r="L20" s="50">
        <v>0</v>
      </c>
      <c r="M20" s="60">
        <v>0</v>
      </c>
      <c r="N20" s="61">
        <v>0</v>
      </c>
      <c r="O20" s="59">
        <v>0</v>
      </c>
      <c r="P20" s="60">
        <v>0</v>
      </c>
      <c r="Q20" s="60">
        <v>0</v>
      </c>
      <c r="R20" s="63">
        <v>0</v>
      </c>
      <c r="S20" s="60">
        <v>0</v>
      </c>
      <c r="T20" s="64">
        <v>0</v>
      </c>
      <c r="U20" s="65">
        <v>300.12403619541067</v>
      </c>
      <c r="V20" s="62">
        <v>150.07642279744223</v>
      </c>
      <c r="W20" s="62">
        <v>47.898365321386713</v>
      </c>
      <c r="X20" s="62">
        <v>23.951481582096285</v>
      </c>
      <c r="Y20" s="66">
        <v>127.52445509766218</v>
      </c>
      <c r="Z20" s="66">
        <v>63.768348189843664</v>
      </c>
      <c r="AA20" s="67">
        <v>0</v>
      </c>
      <c r="AB20" s="68">
        <v>83.052547629676013</v>
      </c>
      <c r="AC20" s="69">
        <v>0</v>
      </c>
      <c r="AD20" s="409">
        <v>12.351679566900973</v>
      </c>
      <c r="AE20" s="409">
        <v>6.0012411720726684</v>
      </c>
      <c r="AF20" s="69">
        <v>18.049220883184006</v>
      </c>
      <c r="AG20" s="68">
        <v>11.905182492232235</v>
      </c>
      <c r="AH20" s="68">
        <v>5.9531626451326298</v>
      </c>
      <c r="AI20" s="68">
        <v>0.66664533587287</v>
      </c>
      <c r="AJ20" s="69">
        <v>234.97900032997131</v>
      </c>
      <c r="AK20" s="69">
        <v>1265.5171345392862</v>
      </c>
      <c r="AL20" s="69">
        <v>2835.2706438700357</v>
      </c>
      <c r="AM20" s="69">
        <v>474.65496826171875</v>
      </c>
      <c r="AN20" s="69">
        <v>1100.4574584960938</v>
      </c>
      <c r="AO20" s="69">
        <v>2304.5725421905518</v>
      </c>
      <c r="AP20" s="69">
        <v>616.15840964317329</v>
      </c>
      <c r="AQ20" s="69">
        <v>2145.1483425776164</v>
      </c>
      <c r="AR20" s="69">
        <v>368.29683281580617</v>
      </c>
      <c r="AS20" s="69">
        <v>708.66025330225625</v>
      </c>
    </row>
    <row r="21" spans="1:45" x14ac:dyDescent="0.25">
      <c r="A21" s="11">
        <v>43599</v>
      </c>
      <c r="B21" s="59"/>
      <c r="C21" s="60">
        <v>64.101960011323456</v>
      </c>
      <c r="D21" s="60">
        <v>817.1780647277825</v>
      </c>
      <c r="E21" s="60">
        <v>16.13208478589851</v>
      </c>
      <c r="F21" s="60">
        <v>0</v>
      </c>
      <c r="G21" s="60">
        <v>1959.7014497121211</v>
      </c>
      <c r="H21" s="61">
        <v>26.57919957836469</v>
      </c>
      <c r="I21" s="59">
        <v>198.89971018632266</v>
      </c>
      <c r="J21" s="60">
        <v>462.92828852335589</v>
      </c>
      <c r="K21" s="60">
        <v>25.386715188622517</v>
      </c>
      <c r="L21" s="50">
        <v>0</v>
      </c>
      <c r="M21" s="60">
        <v>0</v>
      </c>
      <c r="N21" s="61">
        <v>0</v>
      </c>
      <c r="O21" s="59">
        <v>0</v>
      </c>
      <c r="P21" s="60">
        <v>0</v>
      </c>
      <c r="Q21" s="60">
        <v>0</v>
      </c>
      <c r="R21" s="63">
        <v>0</v>
      </c>
      <c r="S21" s="60">
        <v>0</v>
      </c>
      <c r="T21" s="64">
        <v>0</v>
      </c>
      <c r="U21" s="65">
        <v>318.23174765210206</v>
      </c>
      <c r="V21" s="62">
        <v>149.68807224332522</v>
      </c>
      <c r="W21" s="62">
        <v>50.397474713967853</v>
      </c>
      <c r="X21" s="62">
        <v>23.705682703011565</v>
      </c>
      <c r="Y21" s="66">
        <v>142.57267507514777</v>
      </c>
      <c r="Z21" s="66">
        <v>67.062538681413315</v>
      </c>
      <c r="AA21" s="67">
        <v>0</v>
      </c>
      <c r="AB21" s="68">
        <v>85.947982846366401</v>
      </c>
      <c r="AC21" s="69">
        <v>0</v>
      </c>
      <c r="AD21" s="409">
        <v>13.099058058613799</v>
      </c>
      <c r="AE21" s="409">
        <v>6.07411521132813</v>
      </c>
      <c r="AF21" s="69">
        <v>18.934721916251693</v>
      </c>
      <c r="AG21" s="68">
        <v>12.757743915916777</v>
      </c>
      <c r="AH21" s="68">
        <v>6.0009163354603459</v>
      </c>
      <c r="AI21" s="68">
        <v>0.68009888472606661</v>
      </c>
      <c r="AJ21" s="69">
        <v>237.76510955492648</v>
      </c>
      <c r="AK21" s="69">
        <v>1271.3182793935141</v>
      </c>
      <c r="AL21" s="69">
        <v>2832.4756799062093</v>
      </c>
      <c r="AM21" s="69">
        <v>474.65496826171875</v>
      </c>
      <c r="AN21" s="69">
        <v>1100.4574584960938</v>
      </c>
      <c r="AO21" s="69">
        <v>2333.4014335632323</v>
      </c>
      <c r="AP21" s="69">
        <v>622.97069327036536</v>
      </c>
      <c r="AQ21" s="69">
        <v>2222.9346403757722</v>
      </c>
      <c r="AR21" s="69">
        <v>362.15983314514165</v>
      </c>
      <c r="AS21" s="69">
        <v>702.21078376770015</v>
      </c>
    </row>
    <row r="22" spans="1:45" x14ac:dyDescent="0.25">
      <c r="A22" s="11">
        <v>43600</v>
      </c>
      <c r="B22" s="59"/>
      <c r="C22" s="60">
        <v>64.221535738309697</v>
      </c>
      <c r="D22" s="60">
        <v>794.30257854461684</v>
      </c>
      <c r="E22" s="60">
        <v>16.097232385476399</v>
      </c>
      <c r="F22" s="60">
        <v>0</v>
      </c>
      <c r="G22" s="60">
        <v>1823.309659322106</v>
      </c>
      <c r="H22" s="61">
        <v>26.621683325370157</v>
      </c>
      <c r="I22" s="59">
        <v>194.54872182210269</v>
      </c>
      <c r="J22" s="60">
        <v>472.16198832193965</v>
      </c>
      <c r="K22" s="60">
        <v>25.855440177520155</v>
      </c>
      <c r="L22" s="50">
        <v>0</v>
      </c>
      <c r="M22" s="60">
        <v>0</v>
      </c>
      <c r="N22" s="61">
        <v>0</v>
      </c>
      <c r="O22" s="59">
        <v>0</v>
      </c>
      <c r="P22" s="60">
        <v>0</v>
      </c>
      <c r="Q22" s="60">
        <v>0</v>
      </c>
      <c r="R22" s="63">
        <v>0</v>
      </c>
      <c r="S22" s="60">
        <v>0</v>
      </c>
      <c r="T22" s="64">
        <v>0</v>
      </c>
      <c r="U22" s="65">
        <v>315.86751709689179</v>
      </c>
      <c r="V22" s="62">
        <v>146.51706510474841</v>
      </c>
      <c r="W22" s="62">
        <v>49.665910274428526</v>
      </c>
      <c r="X22" s="62">
        <v>23.037833950278785</v>
      </c>
      <c r="Y22" s="66">
        <v>151.47284398447377</v>
      </c>
      <c r="Z22" s="66">
        <v>70.261598114461293</v>
      </c>
      <c r="AA22" s="67">
        <v>0</v>
      </c>
      <c r="AB22" s="68">
        <v>87.073389063941391</v>
      </c>
      <c r="AC22" s="69">
        <v>0</v>
      </c>
      <c r="AD22" s="409">
        <v>13.36162547452491</v>
      </c>
      <c r="AE22" s="409">
        <v>6.0716479829172503</v>
      </c>
      <c r="AF22" s="69">
        <v>18.767255861063802</v>
      </c>
      <c r="AG22" s="68">
        <v>12.709327208734912</v>
      </c>
      <c r="AH22" s="68">
        <v>5.895298570725009</v>
      </c>
      <c r="AI22" s="68">
        <v>0.68312726949694413</v>
      </c>
      <c r="AJ22" s="69">
        <v>231.89638848304747</v>
      </c>
      <c r="AK22" s="69">
        <v>1269.9425182342527</v>
      </c>
      <c r="AL22" s="69">
        <v>2884.6457911173502</v>
      </c>
      <c r="AM22" s="69">
        <v>474.65496826171875</v>
      </c>
      <c r="AN22" s="69">
        <v>1100.4574584960938</v>
      </c>
      <c r="AO22" s="69">
        <v>2357.1744299570719</v>
      </c>
      <c r="AP22" s="69">
        <v>627.11216047604876</v>
      </c>
      <c r="AQ22" s="69">
        <v>2290.2128495534257</v>
      </c>
      <c r="AR22" s="69">
        <v>364.37666444778444</v>
      </c>
      <c r="AS22" s="69">
        <v>706.77371015548704</v>
      </c>
    </row>
    <row r="23" spans="1:45" x14ac:dyDescent="0.25">
      <c r="A23" s="11">
        <v>43601</v>
      </c>
      <c r="B23" s="59"/>
      <c r="C23" s="60">
        <v>63.643238937854591</v>
      </c>
      <c r="D23" s="60">
        <v>787.70651528040651</v>
      </c>
      <c r="E23" s="60">
        <v>16.012351308266311</v>
      </c>
      <c r="F23" s="60">
        <v>0</v>
      </c>
      <c r="G23" s="60">
        <v>1849.0608662923232</v>
      </c>
      <c r="H23" s="61">
        <v>26.298432624340034</v>
      </c>
      <c r="I23" s="59">
        <v>232.88030080795232</v>
      </c>
      <c r="J23" s="60">
        <v>541.07571837107253</v>
      </c>
      <c r="K23" s="60">
        <v>29.678136248389976</v>
      </c>
      <c r="L23" s="50">
        <v>0</v>
      </c>
      <c r="M23" s="60">
        <v>0</v>
      </c>
      <c r="N23" s="61">
        <v>0</v>
      </c>
      <c r="O23" s="59">
        <v>0</v>
      </c>
      <c r="P23" s="60">
        <v>0</v>
      </c>
      <c r="Q23" s="60">
        <v>0</v>
      </c>
      <c r="R23" s="63">
        <v>0</v>
      </c>
      <c r="S23" s="60">
        <v>0</v>
      </c>
      <c r="T23" s="64">
        <v>0</v>
      </c>
      <c r="U23" s="65">
        <v>390.76459080564211</v>
      </c>
      <c r="V23" s="62">
        <v>147.98933636161485</v>
      </c>
      <c r="W23" s="62">
        <v>62.505810957468036</v>
      </c>
      <c r="X23" s="62">
        <v>23.67203605441593</v>
      </c>
      <c r="Y23" s="66">
        <v>197.10317761903423</v>
      </c>
      <c r="Z23" s="66">
        <v>74.646396160071959</v>
      </c>
      <c r="AA23" s="67">
        <v>0</v>
      </c>
      <c r="AB23" s="68">
        <v>99.533850595685394</v>
      </c>
      <c r="AC23" s="69">
        <v>0</v>
      </c>
      <c r="AD23" s="409">
        <v>16.220731142229354</v>
      </c>
      <c r="AE23" s="409">
        <v>6.0211834105249817</v>
      </c>
      <c r="AF23" s="69">
        <v>21.843710694048113</v>
      </c>
      <c r="AG23" s="68">
        <v>15.708606981174951</v>
      </c>
      <c r="AH23" s="68">
        <v>5.94912225162635</v>
      </c>
      <c r="AI23" s="68">
        <v>0.7253118188117238</v>
      </c>
      <c r="AJ23" s="69">
        <v>241.13934324582419</v>
      </c>
      <c r="AK23" s="69">
        <v>1273.3083010991413</v>
      </c>
      <c r="AL23" s="69">
        <v>2925.8510133107502</v>
      </c>
      <c r="AM23" s="69">
        <v>474.65496826171875</v>
      </c>
      <c r="AN23" s="69">
        <v>1100.4574584960938</v>
      </c>
      <c r="AO23" s="69">
        <v>2325.7024241129561</v>
      </c>
      <c r="AP23" s="69">
        <v>553.46712582906082</v>
      </c>
      <c r="AQ23" s="69">
        <v>2609.3338376363122</v>
      </c>
      <c r="AR23" s="69">
        <v>361.17192462285357</v>
      </c>
      <c r="AS23" s="69">
        <v>736.13558162053414</v>
      </c>
    </row>
    <row r="24" spans="1:45" x14ac:dyDescent="0.25">
      <c r="A24" s="11">
        <v>43602</v>
      </c>
      <c r="B24" s="59"/>
      <c r="C24" s="60">
        <v>64.001516338189603</v>
      </c>
      <c r="D24" s="60">
        <v>792.56813081105645</v>
      </c>
      <c r="E24" s="60">
        <v>16.100105691949491</v>
      </c>
      <c r="F24" s="60">
        <v>0</v>
      </c>
      <c r="G24" s="60">
        <v>1860.9759717305526</v>
      </c>
      <c r="H24" s="61">
        <v>26.682378212610928</v>
      </c>
      <c r="I24" s="59">
        <v>248.758836460113</v>
      </c>
      <c r="J24" s="60">
        <v>520.17612412770586</v>
      </c>
      <c r="K24" s="60">
        <v>28.521535668770497</v>
      </c>
      <c r="L24" s="50">
        <v>0</v>
      </c>
      <c r="M24" s="60">
        <v>0</v>
      </c>
      <c r="N24" s="61">
        <v>0</v>
      </c>
      <c r="O24" s="59">
        <v>0</v>
      </c>
      <c r="P24" s="60">
        <v>0</v>
      </c>
      <c r="Q24" s="60">
        <v>0</v>
      </c>
      <c r="R24" s="63">
        <v>0</v>
      </c>
      <c r="S24" s="60">
        <v>0</v>
      </c>
      <c r="T24" s="64">
        <v>0</v>
      </c>
      <c r="U24" s="65">
        <v>396.82889080711601</v>
      </c>
      <c r="V24" s="62">
        <v>148.79668779768932</v>
      </c>
      <c r="W24" s="62">
        <v>64.574301741036308</v>
      </c>
      <c r="X24" s="62">
        <v>24.213061192122414</v>
      </c>
      <c r="Y24" s="66">
        <v>192.79613336491417</v>
      </c>
      <c r="Z24" s="66">
        <v>72.29167716733788</v>
      </c>
      <c r="AA24" s="67">
        <v>0</v>
      </c>
      <c r="AB24" s="68">
        <v>100.30612905819989</v>
      </c>
      <c r="AC24" s="69">
        <v>0</v>
      </c>
      <c r="AD24" s="409">
        <v>16.35626223409362</v>
      </c>
      <c r="AE24" s="409">
        <v>6.0584824866129141</v>
      </c>
      <c r="AF24" s="69">
        <v>22.199675379859052</v>
      </c>
      <c r="AG24" s="68">
        <v>16.000437987152203</v>
      </c>
      <c r="AH24" s="68">
        <v>5.999593857589872</v>
      </c>
      <c r="AI24" s="68">
        <v>0.72729158303360586</v>
      </c>
      <c r="AJ24" s="69">
        <v>247.33830119768777</v>
      </c>
      <c r="AK24" s="69">
        <v>1255.0988491058347</v>
      </c>
      <c r="AL24" s="69">
        <v>2772.4764034271238</v>
      </c>
      <c r="AM24" s="69">
        <v>474.65496826171875</v>
      </c>
      <c r="AN24" s="69">
        <v>1100.4574584960938</v>
      </c>
      <c r="AO24" s="69">
        <v>2290.7831203460696</v>
      </c>
      <c r="AP24" s="69">
        <v>529.91734447479246</v>
      </c>
      <c r="AQ24" s="69">
        <v>2618.3940305074061</v>
      </c>
      <c r="AR24" s="69">
        <v>372.66964670817055</v>
      </c>
      <c r="AS24" s="69">
        <v>651.86921043395989</v>
      </c>
    </row>
    <row r="25" spans="1:45" x14ac:dyDescent="0.25">
      <c r="A25" s="11">
        <v>43603</v>
      </c>
      <c r="B25" s="59"/>
      <c r="C25" s="60">
        <v>64.299010785420947</v>
      </c>
      <c r="D25" s="60">
        <v>787.92315365473428</v>
      </c>
      <c r="E25" s="60">
        <v>16.08851786951222</v>
      </c>
      <c r="F25" s="60">
        <v>0</v>
      </c>
      <c r="G25" s="60">
        <v>1865.092314147952</v>
      </c>
      <c r="H25" s="61">
        <v>26.644049336512914</v>
      </c>
      <c r="I25" s="59">
        <v>248.4075757185617</v>
      </c>
      <c r="J25" s="60">
        <v>519.44718917210946</v>
      </c>
      <c r="K25" s="60">
        <v>28.446840442220417</v>
      </c>
      <c r="L25" s="50">
        <v>0</v>
      </c>
      <c r="M25" s="60">
        <v>0</v>
      </c>
      <c r="N25" s="61">
        <v>0</v>
      </c>
      <c r="O25" s="59">
        <v>0</v>
      </c>
      <c r="P25" s="60">
        <v>0</v>
      </c>
      <c r="Q25" s="60">
        <v>0</v>
      </c>
      <c r="R25" s="63">
        <v>0</v>
      </c>
      <c r="S25" s="60">
        <v>0</v>
      </c>
      <c r="T25" s="64">
        <v>0</v>
      </c>
      <c r="U25" s="65">
        <v>401.950168556937</v>
      </c>
      <c r="V25" s="62">
        <v>141.08918121096028</v>
      </c>
      <c r="W25" s="62">
        <v>62.576828661222876</v>
      </c>
      <c r="X25" s="62">
        <v>21.965194218695434</v>
      </c>
      <c r="Y25" s="66">
        <v>182.91105295839702</v>
      </c>
      <c r="Z25" s="66">
        <v>64.203905645779699</v>
      </c>
      <c r="AA25" s="67">
        <v>0</v>
      </c>
      <c r="AB25" s="68">
        <v>99.654345263375788</v>
      </c>
      <c r="AC25" s="69">
        <v>0</v>
      </c>
      <c r="AD25" s="409">
        <v>16.332616945680449</v>
      </c>
      <c r="AE25" s="409">
        <v>6.0577047605823848</v>
      </c>
      <c r="AF25" s="69">
        <v>21.453842665089514</v>
      </c>
      <c r="AG25" s="68">
        <v>15.737820881024032</v>
      </c>
      <c r="AH25" s="68">
        <v>5.5241580570052804</v>
      </c>
      <c r="AI25" s="68">
        <v>0.74018608177977563</v>
      </c>
      <c r="AJ25" s="69">
        <v>237.57337029774976</v>
      </c>
      <c r="AK25" s="69">
        <v>1247.7727746327719</v>
      </c>
      <c r="AL25" s="69">
        <v>2735.0360607147218</v>
      </c>
      <c r="AM25" s="69">
        <v>474.65496826171875</v>
      </c>
      <c r="AN25" s="69">
        <v>1100.4574584960938</v>
      </c>
      <c r="AO25" s="69">
        <v>2271.9306964874272</v>
      </c>
      <c r="AP25" s="69">
        <v>507.67377969423922</v>
      </c>
      <c r="AQ25" s="69">
        <v>2590.3773340225225</v>
      </c>
      <c r="AR25" s="69">
        <v>369.55162123044335</v>
      </c>
      <c r="AS25" s="69">
        <v>471.4362483501435</v>
      </c>
    </row>
    <row r="26" spans="1:45" x14ac:dyDescent="0.25">
      <c r="A26" s="11">
        <v>43604</v>
      </c>
      <c r="B26" s="59"/>
      <c r="C26" s="60">
        <v>63.778217426935186</v>
      </c>
      <c r="D26" s="60">
        <v>761.59703375498361</v>
      </c>
      <c r="E26" s="60">
        <v>16.124781127770721</v>
      </c>
      <c r="F26" s="60">
        <v>0</v>
      </c>
      <c r="G26" s="60">
        <v>1713.1018521626836</v>
      </c>
      <c r="H26" s="61">
        <v>26.774159779151365</v>
      </c>
      <c r="I26" s="59">
        <v>248.31421707471185</v>
      </c>
      <c r="J26" s="60">
        <v>519.13873418172261</v>
      </c>
      <c r="K26" s="60">
        <v>28.438068884611191</v>
      </c>
      <c r="L26" s="50">
        <v>0</v>
      </c>
      <c r="M26" s="60">
        <v>0</v>
      </c>
      <c r="N26" s="61">
        <v>0</v>
      </c>
      <c r="O26" s="59">
        <v>0</v>
      </c>
      <c r="P26" s="60">
        <v>0</v>
      </c>
      <c r="Q26" s="60">
        <v>0</v>
      </c>
      <c r="R26" s="63">
        <v>0</v>
      </c>
      <c r="S26" s="60">
        <v>0</v>
      </c>
      <c r="T26" s="64">
        <v>0</v>
      </c>
      <c r="U26" s="65">
        <v>396.65640121190194</v>
      </c>
      <c r="V26" s="62">
        <v>148.70642327048523</v>
      </c>
      <c r="W26" s="62">
        <v>64.055942690693769</v>
      </c>
      <c r="X26" s="62">
        <v>24.014562976039102</v>
      </c>
      <c r="Y26" s="62">
        <v>186.56450291871784</v>
      </c>
      <c r="Z26" s="62">
        <v>69.943003197514201</v>
      </c>
      <c r="AA26" s="72">
        <v>0</v>
      </c>
      <c r="AB26" s="69">
        <v>99.58080203798238</v>
      </c>
      <c r="AC26" s="69">
        <v>0</v>
      </c>
      <c r="AD26" s="409">
        <v>16.323903154050303</v>
      </c>
      <c r="AE26" s="409">
        <v>6.0784525586005351</v>
      </c>
      <c r="AF26" s="69">
        <v>22.08381651308801</v>
      </c>
      <c r="AG26" s="69">
        <v>15.917321348147478</v>
      </c>
      <c r="AH26" s="69">
        <v>5.9674013037430997</v>
      </c>
      <c r="AI26" s="69">
        <v>0.72732570575996824</v>
      </c>
      <c r="AJ26" s="69">
        <v>247.06220110257468</v>
      </c>
      <c r="AK26" s="69">
        <v>1257.0529048283893</v>
      </c>
      <c r="AL26" s="69">
        <v>2734.1893444061279</v>
      </c>
      <c r="AM26" s="69">
        <v>474.65496826171875</v>
      </c>
      <c r="AN26" s="69">
        <v>1100.4574584960938</v>
      </c>
      <c r="AO26" s="69">
        <v>2353.2609378814705</v>
      </c>
      <c r="AP26" s="69">
        <v>501.44128917058305</v>
      </c>
      <c r="AQ26" s="69">
        <v>2658.6584630330394</v>
      </c>
      <c r="AR26" s="69">
        <v>407.49819768269856</v>
      </c>
      <c r="AS26" s="69">
        <v>464.97426369984942</v>
      </c>
    </row>
    <row r="27" spans="1:45" x14ac:dyDescent="0.25">
      <c r="A27" s="11">
        <v>43605</v>
      </c>
      <c r="B27" s="59"/>
      <c r="C27" s="60">
        <v>64.343246622880585</v>
      </c>
      <c r="D27" s="60">
        <v>760.51384480794218</v>
      </c>
      <c r="E27" s="60">
        <v>16.171430327991626</v>
      </c>
      <c r="F27" s="60">
        <v>0</v>
      </c>
      <c r="G27" s="60">
        <v>1668.1678843180346</v>
      </c>
      <c r="H27" s="61">
        <v>26.798683512210911</v>
      </c>
      <c r="I27" s="59">
        <v>245.87513163884452</v>
      </c>
      <c r="J27" s="60">
        <v>514.07311493555778</v>
      </c>
      <c r="K27" s="60">
        <v>28.135517587761122</v>
      </c>
      <c r="L27" s="50">
        <v>0</v>
      </c>
      <c r="M27" s="60">
        <v>0</v>
      </c>
      <c r="N27" s="61">
        <v>0</v>
      </c>
      <c r="O27" s="59">
        <v>0</v>
      </c>
      <c r="P27" s="60">
        <v>0</v>
      </c>
      <c r="Q27" s="60">
        <v>0</v>
      </c>
      <c r="R27" s="63">
        <v>0</v>
      </c>
      <c r="S27" s="60">
        <v>0</v>
      </c>
      <c r="T27" s="64">
        <v>0</v>
      </c>
      <c r="U27" s="65">
        <v>375.75209970897322</v>
      </c>
      <c r="V27" s="62">
        <v>142.82291559220323</v>
      </c>
      <c r="W27" s="62">
        <v>59.753926009411984</v>
      </c>
      <c r="X27" s="62">
        <v>22.712394521161482</v>
      </c>
      <c r="Y27" s="66">
        <v>187.3511353759537</v>
      </c>
      <c r="Z27" s="66">
        <v>71.211938441935146</v>
      </c>
      <c r="AA27" s="67">
        <v>0</v>
      </c>
      <c r="AB27" s="68">
        <v>99.096929571363319</v>
      </c>
      <c r="AC27" s="69">
        <v>0</v>
      </c>
      <c r="AD27" s="409">
        <v>16.163438726636237</v>
      </c>
      <c r="AE27" s="409">
        <v>6.0869589356727145</v>
      </c>
      <c r="AF27" s="69">
        <v>21.586313935783181</v>
      </c>
      <c r="AG27" s="68">
        <v>15.490667183230942</v>
      </c>
      <c r="AH27" s="68">
        <v>5.8879837352633997</v>
      </c>
      <c r="AI27" s="68">
        <v>0.72458581424472412</v>
      </c>
      <c r="AJ27" s="69">
        <v>254.56371742884315</v>
      </c>
      <c r="AK27" s="69">
        <v>1262.8115263621016</v>
      </c>
      <c r="AL27" s="69">
        <v>2699.3705479939777</v>
      </c>
      <c r="AM27" s="69">
        <v>474.65496826171875</v>
      </c>
      <c r="AN27" s="69">
        <v>1100.4574584960938</v>
      </c>
      <c r="AO27" s="69">
        <v>2450.5966978708898</v>
      </c>
      <c r="AP27" s="69">
        <v>523.6061862309773</v>
      </c>
      <c r="AQ27" s="69">
        <v>2664.6484626770016</v>
      </c>
      <c r="AR27" s="69">
        <v>438.2261931578318</v>
      </c>
      <c r="AS27" s="69">
        <v>492.56856323877969</v>
      </c>
    </row>
    <row r="28" spans="1:45" x14ac:dyDescent="0.25">
      <c r="A28" s="11">
        <v>43606</v>
      </c>
      <c r="B28" s="59"/>
      <c r="C28" s="60">
        <v>63.044462541739435</v>
      </c>
      <c r="D28" s="60">
        <v>741.15191384951174</v>
      </c>
      <c r="E28" s="60">
        <v>15.900995427370054</v>
      </c>
      <c r="F28" s="60">
        <v>0</v>
      </c>
      <c r="G28" s="60">
        <v>1647.3047782897982</v>
      </c>
      <c r="H28" s="61">
        <v>26.344841359059068</v>
      </c>
      <c r="I28" s="59">
        <v>196.19573771953597</v>
      </c>
      <c r="J28" s="60">
        <v>404.90576346715261</v>
      </c>
      <c r="K28" s="60">
        <v>21.95325841555994</v>
      </c>
      <c r="L28" s="50">
        <v>0</v>
      </c>
      <c r="M28" s="60">
        <v>0</v>
      </c>
      <c r="N28" s="61">
        <v>0</v>
      </c>
      <c r="O28" s="59">
        <v>0</v>
      </c>
      <c r="P28" s="60">
        <v>0</v>
      </c>
      <c r="Q28" s="60">
        <v>0</v>
      </c>
      <c r="R28" s="63">
        <v>0</v>
      </c>
      <c r="S28" s="60">
        <v>0</v>
      </c>
      <c r="T28" s="64">
        <v>0</v>
      </c>
      <c r="U28" s="65">
        <v>291.24388100809341</v>
      </c>
      <c r="V28" s="62">
        <v>141.23752956946842</v>
      </c>
      <c r="W28" s="62">
        <v>45.446428558541037</v>
      </c>
      <c r="X28" s="62">
        <v>22.039059756882246</v>
      </c>
      <c r="Y28" s="66">
        <v>148.03188640822407</v>
      </c>
      <c r="Z28" s="66">
        <v>71.787458199764657</v>
      </c>
      <c r="AA28" s="67">
        <v>0</v>
      </c>
      <c r="AB28" s="68">
        <v>84.994326090812805</v>
      </c>
      <c r="AC28" s="69">
        <v>0</v>
      </c>
      <c r="AD28" s="409">
        <v>12.69807765341541</v>
      </c>
      <c r="AE28" s="409">
        <v>5.9934939215206189</v>
      </c>
      <c r="AF28" s="69">
        <v>18.211697215173</v>
      </c>
      <c r="AG28" s="68">
        <v>12.13642548024421</v>
      </c>
      <c r="AH28" s="68">
        <v>5.8855099262532038</v>
      </c>
      <c r="AI28" s="68">
        <v>0.67342520137258322</v>
      </c>
      <c r="AJ28" s="69">
        <v>270.00361744562781</v>
      </c>
      <c r="AK28" s="69">
        <v>1283.181629625956</v>
      </c>
      <c r="AL28" s="69">
        <v>2652.4614248911539</v>
      </c>
      <c r="AM28" s="69">
        <v>474.65496826171875</v>
      </c>
      <c r="AN28" s="69">
        <v>1100.4574584960938</v>
      </c>
      <c r="AO28" s="69">
        <v>2443.4944664001468</v>
      </c>
      <c r="AP28" s="69">
        <v>554.60868298212677</v>
      </c>
      <c r="AQ28" s="69">
        <v>2360.9618288675947</v>
      </c>
      <c r="AR28" s="69">
        <v>472.36371313730882</v>
      </c>
      <c r="AS28" s="69">
        <v>533.46636139551811</v>
      </c>
    </row>
    <row r="29" spans="1:45" x14ac:dyDescent="0.25">
      <c r="A29" s="11">
        <v>43607</v>
      </c>
      <c r="B29" s="59"/>
      <c r="C29" s="60">
        <v>63.037467718125143</v>
      </c>
      <c r="D29" s="60">
        <v>737.64466320673591</v>
      </c>
      <c r="E29" s="60">
        <v>15.849304167429596</v>
      </c>
      <c r="F29" s="60">
        <v>0</v>
      </c>
      <c r="G29" s="60">
        <v>1623.8297393798855</v>
      </c>
      <c r="H29" s="61">
        <v>26.127247581879285</v>
      </c>
      <c r="I29" s="59">
        <v>170.3321848869324</v>
      </c>
      <c r="J29" s="60">
        <v>341.01236480077142</v>
      </c>
      <c r="K29" s="60">
        <v>18.544402318696193</v>
      </c>
      <c r="L29" s="50">
        <v>0</v>
      </c>
      <c r="M29" s="60">
        <v>0</v>
      </c>
      <c r="N29" s="61">
        <v>0</v>
      </c>
      <c r="O29" s="59">
        <v>0</v>
      </c>
      <c r="P29" s="60">
        <v>0</v>
      </c>
      <c r="Q29" s="60">
        <v>0</v>
      </c>
      <c r="R29" s="63">
        <v>0</v>
      </c>
      <c r="S29" s="60">
        <v>0</v>
      </c>
      <c r="T29" s="64">
        <v>0</v>
      </c>
      <c r="U29" s="65">
        <v>266.14851665186768</v>
      </c>
      <c r="V29" s="62">
        <v>154.82901980391935</v>
      </c>
      <c r="W29" s="62">
        <v>40.995086400576753</v>
      </c>
      <c r="X29" s="62">
        <v>23.848447941871115</v>
      </c>
      <c r="Y29" s="66">
        <v>122.20590369260893</v>
      </c>
      <c r="Z29" s="66">
        <v>71.091962190900432</v>
      </c>
      <c r="AA29" s="67">
        <v>0</v>
      </c>
      <c r="AB29" s="68">
        <v>75.784499552514745</v>
      </c>
      <c r="AC29" s="69">
        <v>0</v>
      </c>
      <c r="AD29" s="409">
        <v>10.704840113538499</v>
      </c>
      <c r="AE29" s="409">
        <v>5.9667586278957376</v>
      </c>
      <c r="AF29" s="69">
        <v>16.174600441919438</v>
      </c>
      <c r="AG29" s="68">
        <v>10.125788448935198</v>
      </c>
      <c r="AH29" s="68">
        <v>5.8905678679441351</v>
      </c>
      <c r="AI29" s="68">
        <v>0.63221548325968646</v>
      </c>
      <c r="AJ29" s="69">
        <v>257.67977070808411</v>
      </c>
      <c r="AK29" s="69">
        <v>1267.5885277430216</v>
      </c>
      <c r="AL29" s="69">
        <v>2666.1242206573493</v>
      </c>
      <c r="AM29" s="69">
        <v>474.65496826171875</v>
      </c>
      <c r="AN29" s="69">
        <v>1100.4574584960938</v>
      </c>
      <c r="AO29" s="69">
        <v>2426.1967781066896</v>
      </c>
      <c r="AP29" s="69">
        <v>536.02039844195053</v>
      </c>
      <c r="AQ29" s="69">
        <v>2073.0695360183718</v>
      </c>
      <c r="AR29" s="69">
        <v>456.4540484746297</v>
      </c>
      <c r="AS29" s="69">
        <v>563.22649472554519</v>
      </c>
    </row>
    <row r="30" spans="1:45" x14ac:dyDescent="0.25">
      <c r="A30" s="11">
        <v>43608</v>
      </c>
      <c r="B30" s="59"/>
      <c r="C30" s="60">
        <v>63.528454784552494</v>
      </c>
      <c r="D30" s="60">
        <v>742.22057355244897</v>
      </c>
      <c r="E30" s="60">
        <v>15.90450512568154</v>
      </c>
      <c r="F30" s="60">
        <v>0</v>
      </c>
      <c r="G30" s="60">
        <v>1624.2715054829946</v>
      </c>
      <c r="H30" s="61">
        <v>26.363675157229149</v>
      </c>
      <c r="I30" s="59">
        <v>191.72776697476715</v>
      </c>
      <c r="J30" s="60">
        <v>392.62291356722568</v>
      </c>
      <c r="K30" s="60">
        <v>21.445732243359068</v>
      </c>
      <c r="L30" s="50">
        <v>0</v>
      </c>
      <c r="M30" s="60">
        <v>0</v>
      </c>
      <c r="N30" s="61">
        <v>0</v>
      </c>
      <c r="O30" s="59">
        <v>0</v>
      </c>
      <c r="P30" s="60">
        <v>0</v>
      </c>
      <c r="Q30" s="60">
        <v>0</v>
      </c>
      <c r="R30" s="63">
        <v>0</v>
      </c>
      <c r="S30" s="60">
        <v>0</v>
      </c>
      <c r="T30" s="64">
        <v>0</v>
      </c>
      <c r="U30" s="65">
        <v>303.00163515219418</v>
      </c>
      <c r="V30" s="62">
        <v>151.53768893007646</v>
      </c>
      <c r="W30" s="62">
        <v>48.094291297506196</v>
      </c>
      <c r="X30" s="62">
        <v>24.052998097826272</v>
      </c>
      <c r="Y30" s="66">
        <v>143.27515744828054</v>
      </c>
      <c r="Z30" s="66">
        <v>71.655013445388789</v>
      </c>
      <c r="AA30" s="67">
        <v>0</v>
      </c>
      <c r="AB30" s="68">
        <v>82.376909059949369</v>
      </c>
      <c r="AC30" s="69">
        <v>0</v>
      </c>
      <c r="AD30" s="409">
        <v>12.344558460790608</v>
      </c>
      <c r="AE30" s="409">
        <v>6.0040001133510597</v>
      </c>
      <c r="AF30" s="69">
        <v>18.185313544008466</v>
      </c>
      <c r="AG30" s="68">
        <v>11.998469390261334</v>
      </c>
      <c r="AH30" s="68">
        <v>6.0006947526378704</v>
      </c>
      <c r="AI30" s="68">
        <v>0.6666125879514696</v>
      </c>
      <c r="AJ30" s="69">
        <v>256.23777246475225</v>
      </c>
      <c r="AK30" s="69">
        <v>1263.337553532918</v>
      </c>
      <c r="AL30" s="69">
        <v>2679.6352050781252</v>
      </c>
      <c r="AM30" s="69">
        <v>474.65496826171875</v>
      </c>
      <c r="AN30" s="69">
        <v>1100.4574584960938</v>
      </c>
      <c r="AO30" s="69">
        <v>2425.525708516438</v>
      </c>
      <c r="AP30" s="69">
        <v>533.53609237670901</v>
      </c>
      <c r="AQ30" s="69">
        <v>2200.3420015970864</v>
      </c>
      <c r="AR30" s="69">
        <v>478.13027103741967</v>
      </c>
      <c r="AS30" s="69">
        <v>544.98613967895494</v>
      </c>
    </row>
    <row r="31" spans="1:45" x14ac:dyDescent="0.25">
      <c r="A31" s="11">
        <v>43609</v>
      </c>
      <c r="B31" s="59"/>
      <c r="C31" s="60">
        <v>64.019715535640529</v>
      </c>
      <c r="D31" s="60">
        <v>743.98333708445193</v>
      </c>
      <c r="E31" s="60">
        <v>15.990682823459281</v>
      </c>
      <c r="F31" s="60">
        <v>0</v>
      </c>
      <c r="G31" s="60">
        <v>1563.9404095331802</v>
      </c>
      <c r="H31" s="61">
        <v>26.530686833461125</v>
      </c>
      <c r="I31" s="59">
        <v>191.71162944634747</v>
      </c>
      <c r="J31" s="60">
        <v>392.59761594136614</v>
      </c>
      <c r="K31" s="60">
        <v>21.530723852415889</v>
      </c>
      <c r="L31" s="50">
        <v>0</v>
      </c>
      <c r="M31" s="60">
        <v>0</v>
      </c>
      <c r="N31" s="61">
        <v>0</v>
      </c>
      <c r="O31" s="59">
        <v>0</v>
      </c>
      <c r="P31" s="60">
        <v>0</v>
      </c>
      <c r="Q31" s="60">
        <v>0</v>
      </c>
      <c r="R31" s="63">
        <v>0</v>
      </c>
      <c r="S31" s="60">
        <v>0</v>
      </c>
      <c r="T31" s="64">
        <v>0</v>
      </c>
      <c r="U31" s="65">
        <v>286.72012083267987</v>
      </c>
      <c r="V31" s="62">
        <v>143.0655078516819</v>
      </c>
      <c r="W31" s="62">
        <v>44.402361079078105</v>
      </c>
      <c r="X31" s="62">
        <v>22.155565222083368</v>
      </c>
      <c r="Y31" s="66">
        <v>138.41685035399945</v>
      </c>
      <c r="Z31" s="66">
        <v>69.066227140303695</v>
      </c>
      <c r="AA31" s="67">
        <v>0</v>
      </c>
      <c r="AB31" s="68">
        <v>82.377443816927851</v>
      </c>
      <c r="AC31" s="69">
        <v>0</v>
      </c>
      <c r="AD31" s="409">
        <v>12.34222769733398</v>
      </c>
      <c r="AE31" s="409">
        <v>6.0180272839860542</v>
      </c>
      <c r="AF31" s="69">
        <v>17.475116892986851</v>
      </c>
      <c r="AG31" s="68">
        <v>11.541418082883228</v>
      </c>
      <c r="AH31" s="68">
        <v>5.7588523420016466</v>
      </c>
      <c r="AI31" s="68">
        <v>0.66712356509074799</v>
      </c>
      <c r="AJ31" s="69">
        <v>248.10322284698492</v>
      </c>
      <c r="AK31" s="69">
        <v>1267.8228527069093</v>
      </c>
      <c r="AL31" s="69">
        <v>2677.8565724690757</v>
      </c>
      <c r="AM31" s="69">
        <v>474.65496826171875</v>
      </c>
      <c r="AN31" s="69">
        <v>1100.4574584960938</v>
      </c>
      <c r="AO31" s="69">
        <v>2394.9381544748944</v>
      </c>
      <c r="AP31" s="69">
        <v>517.22930412292476</v>
      </c>
      <c r="AQ31" s="69">
        <v>2194.8915390968318</v>
      </c>
      <c r="AR31" s="69">
        <v>455.77083975474039</v>
      </c>
      <c r="AS31" s="69">
        <v>677.27186619440704</v>
      </c>
    </row>
    <row r="32" spans="1:45" x14ac:dyDescent="0.25">
      <c r="A32" s="11">
        <v>43610</v>
      </c>
      <c r="B32" s="59"/>
      <c r="C32" s="60">
        <v>63.51139148076458</v>
      </c>
      <c r="D32" s="60">
        <v>744.21689920425285</v>
      </c>
      <c r="E32" s="60">
        <v>15.981363803148259</v>
      </c>
      <c r="F32" s="60">
        <v>0</v>
      </c>
      <c r="G32" s="60">
        <v>1588.1134340286287</v>
      </c>
      <c r="H32" s="61">
        <v>26.481389985481918</v>
      </c>
      <c r="I32" s="59">
        <v>191.55385062694569</v>
      </c>
      <c r="J32" s="60">
        <v>392.28608051935925</v>
      </c>
      <c r="K32" s="60">
        <v>21.496816764275231</v>
      </c>
      <c r="L32" s="50">
        <v>0</v>
      </c>
      <c r="M32" s="60">
        <v>0</v>
      </c>
      <c r="N32" s="61">
        <v>0</v>
      </c>
      <c r="O32" s="59">
        <v>0</v>
      </c>
      <c r="P32" s="60">
        <v>0</v>
      </c>
      <c r="Q32" s="60">
        <v>0</v>
      </c>
      <c r="R32" s="63">
        <v>0</v>
      </c>
      <c r="S32" s="60">
        <v>0</v>
      </c>
      <c r="T32" s="64">
        <v>0</v>
      </c>
      <c r="U32" s="65">
        <v>294.41872453280695</v>
      </c>
      <c r="V32" s="62">
        <v>147.42244189459342</v>
      </c>
      <c r="W32" s="62">
        <v>46.03322598251976</v>
      </c>
      <c r="X32" s="62">
        <v>23.04992861237842</v>
      </c>
      <c r="Y32" s="66">
        <v>142.47013077839313</v>
      </c>
      <c r="Z32" s="66">
        <v>71.338175279855193</v>
      </c>
      <c r="AA32" s="67">
        <v>0</v>
      </c>
      <c r="AB32" s="68">
        <v>82.384159247081385</v>
      </c>
      <c r="AC32" s="69">
        <v>0</v>
      </c>
      <c r="AD32" s="409">
        <v>12.335086717837736</v>
      </c>
      <c r="AE32" s="409">
        <v>6.0197662373745953</v>
      </c>
      <c r="AF32" s="69">
        <v>17.817859356933145</v>
      </c>
      <c r="AG32" s="68">
        <v>11.720717949195596</v>
      </c>
      <c r="AH32" s="68">
        <v>5.868841608393244</v>
      </c>
      <c r="AI32" s="68">
        <v>0.6663451640628949</v>
      </c>
      <c r="AJ32" s="69">
        <v>235.23893736203513</v>
      </c>
      <c r="AK32" s="69">
        <v>1254.0664101918539</v>
      </c>
      <c r="AL32" s="69">
        <v>2750.6846139272056</v>
      </c>
      <c r="AM32" s="69">
        <v>474.65496826171875</v>
      </c>
      <c r="AN32" s="69">
        <v>1100.4574584960938</v>
      </c>
      <c r="AO32" s="69">
        <v>2420.7379425048825</v>
      </c>
      <c r="AP32" s="69">
        <v>498.52820291519168</v>
      </c>
      <c r="AQ32" s="69">
        <v>2249.4557618618014</v>
      </c>
      <c r="AR32" s="69">
        <v>432.56631437937421</v>
      </c>
      <c r="AS32" s="69">
        <v>679.08136208852147</v>
      </c>
    </row>
    <row r="33" spans="1:45" x14ac:dyDescent="0.25">
      <c r="A33" s="11">
        <v>43611</v>
      </c>
      <c r="B33" s="59"/>
      <c r="C33" s="60">
        <v>63.367238855362586</v>
      </c>
      <c r="D33" s="60">
        <v>742.11434777577767</v>
      </c>
      <c r="E33" s="60">
        <v>15.888314338525136</v>
      </c>
      <c r="F33" s="60">
        <v>0</v>
      </c>
      <c r="G33" s="60">
        <v>1563.4004278818784</v>
      </c>
      <c r="H33" s="61">
        <v>26.122450270255392</v>
      </c>
      <c r="I33" s="59">
        <v>191.49306631088254</v>
      </c>
      <c r="J33" s="60">
        <v>392.25658426284878</v>
      </c>
      <c r="K33" s="60">
        <v>21.450840289394051</v>
      </c>
      <c r="L33" s="50">
        <v>0</v>
      </c>
      <c r="M33" s="60">
        <v>0</v>
      </c>
      <c r="N33" s="61">
        <v>0</v>
      </c>
      <c r="O33" s="59">
        <v>0</v>
      </c>
      <c r="P33" s="60">
        <v>0</v>
      </c>
      <c r="Q33" s="60">
        <v>0</v>
      </c>
      <c r="R33" s="63">
        <v>0</v>
      </c>
      <c r="S33" s="60">
        <v>0</v>
      </c>
      <c r="T33" s="64">
        <v>0</v>
      </c>
      <c r="U33" s="65">
        <v>293.50222133638056</v>
      </c>
      <c r="V33" s="62">
        <v>134.02155164505422</v>
      </c>
      <c r="W33" s="62">
        <v>45.495920466087874</v>
      </c>
      <c r="X33" s="62">
        <v>20.774745167590588</v>
      </c>
      <c r="Y33" s="66">
        <v>147.31382539249771</v>
      </c>
      <c r="Z33" s="66">
        <v>67.267727542148918</v>
      </c>
      <c r="AA33" s="67">
        <v>0</v>
      </c>
      <c r="AB33" s="68">
        <v>82.121952883401434</v>
      </c>
      <c r="AC33" s="69">
        <v>0</v>
      </c>
      <c r="AD33" s="409">
        <v>12.332151324098231</v>
      </c>
      <c r="AE33" s="409">
        <v>5.975021259624719</v>
      </c>
      <c r="AF33" s="69">
        <v>17.301838146315689</v>
      </c>
      <c r="AG33" s="68">
        <v>11.748044275740105</v>
      </c>
      <c r="AH33" s="68">
        <v>5.3644947403139867</v>
      </c>
      <c r="AI33" s="68">
        <v>0.68651672698707655</v>
      </c>
      <c r="AJ33" s="69">
        <v>227.54690198898314</v>
      </c>
      <c r="AK33" s="69">
        <v>1252.7238028208415</v>
      </c>
      <c r="AL33" s="69">
        <v>2723.6479709625246</v>
      </c>
      <c r="AM33" s="69">
        <v>474.65496826171875</v>
      </c>
      <c r="AN33" s="69">
        <v>1100.4574584960938</v>
      </c>
      <c r="AO33" s="69">
        <v>2287.2140516916911</v>
      </c>
      <c r="AP33" s="69">
        <v>515.83814864158626</v>
      </c>
      <c r="AQ33" s="69">
        <v>2121.2791894276934</v>
      </c>
      <c r="AR33" s="69">
        <v>403.87022988001502</v>
      </c>
      <c r="AS33" s="69">
        <v>604.12673234939575</v>
      </c>
    </row>
    <row r="34" spans="1:45" x14ac:dyDescent="0.25">
      <c r="A34" s="11">
        <v>43612</v>
      </c>
      <c r="B34" s="59"/>
      <c r="C34" s="60">
        <v>63.680930093925227</v>
      </c>
      <c r="D34" s="60">
        <v>743.5723848978663</v>
      </c>
      <c r="E34" s="60">
        <v>15.819156738122299</v>
      </c>
      <c r="F34" s="60">
        <v>0</v>
      </c>
      <c r="G34" s="60">
        <v>1455.6081735611008</v>
      </c>
      <c r="H34" s="61">
        <v>26.101011439164491</v>
      </c>
      <c r="I34" s="59">
        <v>191.60761372248368</v>
      </c>
      <c r="J34" s="60">
        <v>392.17555468877299</v>
      </c>
      <c r="K34" s="60">
        <v>21.440299515922877</v>
      </c>
      <c r="L34" s="50">
        <v>0</v>
      </c>
      <c r="M34" s="60">
        <v>0</v>
      </c>
      <c r="N34" s="61">
        <v>0</v>
      </c>
      <c r="O34" s="59">
        <v>0</v>
      </c>
      <c r="P34" s="60">
        <v>0</v>
      </c>
      <c r="Q34" s="60">
        <v>0</v>
      </c>
      <c r="R34" s="63">
        <v>0</v>
      </c>
      <c r="S34" s="60">
        <v>0</v>
      </c>
      <c r="T34" s="64">
        <v>0</v>
      </c>
      <c r="U34" s="65">
        <v>297.51418852515098</v>
      </c>
      <c r="V34" s="62">
        <v>148.75848391612521</v>
      </c>
      <c r="W34" s="62">
        <v>46.281974753060581</v>
      </c>
      <c r="X34" s="62">
        <v>23.1412035541547</v>
      </c>
      <c r="Y34" s="66">
        <v>150.41278034028514</v>
      </c>
      <c r="Z34" s="66">
        <v>75.207092730431071</v>
      </c>
      <c r="AA34" s="67">
        <v>0</v>
      </c>
      <c r="AB34" s="68">
        <v>81.723656288782067</v>
      </c>
      <c r="AC34" s="69">
        <v>0</v>
      </c>
      <c r="AD34" s="409">
        <v>12.331281528355596</v>
      </c>
      <c r="AE34" s="409">
        <v>5.951717805966342</v>
      </c>
      <c r="AF34" s="69">
        <v>18.190631945927958</v>
      </c>
      <c r="AG34" s="68">
        <v>12.000484572157639</v>
      </c>
      <c r="AH34" s="68">
        <v>6.0002983389214331</v>
      </c>
      <c r="AI34" s="68">
        <v>0.66666459072575202</v>
      </c>
      <c r="AJ34" s="69">
        <v>230.74195377031958</v>
      </c>
      <c r="AK34" s="69">
        <v>1255.1038217544556</v>
      </c>
      <c r="AL34" s="69">
        <v>2752.2268900553386</v>
      </c>
      <c r="AM34" s="69">
        <v>474.65496826171875</v>
      </c>
      <c r="AN34" s="69">
        <v>1100.4574584960938</v>
      </c>
      <c r="AO34" s="69">
        <v>2310.1750398000081</v>
      </c>
      <c r="AP34" s="69">
        <v>521.33687529563906</v>
      </c>
      <c r="AQ34" s="69">
        <v>2157.2973822275794</v>
      </c>
      <c r="AR34" s="69">
        <v>403.50791818300877</v>
      </c>
      <c r="AS34" s="69">
        <v>643.60310681660974</v>
      </c>
    </row>
    <row r="35" spans="1:45" x14ac:dyDescent="0.25">
      <c r="A35" s="11">
        <v>43613</v>
      </c>
      <c r="B35" s="59"/>
      <c r="C35" s="60">
        <v>63.404333786170213</v>
      </c>
      <c r="D35" s="60">
        <v>742.23226251602136</v>
      </c>
      <c r="E35" s="60">
        <v>15.812994508941951</v>
      </c>
      <c r="F35" s="60">
        <v>0</v>
      </c>
      <c r="G35" s="60">
        <v>1463.011842727668</v>
      </c>
      <c r="H35" s="61">
        <v>26.045293474197386</v>
      </c>
      <c r="I35" s="59">
        <v>191.55329444408432</v>
      </c>
      <c r="J35" s="60">
        <v>392.22491048177136</v>
      </c>
      <c r="K35" s="60">
        <v>21.407714009284991</v>
      </c>
      <c r="L35" s="50">
        <v>0</v>
      </c>
      <c r="M35" s="60">
        <v>0</v>
      </c>
      <c r="N35" s="61">
        <v>0</v>
      </c>
      <c r="O35" s="59">
        <v>0</v>
      </c>
      <c r="P35" s="60">
        <v>0</v>
      </c>
      <c r="Q35" s="60">
        <v>0</v>
      </c>
      <c r="R35" s="63">
        <v>0</v>
      </c>
      <c r="S35" s="60">
        <v>0</v>
      </c>
      <c r="T35" s="64">
        <v>0</v>
      </c>
      <c r="U35" s="65">
        <v>295.5424856878239</v>
      </c>
      <c r="V35" s="62">
        <v>147.77321109206309</v>
      </c>
      <c r="W35" s="62">
        <v>45.929968007121559</v>
      </c>
      <c r="X35" s="62">
        <v>22.965289887076651</v>
      </c>
      <c r="Y35" s="66">
        <v>147.32241797259815</v>
      </c>
      <c r="Z35" s="66">
        <v>73.662190121299403</v>
      </c>
      <c r="AA35" s="67">
        <v>0</v>
      </c>
      <c r="AB35" s="68">
        <v>81.72103899849769</v>
      </c>
      <c r="AC35" s="69">
        <v>0</v>
      </c>
      <c r="AD35" s="409">
        <v>12.332944416107843</v>
      </c>
      <c r="AE35" s="409">
        <v>5.9517713050974059</v>
      </c>
      <c r="AF35" s="69">
        <v>18.004563721683283</v>
      </c>
      <c r="AG35" s="68">
        <v>11.879087467887366</v>
      </c>
      <c r="AH35" s="68">
        <v>5.9396228460614937</v>
      </c>
      <c r="AI35" s="68">
        <v>0.66666370677726139</v>
      </c>
      <c r="AJ35" s="69">
        <v>239.47100847562157</v>
      </c>
      <c r="AK35" s="69">
        <v>1255.1005349477132</v>
      </c>
      <c r="AL35" s="69">
        <v>2753.6156158447266</v>
      </c>
      <c r="AM35" s="69">
        <v>423.71228688557943</v>
      </c>
      <c r="AN35" s="69">
        <v>1100.4574584960938</v>
      </c>
      <c r="AO35" s="69">
        <v>2393.6488115946449</v>
      </c>
      <c r="AP35" s="69">
        <v>510.85503182411185</v>
      </c>
      <c r="AQ35" s="69">
        <v>2160.8831528981527</v>
      </c>
      <c r="AR35" s="69">
        <v>413.62462698618577</v>
      </c>
      <c r="AS35" s="69">
        <v>543.23551772435508</v>
      </c>
    </row>
    <row r="36" spans="1:45" s="416" customFormat="1" x14ac:dyDescent="0.25">
      <c r="A36" s="11">
        <v>43614</v>
      </c>
      <c r="B36" s="411"/>
      <c r="C36" s="412">
        <v>63.106850226720248</v>
      </c>
      <c r="D36" s="412">
        <v>735.90212510426568</v>
      </c>
      <c r="E36" s="412">
        <v>15.810310287276868</v>
      </c>
      <c r="F36" s="412">
        <v>0</v>
      </c>
      <c r="G36" s="412">
        <v>1482.8868840535511</v>
      </c>
      <c r="H36" s="413">
        <v>26.185230749845527</v>
      </c>
      <c r="I36" s="411">
        <v>192.55934489568079</v>
      </c>
      <c r="J36" s="412">
        <v>394.29215154647858</v>
      </c>
      <c r="K36" s="412">
        <v>21.56294554720321</v>
      </c>
      <c r="L36" s="50">
        <v>0</v>
      </c>
      <c r="M36" s="412">
        <v>0</v>
      </c>
      <c r="N36" s="413">
        <v>0</v>
      </c>
      <c r="O36" s="411">
        <v>0</v>
      </c>
      <c r="P36" s="412">
        <v>0</v>
      </c>
      <c r="Q36" s="412">
        <v>0</v>
      </c>
      <c r="R36" s="412">
        <v>0</v>
      </c>
      <c r="S36" s="412">
        <v>0</v>
      </c>
      <c r="T36" s="413">
        <v>0</v>
      </c>
      <c r="U36" s="411">
        <v>290.99506408529533</v>
      </c>
      <c r="V36" s="412">
        <v>146.16383350534048</v>
      </c>
      <c r="W36" s="412">
        <v>45.578572487616853</v>
      </c>
      <c r="X36" s="412">
        <v>22.893649077629718</v>
      </c>
      <c r="Y36" s="412">
        <v>145.24075666300388</v>
      </c>
      <c r="Z36" s="412">
        <v>72.952941115380654</v>
      </c>
      <c r="AA36" s="413">
        <v>0</v>
      </c>
      <c r="AB36" s="414">
        <v>81.853689686457273</v>
      </c>
      <c r="AC36" s="56">
        <v>0</v>
      </c>
      <c r="AD36" s="415">
        <v>12.398223482445427</v>
      </c>
      <c r="AE36" s="414">
        <v>5.9527931384014856</v>
      </c>
      <c r="AF36" s="56">
        <v>17.865730019410464</v>
      </c>
      <c r="AG36" s="56">
        <v>11.716382443012751</v>
      </c>
      <c r="AH36" s="56">
        <v>5.885018627613027</v>
      </c>
      <c r="AI36" s="56">
        <v>0.6656505579300569</v>
      </c>
      <c r="AJ36" s="56">
        <v>247.37468988100684</v>
      </c>
      <c r="AK36" s="56">
        <v>1265.7987170537315</v>
      </c>
      <c r="AL36" s="56">
        <v>2709.5899355570477</v>
      </c>
      <c r="AM36" s="56">
        <v>400.25592041015625</v>
      </c>
      <c r="AN36" s="56">
        <v>1100.4574584960938</v>
      </c>
      <c r="AO36" s="56">
        <v>2453.0431765238445</v>
      </c>
      <c r="AP36" s="56">
        <v>506.2955936431884</v>
      </c>
      <c r="AQ36" s="56">
        <v>2194.8287549972538</v>
      </c>
      <c r="AR36" s="56">
        <v>436.84658975601189</v>
      </c>
      <c r="AS36" s="56">
        <v>541.96622867584233</v>
      </c>
    </row>
    <row r="37" spans="1:45" x14ac:dyDescent="0.25">
      <c r="A37" s="11">
        <v>43615</v>
      </c>
      <c r="B37" s="65"/>
      <c r="C37" s="66">
        <v>62.668524066606906</v>
      </c>
      <c r="D37" s="66">
        <v>736.13943939209014</v>
      </c>
      <c r="E37" s="66">
        <v>15.82422732512155</v>
      </c>
      <c r="F37" s="66">
        <v>0</v>
      </c>
      <c r="G37" s="66">
        <v>1595.4568951924668</v>
      </c>
      <c r="H37" s="67">
        <v>26.238773349920937</v>
      </c>
      <c r="I37" s="71">
        <v>192.62218476931255</v>
      </c>
      <c r="J37" s="66">
        <v>394.39762185414668</v>
      </c>
      <c r="K37" s="66">
        <v>21.591307779153201</v>
      </c>
      <c r="L37" s="50">
        <v>0</v>
      </c>
      <c r="M37" s="66">
        <v>0</v>
      </c>
      <c r="N37" s="67">
        <v>0</v>
      </c>
      <c r="O37" s="71">
        <v>0</v>
      </c>
      <c r="P37" s="66">
        <v>0</v>
      </c>
      <c r="Q37" s="66">
        <v>0</v>
      </c>
      <c r="R37" s="390">
        <v>0</v>
      </c>
      <c r="S37" s="66">
        <v>0</v>
      </c>
      <c r="T37" s="67">
        <v>0</v>
      </c>
      <c r="U37" s="71">
        <v>270.91456290447985</v>
      </c>
      <c r="V37" s="66">
        <v>135.50318105388965</v>
      </c>
      <c r="W37" s="62">
        <v>42.175641557098182</v>
      </c>
      <c r="X37" s="62">
        <v>21.094966371336863</v>
      </c>
      <c r="Y37" s="66">
        <v>136.97360477415114</v>
      </c>
      <c r="Z37" s="66">
        <v>68.510009090429776</v>
      </c>
      <c r="AA37" s="67">
        <v>0</v>
      </c>
      <c r="AB37" s="68">
        <v>82.480967601141529</v>
      </c>
      <c r="AC37" s="391">
        <v>0</v>
      </c>
      <c r="AD37" s="409">
        <v>12.399830125296875</v>
      </c>
      <c r="AE37" s="409">
        <v>5.955161516121894</v>
      </c>
      <c r="AF37" s="391">
        <v>16.543646643890273</v>
      </c>
      <c r="AG37" s="68">
        <v>10.835000465884686</v>
      </c>
      <c r="AH37" s="68">
        <v>5.4193359489700343</v>
      </c>
      <c r="AI37" s="68">
        <v>0.66659137533185653</v>
      </c>
      <c r="AJ37" s="391">
        <v>234.0656406879425</v>
      </c>
      <c r="AK37" s="391">
        <v>1258.3838807423906</v>
      </c>
      <c r="AL37" s="391">
        <v>2788.5588095347089</v>
      </c>
      <c r="AM37" s="391">
        <v>449.60095958709718</v>
      </c>
      <c r="AN37" s="391">
        <v>3483.6895467122395</v>
      </c>
      <c r="AO37" s="391">
        <v>2411.17861849467</v>
      </c>
      <c r="AP37" s="391">
        <v>508.36901636123662</v>
      </c>
      <c r="AQ37" s="391">
        <v>2080.9376784801484</v>
      </c>
      <c r="AR37" s="391">
        <v>428.40908454259227</v>
      </c>
      <c r="AS37" s="391">
        <v>764.79963515599547</v>
      </c>
    </row>
    <row r="38" spans="1:45" ht="15.75" thickBot="1" x14ac:dyDescent="0.3">
      <c r="A38" s="11">
        <v>43616</v>
      </c>
      <c r="B38" s="382"/>
      <c r="C38" s="384">
        <v>62.896537534395954</v>
      </c>
      <c r="D38" s="384">
        <v>738.31945282617983</v>
      </c>
      <c r="E38" s="384">
        <v>15.84073407550652</v>
      </c>
      <c r="F38" s="384">
        <v>0</v>
      </c>
      <c r="G38" s="384">
        <v>1673.4130246480349</v>
      </c>
      <c r="H38" s="385">
        <v>26.305121203263663</v>
      </c>
      <c r="I38" s="386">
        <v>205.63443514505994</v>
      </c>
      <c r="J38" s="384">
        <v>433.6484868049622</v>
      </c>
      <c r="K38" s="384">
        <v>23.720674599210458</v>
      </c>
      <c r="L38" s="50">
        <v>0</v>
      </c>
      <c r="M38" s="384">
        <v>0</v>
      </c>
      <c r="N38" s="385">
        <v>0</v>
      </c>
      <c r="O38" s="386">
        <v>0</v>
      </c>
      <c r="P38" s="384">
        <v>0</v>
      </c>
      <c r="Q38" s="384">
        <v>0</v>
      </c>
      <c r="R38" s="387">
        <v>0</v>
      </c>
      <c r="S38" s="384">
        <v>0</v>
      </c>
      <c r="T38" s="388">
        <v>0</v>
      </c>
      <c r="U38" s="386">
        <v>327.10036318571946</v>
      </c>
      <c r="V38" s="384">
        <v>148.17523625157258</v>
      </c>
      <c r="W38" s="383">
        <v>50.841407247310606</v>
      </c>
      <c r="X38" s="383">
        <v>23.030966572040658</v>
      </c>
      <c r="Y38" s="384">
        <v>166.93549102968151</v>
      </c>
      <c r="Z38" s="384">
        <v>75.621150588729293</v>
      </c>
      <c r="AA38" s="385">
        <v>0</v>
      </c>
      <c r="AB38" s="389">
        <v>88.289936335880924</v>
      </c>
      <c r="AC38" s="85">
        <v>0</v>
      </c>
      <c r="AD38" s="409">
        <v>13.635594541949224</v>
      </c>
      <c r="AE38" s="409">
        <v>5.9719171606538293</v>
      </c>
      <c r="AF38" s="85">
        <v>19.52292113701504</v>
      </c>
      <c r="AG38" s="389">
        <v>13.241798374869013</v>
      </c>
      <c r="AH38" s="389">
        <v>5.9984849404703047</v>
      </c>
      <c r="AI38" s="389">
        <v>0.68823302431892919</v>
      </c>
      <c r="AJ38" s="85">
        <v>223.4278282642365</v>
      </c>
      <c r="AK38" s="85">
        <v>1253.4017359415693</v>
      </c>
      <c r="AL38" s="85">
        <v>2891.4341730753581</v>
      </c>
      <c r="AM38" s="85">
        <v>477.00297546386719</v>
      </c>
      <c r="AN38" s="85">
        <v>4823.3521728515625</v>
      </c>
      <c r="AO38" s="85">
        <v>2442.1991359710696</v>
      </c>
      <c r="AP38" s="85">
        <v>526.72517793973282</v>
      </c>
      <c r="AQ38" s="85">
        <v>2299.6290228525795</v>
      </c>
      <c r="AR38" s="85">
        <v>440.39490041732785</v>
      </c>
      <c r="AS38" s="85">
        <v>743.62962586084996</v>
      </c>
    </row>
    <row r="39" spans="1:45" ht="15.75" thickTop="1" x14ac:dyDescent="0.25">
      <c r="A39" s="46" t="s">
        <v>171</v>
      </c>
      <c r="B39" s="29">
        <f t="shared" ref="B39" si="0">SUM(B8:B36)</f>
        <v>0</v>
      </c>
      <c r="C39" s="30">
        <f t="shared" ref="C39:AC39" si="1">SUM(C8:C38)</f>
        <v>1825.6960199296532</v>
      </c>
      <c r="D39" s="30">
        <f t="shared" si="1"/>
        <v>22105.433865044502</v>
      </c>
      <c r="E39" s="30">
        <f t="shared" si="1"/>
        <v>459.4341430465376</v>
      </c>
      <c r="F39" s="30">
        <f t="shared" si="1"/>
        <v>0</v>
      </c>
      <c r="G39" s="30">
        <f t="shared" si="1"/>
        <v>51093.549256324804</v>
      </c>
      <c r="H39" s="31">
        <f t="shared" si="1"/>
        <v>757.33488553365135</v>
      </c>
      <c r="I39" s="29">
        <f t="shared" si="1"/>
        <v>6029.9064600467664</v>
      </c>
      <c r="J39" s="30">
        <f t="shared" si="1"/>
        <v>14121.956038085631</v>
      </c>
      <c r="K39" s="30">
        <f t="shared" si="1"/>
        <v>773.0748479023581</v>
      </c>
      <c r="L39" s="30">
        <f t="shared" si="1"/>
        <v>0</v>
      </c>
      <c r="M39" s="30">
        <f t="shared" si="1"/>
        <v>0</v>
      </c>
      <c r="N39" s="31">
        <f t="shared" si="1"/>
        <v>0</v>
      </c>
      <c r="O39" s="261">
        <f t="shared" si="1"/>
        <v>0</v>
      </c>
      <c r="P39" s="262">
        <f t="shared" si="1"/>
        <v>0</v>
      </c>
      <c r="Q39" s="262">
        <f t="shared" si="1"/>
        <v>0</v>
      </c>
      <c r="R39" s="262">
        <f t="shared" si="1"/>
        <v>0</v>
      </c>
      <c r="S39" s="262">
        <f t="shared" si="1"/>
        <v>0</v>
      </c>
      <c r="T39" s="263">
        <f t="shared" si="1"/>
        <v>0</v>
      </c>
      <c r="U39" s="261">
        <f t="shared" si="1"/>
        <v>10002.563457275361</v>
      </c>
      <c r="V39" s="262">
        <f t="shared" si="1"/>
        <v>4064.5426447567861</v>
      </c>
      <c r="W39" s="262">
        <f t="shared" si="1"/>
        <v>1589.3427539777185</v>
      </c>
      <c r="X39" s="262">
        <f t="shared" si="1"/>
        <v>641.81105558560114</v>
      </c>
      <c r="Y39" s="262">
        <f t="shared" si="1"/>
        <v>4718.171010873335</v>
      </c>
      <c r="Z39" s="262">
        <f t="shared" si="1"/>
        <v>1916.4450060550196</v>
      </c>
      <c r="AA39" s="270">
        <f t="shared" si="1"/>
        <v>0</v>
      </c>
      <c r="AB39" s="273">
        <f t="shared" si="1"/>
        <v>2705.6778225501448</v>
      </c>
      <c r="AC39" s="273">
        <f t="shared" si="1"/>
        <v>0</v>
      </c>
      <c r="AD39" s="276" t="s">
        <v>29</v>
      </c>
      <c r="AE39" s="276" t="s">
        <v>29</v>
      </c>
      <c r="AF39" s="276" t="s">
        <v>29</v>
      </c>
      <c r="AG39" s="276" t="s">
        <v>29</v>
      </c>
      <c r="AH39" s="276" t="s">
        <v>29</v>
      </c>
      <c r="AI39" s="276" t="s">
        <v>159</v>
      </c>
      <c r="AJ39" s="273">
        <f t="shared" ref="AJ39:AS39" si="2">SUM(AJ8:AJ38)</f>
        <v>7530.4321512699125</v>
      </c>
      <c r="AK39" s="273">
        <f t="shared" si="2"/>
        <v>39085.535940488175</v>
      </c>
      <c r="AL39" s="273">
        <f t="shared" si="2"/>
        <v>81767.496263885478</v>
      </c>
      <c r="AM39" s="273">
        <f t="shared" si="2"/>
        <v>14748.861469825108</v>
      </c>
      <c r="AN39" s="273">
        <f t="shared" si="2"/>
        <v>54202.887064552306</v>
      </c>
      <c r="AO39" s="273">
        <f t="shared" si="2"/>
        <v>73771.915496444708</v>
      </c>
      <c r="AP39" s="273">
        <f t="shared" si="2"/>
        <v>17699.678558953605</v>
      </c>
      <c r="AQ39" s="273">
        <f t="shared" si="2"/>
        <v>69882.97807165781</v>
      </c>
      <c r="AR39" s="273">
        <f t="shared" si="2"/>
        <v>12731.115372244516</v>
      </c>
      <c r="AS39" s="273">
        <f t="shared" si="2"/>
        <v>18916.941241820652</v>
      </c>
    </row>
    <row r="40" spans="1:45" ht="15.75" thickBot="1" x14ac:dyDescent="0.3">
      <c r="A40" s="47" t="s">
        <v>172</v>
      </c>
      <c r="B40" s="32">
        <f>Projection!$AB$30</f>
        <v>0.82128400199999985</v>
      </c>
      <c r="C40" s="33">
        <f>Projection!$AB$28</f>
        <v>1.4863548</v>
      </c>
      <c r="D40" s="33">
        <f>Projection!$AB$31</f>
        <v>3.0824639999999999</v>
      </c>
      <c r="E40" s="33">
        <f>Projection!$AB$26</f>
        <v>4.3368000000000002</v>
      </c>
      <c r="F40" s="33">
        <f>Projection!$AB$23</f>
        <v>0</v>
      </c>
      <c r="G40" s="33">
        <f>Projection!$AB$24</f>
        <v>5.7950000000000002E-2</v>
      </c>
      <c r="H40" s="34">
        <f>Projection!$AB$29</f>
        <v>3.7390305000000001</v>
      </c>
      <c r="I40" s="32">
        <f>Projection!$AB$30</f>
        <v>0.82128400199999985</v>
      </c>
      <c r="J40" s="33">
        <f>Projection!$AB$28</f>
        <v>1.4863548</v>
      </c>
      <c r="K40" s="33">
        <f>Projection!$AB$26</f>
        <v>4.3368000000000002</v>
      </c>
      <c r="L40" s="33">
        <f>Projection!$AB$25</f>
        <v>0</v>
      </c>
      <c r="M40" s="33">
        <f>Projection!$AB$23</f>
        <v>0</v>
      </c>
      <c r="N40" s="34">
        <f>Projection!$AB$23</f>
        <v>0</v>
      </c>
      <c r="O40" s="26">
        <v>15.77</v>
      </c>
      <c r="P40" s="27">
        <v>15.77</v>
      </c>
      <c r="Q40" s="27">
        <v>15.77</v>
      </c>
      <c r="R40" s="27">
        <v>15.77</v>
      </c>
      <c r="S40" s="27">
        <f>Projection!$AB$28</f>
        <v>1.4863548</v>
      </c>
      <c r="T40" s="38">
        <f>Projection!$AB$28</f>
        <v>1.4863548</v>
      </c>
      <c r="U40" s="26">
        <f>Projection!$AB$27</f>
        <v>0.29960000000000003</v>
      </c>
      <c r="V40" s="27">
        <f>Projection!$AB$27</f>
        <v>0.29960000000000003</v>
      </c>
      <c r="W40" s="27">
        <f>Projection!$AB$22</f>
        <v>0.74349432000000004</v>
      </c>
      <c r="X40" s="27">
        <f>Projection!$AB$22</f>
        <v>0.74349432000000004</v>
      </c>
      <c r="Y40" s="27">
        <f>Projection!$AB$31</f>
        <v>3.0824639999999999</v>
      </c>
      <c r="Z40" s="27">
        <f>Projection!$AB$31</f>
        <v>3.0824639999999999</v>
      </c>
      <c r="AA40" s="28">
        <v>0</v>
      </c>
      <c r="AB40" s="41">
        <f>Projection!$AB$27</f>
        <v>0.29960000000000003</v>
      </c>
      <c r="AC40" s="41">
        <f>Projection!$AB$30</f>
        <v>0.82128400199999985</v>
      </c>
      <c r="AD40" s="400">
        <f>SUM(AD8:AD38)</f>
        <v>420.72661660432897</v>
      </c>
      <c r="AE40" s="400">
        <f>SUM(AE8:AE38)</f>
        <v>172.683376030327</v>
      </c>
      <c r="AF40" s="277">
        <f>SUM(AF9:AF38)</f>
        <v>554.24387551032839</v>
      </c>
      <c r="AG40" s="277">
        <f>SUM(AG8:AG38)</f>
        <v>402.33992634841206</v>
      </c>
      <c r="AH40" s="277">
        <f>SUM(AH8:AH38)</f>
        <v>162.73467605819712</v>
      </c>
      <c r="AI40" s="277">
        <f>IF(SUM(AG40:AH40)&gt;0, AG40/(AG40+AH40), 0)</f>
        <v>0.71201205050603467</v>
      </c>
      <c r="AJ40" s="312">
        <v>6.7000000000000004E-2</v>
      </c>
      <c r="AK40" s="312">
        <f t="shared" ref="AK40:AS40" si="3">$AJ$40</f>
        <v>6.7000000000000004E-2</v>
      </c>
      <c r="AL40" s="312">
        <f t="shared" si="3"/>
        <v>6.7000000000000004E-2</v>
      </c>
      <c r="AM40" s="312">
        <f t="shared" si="3"/>
        <v>6.7000000000000004E-2</v>
      </c>
      <c r="AN40" s="312">
        <f t="shared" si="3"/>
        <v>6.7000000000000004E-2</v>
      </c>
      <c r="AO40" s="312">
        <f t="shared" si="3"/>
        <v>6.7000000000000004E-2</v>
      </c>
      <c r="AP40" s="312">
        <f t="shared" si="3"/>
        <v>6.7000000000000004E-2</v>
      </c>
      <c r="AQ40" s="312">
        <f t="shared" si="3"/>
        <v>6.7000000000000004E-2</v>
      </c>
      <c r="AR40" s="312">
        <f t="shared" si="3"/>
        <v>6.7000000000000004E-2</v>
      </c>
      <c r="AS40" s="312">
        <f t="shared" si="3"/>
        <v>6.7000000000000004E-2</v>
      </c>
    </row>
    <row r="41" spans="1:45" ht="16.5" thickTop="1" thickBot="1" x14ac:dyDescent="0.3">
      <c r="A41" s="48" t="s">
        <v>26</v>
      </c>
      <c r="B41" s="35">
        <f t="shared" ref="B41:AC41" si="4">B40*B39</f>
        <v>0</v>
      </c>
      <c r="C41" s="36">
        <f t="shared" si="4"/>
        <v>2713.6320425633357</v>
      </c>
      <c r="D41" s="36">
        <f t="shared" si="4"/>
        <v>68139.20409338054</v>
      </c>
      <c r="E41" s="36">
        <f t="shared" si="4"/>
        <v>1992.4739915642244</v>
      </c>
      <c r="F41" s="36">
        <f t="shared" si="4"/>
        <v>0</v>
      </c>
      <c r="G41" s="36">
        <f t="shared" si="4"/>
        <v>2960.8711794040223</v>
      </c>
      <c r="H41" s="37">
        <f t="shared" si="4"/>
        <v>2831.6982357243314</v>
      </c>
      <c r="I41" s="35">
        <f t="shared" si="4"/>
        <v>4952.2657091928604</v>
      </c>
      <c r="J41" s="36">
        <f t="shared" si="4"/>
        <v>20990.237142597562</v>
      </c>
      <c r="K41" s="36">
        <f t="shared" si="4"/>
        <v>3352.6710003829467</v>
      </c>
      <c r="L41" s="36">
        <f t="shared" si="4"/>
        <v>0</v>
      </c>
      <c r="M41" s="36">
        <f t="shared" si="4"/>
        <v>0</v>
      </c>
      <c r="N41" s="37">
        <f t="shared" si="4"/>
        <v>0</v>
      </c>
      <c r="O41" s="267">
        <f t="shared" si="4"/>
        <v>0</v>
      </c>
      <c r="P41" s="268">
        <f t="shared" si="4"/>
        <v>0</v>
      </c>
      <c r="Q41" s="268">
        <f t="shared" si="4"/>
        <v>0</v>
      </c>
      <c r="R41" s="268">
        <f t="shared" si="4"/>
        <v>0</v>
      </c>
      <c r="S41" s="268">
        <f t="shared" si="4"/>
        <v>0</v>
      </c>
      <c r="T41" s="269">
        <f t="shared" si="4"/>
        <v>0</v>
      </c>
      <c r="U41" s="267">
        <f t="shared" si="4"/>
        <v>2996.7680117996983</v>
      </c>
      <c r="V41" s="268">
        <f t="shared" si="4"/>
        <v>1217.7369763691333</v>
      </c>
      <c r="W41" s="268">
        <f t="shared" si="4"/>
        <v>1181.6673101155911</v>
      </c>
      <c r="X41" s="268">
        <f t="shared" si="4"/>
        <v>477.18287434109874</v>
      </c>
      <c r="Y41" s="268">
        <f t="shared" si="4"/>
        <v>14543.592286860663</v>
      </c>
      <c r="Z41" s="268">
        <f t="shared" si="4"/>
        <v>5907.3727391443799</v>
      </c>
      <c r="AA41" s="272">
        <f t="shared" si="4"/>
        <v>0</v>
      </c>
      <c r="AB41" s="275">
        <f t="shared" si="4"/>
        <v>810.62107563602342</v>
      </c>
      <c r="AC41" s="275">
        <f t="shared" si="4"/>
        <v>0</v>
      </c>
      <c r="AJ41" s="278">
        <f t="shared" ref="AJ41:AS41" si="5">AJ40*AJ39</f>
        <v>504.53895413508417</v>
      </c>
      <c r="AK41" s="278">
        <f t="shared" si="5"/>
        <v>2618.7309080127079</v>
      </c>
      <c r="AL41" s="278">
        <f t="shared" si="5"/>
        <v>5478.4222496803277</v>
      </c>
      <c r="AM41" s="278">
        <f t="shared" si="5"/>
        <v>988.17371847828224</v>
      </c>
      <c r="AN41" s="278">
        <f t="shared" si="5"/>
        <v>3631.5934333250048</v>
      </c>
      <c r="AO41" s="278">
        <f t="shared" si="5"/>
        <v>4942.7183382617959</v>
      </c>
      <c r="AP41" s="278">
        <f t="shared" si="5"/>
        <v>1185.8784634498916</v>
      </c>
      <c r="AQ41" s="278">
        <f t="shared" si="5"/>
        <v>4682.1595308010737</v>
      </c>
      <c r="AR41" s="278">
        <f t="shared" si="5"/>
        <v>852.98472994038264</v>
      </c>
      <c r="AS41" s="278">
        <f t="shared" si="5"/>
        <v>1267.4350632019837</v>
      </c>
    </row>
    <row r="42" spans="1:45" ht="49.5" customHeight="1" thickTop="1" thickBot="1" x14ac:dyDescent="0.3">
      <c r="A42" s="633">
        <f>APRIL!$A$42+30</f>
        <v>43587</v>
      </c>
      <c r="B42" s="634"/>
      <c r="C42" s="634"/>
      <c r="D42" s="634"/>
      <c r="E42" s="634"/>
      <c r="F42" s="634"/>
      <c r="G42" s="634"/>
      <c r="H42" s="634"/>
      <c r="I42" s="634"/>
      <c r="J42" s="634"/>
      <c r="K42" s="635"/>
      <c r="L42" s="44"/>
      <c r="M42" s="44"/>
      <c r="N42" s="44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I42" s="296" t="s">
        <v>184</v>
      </c>
      <c r="AJ42" s="295">
        <v>813.66</v>
      </c>
      <c r="AK42" s="278" t="s">
        <v>197</v>
      </c>
      <c r="AL42" s="278">
        <v>1256.72</v>
      </c>
      <c r="AM42" s="278">
        <v>706.37</v>
      </c>
      <c r="AN42" s="278">
        <v>700.84</v>
      </c>
      <c r="AO42" s="278">
        <v>2805.81</v>
      </c>
      <c r="AP42" s="278">
        <v>738.5</v>
      </c>
      <c r="AQ42" s="278" t="s">
        <v>197</v>
      </c>
      <c r="AR42" s="278">
        <v>56.08</v>
      </c>
      <c r="AS42" s="278">
        <v>311.68</v>
      </c>
    </row>
    <row r="43" spans="1:45" ht="38.25" customHeight="1" thickTop="1" thickBot="1" x14ac:dyDescent="0.3">
      <c r="A43" s="630" t="s">
        <v>49</v>
      </c>
      <c r="B43" s="626"/>
      <c r="C43" s="289"/>
      <c r="D43" s="626" t="s">
        <v>47</v>
      </c>
      <c r="E43" s="626"/>
      <c r="F43" s="289"/>
      <c r="G43" s="626" t="s">
        <v>48</v>
      </c>
      <c r="H43" s="626"/>
      <c r="I43" s="290"/>
      <c r="J43" s="626" t="s">
        <v>50</v>
      </c>
      <c r="K43" s="627"/>
      <c r="L43" s="44"/>
      <c r="M43" s="44"/>
      <c r="N43" s="44"/>
      <c r="O43" s="45"/>
      <c r="P43" s="45"/>
      <c r="Q43" s="45"/>
      <c r="R43" s="615" t="s">
        <v>166</v>
      </c>
      <c r="S43" s="616"/>
      <c r="T43" s="616"/>
      <c r="U43" s="617"/>
      <c r="AC43" s="45"/>
      <c r="AD43" s="45"/>
      <c r="AE43" s="45"/>
    </row>
    <row r="44" spans="1:45" ht="24.75" thickTop="1" thickBot="1" x14ac:dyDescent="0.3">
      <c r="A44" s="282" t="s">
        <v>135</v>
      </c>
      <c r="B44" s="283">
        <f>SUM(B41:AC41)</f>
        <v>135067.9946690764</v>
      </c>
      <c r="C44" s="12"/>
      <c r="D44" s="282" t="s">
        <v>135</v>
      </c>
      <c r="E44" s="283">
        <f>SUM(B41:H41)+P41+R41+T41+V41+X41+Z41</f>
        <v>86240.172132491076</v>
      </c>
      <c r="F44" s="12"/>
      <c r="G44" s="282" t="s">
        <v>135</v>
      </c>
      <c r="H44" s="283">
        <f>SUM(I41:N41)+O41+Q41+S41+U41+W41+Y41</f>
        <v>48017.20146094932</v>
      </c>
      <c r="I44" s="12"/>
      <c r="J44" s="282" t="s">
        <v>198</v>
      </c>
      <c r="K44" s="283">
        <v>136626.63999999998</v>
      </c>
      <c r="L44" s="12"/>
      <c r="M44" s="12"/>
      <c r="N44" s="12"/>
      <c r="O44" s="12"/>
      <c r="P44" s="12"/>
      <c r="Q44" s="12"/>
      <c r="R44" s="319" t="s">
        <v>135</v>
      </c>
      <c r="S44" s="320"/>
      <c r="T44" s="313" t="s">
        <v>167</v>
      </c>
      <c r="U44" s="255" t="s">
        <v>168</v>
      </c>
    </row>
    <row r="45" spans="1:45" ht="24" thickBot="1" x14ac:dyDescent="0.4">
      <c r="A45" s="284" t="s">
        <v>183</v>
      </c>
      <c r="B45" s="285">
        <f>SUM(AJ41:AS41)</f>
        <v>26152.635389286534</v>
      </c>
      <c r="C45" s="12"/>
      <c r="D45" s="284" t="s">
        <v>183</v>
      </c>
      <c r="E45" s="285">
        <f>AJ41*(1-$AI$40)+AK41+AL41*0.5+AN41+AO41*(1-$AI$40)+AP41*(1-$AI$40)+AQ41*(1-$AI$40)+AR41*0.5+AS41*0.5</f>
        <v>13308.414050269503</v>
      </c>
      <c r="F45" s="24"/>
      <c r="G45" s="284" t="s">
        <v>183</v>
      </c>
      <c r="H45" s="285">
        <f>AJ41*AI40+AL41*0.5+AM41+AO41*AI40+AP41*AI40+AQ41*AI40+AR41*0.5+AS41*0.5</f>
        <v>12844.221339017031</v>
      </c>
      <c r="I45" s="12"/>
      <c r="J45" s="12"/>
      <c r="K45" s="288"/>
      <c r="L45" s="12"/>
      <c r="M45" s="12"/>
      <c r="N45" s="12"/>
      <c r="O45" s="12"/>
      <c r="P45" s="12"/>
      <c r="Q45" s="12"/>
      <c r="R45" s="317" t="s">
        <v>141</v>
      </c>
      <c r="S45" s="318"/>
      <c r="T45" s="254">
        <f>$W$39+$X$39</f>
        <v>2231.1538095633196</v>
      </c>
      <c r="U45" s="256">
        <f>(T45*8.34*0.895)/27000</f>
        <v>0.61681486595272172</v>
      </c>
    </row>
    <row r="46" spans="1:45" ht="32.25" thickBot="1" x14ac:dyDescent="0.3">
      <c r="A46" s="286" t="s">
        <v>184</v>
      </c>
      <c r="B46" s="287">
        <f>SUM(AJ42:AS42)</f>
        <v>7389.66</v>
      </c>
      <c r="C46" s="12"/>
      <c r="D46" s="286" t="s">
        <v>184</v>
      </c>
      <c r="E46" s="287">
        <f>AJ42*(1-$AI$40)+AL42*0.5+AN42+AO42*(1-$AI$40)+AP42*(1-$AI$40)+AR42*0.5+AS42*0.5</f>
        <v>2768.1228442562165</v>
      </c>
      <c r="F46" s="23"/>
      <c r="G46" s="286" t="s">
        <v>184</v>
      </c>
      <c r="H46" s="287">
        <f>AJ42*AI40+AL42*0.5+AM42+AO42*AI40+AP42*AI40+AR42*0.5+AS42*0.5</f>
        <v>4621.5371557437838</v>
      </c>
      <c r="I46" s="12"/>
      <c r="J46" s="628" t="s">
        <v>199</v>
      </c>
      <c r="K46" s="629"/>
      <c r="L46" s="12"/>
      <c r="M46" s="12"/>
      <c r="N46" s="12"/>
      <c r="O46" s="12"/>
      <c r="P46" s="12"/>
      <c r="Q46" s="12"/>
      <c r="R46" s="317" t="s">
        <v>145</v>
      </c>
      <c r="S46" s="318"/>
      <c r="T46" s="254">
        <f>$M$39+$N$39+$F$39</f>
        <v>0</v>
      </c>
      <c r="U46" s="257">
        <f>(((T46*8.34)*0.005)/(8.34*1.055))/400</f>
        <v>0</v>
      </c>
    </row>
    <row r="47" spans="1:45" ht="24.75" thickTop="1" thickBot="1" x14ac:dyDescent="0.4">
      <c r="A47" s="286" t="s">
        <v>185</v>
      </c>
      <c r="B47" s="287">
        <f>K44</f>
        <v>136626.63999999998</v>
      </c>
      <c r="C47" s="12"/>
      <c r="D47" s="286" t="s">
        <v>187</v>
      </c>
      <c r="E47" s="287">
        <f>K44*0.5</f>
        <v>68313.319999999992</v>
      </c>
      <c r="F47" s="24"/>
      <c r="G47" s="286" t="s">
        <v>185</v>
      </c>
      <c r="H47" s="287">
        <f>K44*0.5</f>
        <v>68313.319999999992</v>
      </c>
      <c r="I47" s="12"/>
      <c r="J47" s="282" t="s">
        <v>198</v>
      </c>
      <c r="K47" s="283">
        <v>81695.659999999974</v>
      </c>
      <c r="L47" s="12"/>
      <c r="M47" s="12"/>
      <c r="N47" s="12"/>
      <c r="O47" s="12"/>
      <c r="P47" s="12"/>
      <c r="Q47" s="12"/>
      <c r="R47" s="317" t="s">
        <v>148</v>
      </c>
      <c r="S47" s="318"/>
      <c r="T47" s="254">
        <f>$G$39</f>
        <v>51093.549256324804</v>
      </c>
      <c r="U47" s="256">
        <f>T47/40000</f>
        <v>1.2773387314081202</v>
      </c>
    </row>
    <row r="48" spans="1:45" ht="24" thickBot="1" x14ac:dyDescent="0.3">
      <c r="A48" s="286" t="s">
        <v>186</v>
      </c>
      <c r="B48" s="287">
        <f>K47</f>
        <v>81695.659999999974</v>
      </c>
      <c r="C48" s="12"/>
      <c r="D48" s="286" t="s">
        <v>186</v>
      </c>
      <c r="E48" s="287">
        <f>K47*0.5</f>
        <v>40847.829999999987</v>
      </c>
      <c r="F48" s="23"/>
      <c r="G48" s="286" t="s">
        <v>186</v>
      </c>
      <c r="H48" s="287">
        <f>K47*0.5</f>
        <v>40847.829999999987</v>
      </c>
      <c r="I48" s="12"/>
      <c r="J48" s="12"/>
      <c r="K48" s="86"/>
      <c r="L48" s="12"/>
      <c r="M48" s="12"/>
      <c r="N48" s="12"/>
      <c r="O48" s="12"/>
      <c r="P48" s="12"/>
      <c r="Q48" s="12"/>
      <c r="R48" s="317" t="s">
        <v>150</v>
      </c>
      <c r="S48" s="318"/>
      <c r="T48" s="254">
        <f>$L$39</f>
        <v>0</v>
      </c>
      <c r="U48" s="256">
        <f>T48*9.34*0.107</f>
        <v>0</v>
      </c>
    </row>
    <row r="49" spans="1:25" ht="48" thickTop="1" thickBot="1" x14ac:dyDescent="0.3">
      <c r="A49" s="291" t="s">
        <v>194</v>
      </c>
      <c r="B49" s="292">
        <f>AF40</f>
        <v>554.24387551032839</v>
      </c>
      <c r="C49" s="12"/>
      <c r="D49" s="291" t="s">
        <v>195</v>
      </c>
      <c r="E49" s="292">
        <f>AH40</f>
        <v>162.73467605819712</v>
      </c>
      <c r="F49" s="23"/>
      <c r="G49" s="291" t="s">
        <v>196</v>
      </c>
      <c r="H49" s="292">
        <f>AG40</f>
        <v>402.33992634841206</v>
      </c>
      <c r="I49" s="12"/>
      <c r="J49" s="12"/>
      <c r="K49" s="86"/>
      <c r="L49" s="12"/>
      <c r="M49" s="12"/>
      <c r="N49" s="12"/>
      <c r="O49" s="12"/>
      <c r="P49" s="12"/>
      <c r="Q49" s="12"/>
      <c r="R49" s="317" t="s">
        <v>152</v>
      </c>
      <c r="S49" s="318"/>
      <c r="T49" s="254">
        <f>$E$39+$K$39</f>
        <v>1232.5089909488956</v>
      </c>
      <c r="U49" s="256">
        <f>(T49*8.34*1.04)/45000</f>
        <v>0.23756199964209648</v>
      </c>
    </row>
    <row r="50" spans="1:25" ht="48" customHeight="1" thickTop="1" thickBot="1" x14ac:dyDescent="0.3">
      <c r="A50" s="291" t="s">
        <v>223</v>
      </c>
      <c r="B50" s="292">
        <f>SUM(E50+H50)</f>
        <v>593.40999263465596</v>
      </c>
      <c r="C50" s="12"/>
      <c r="D50" s="291" t="s">
        <v>226</v>
      </c>
      <c r="E50" s="292">
        <f>AE40</f>
        <v>172.683376030327</v>
      </c>
      <c r="F50" s="23"/>
      <c r="G50" s="291" t="s">
        <v>227</v>
      </c>
      <c r="H50" s="292">
        <f>AD40</f>
        <v>420.72661660432897</v>
      </c>
      <c r="I50" s="12"/>
      <c r="J50" s="12"/>
      <c r="K50" s="86"/>
      <c r="L50" s="12"/>
      <c r="M50" s="12"/>
      <c r="N50" s="12"/>
      <c r="O50" s="12"/>
      <c r="P50" s="12"/>
      <c r="Q50" s="12"/>
      <c r="R50" s="317"/>
      <c r="S50" s="318"/>
      <c r="T50" s="254"/>
      <c r="U50" s="256"/>
    </row>
    <row r="51" spans="1:25" ht="48" thickTop="1" thickBot="1" x14ac:dyDescent="0.3">
      <c r="A51" s="291" t="s">
        <v>190</v>
      </c>
      <c r="B51" s="293">
        <f>(SUM(B44:B48)/B50)</f>
        <v>652.04933327872891</v>
      </c>
      <c r="C51" s="12"/>
      <c r="D51" s="291" t="s">
        <v>188</v>
      </c>
      <c r="E51" s="294">
        <f>SUM(E44:E48)/E50</f>
        <v>1224.6567323879317</v>
      </c>
      <c r="F51" s="374">
        <f>E44/E49</f>
        <v>529.94342829336438</v>
      </c>
      <c r="G51" s="291" t="s">
        <v>189</v>
      </c>
      <c r="H51" s="294">
        <f>SUM(H44:H48)/H50</f>
        <v>415.10116798708174</v>
      </c>
      <c r="I51" s="364">
        <f>H44/H49</f>
        <v>119.34485820670984</v>
      </c>
      <c r="J51" s="12"/>
      <c r="K51" s="86"/>
      <c r="L51" s="12"/>
      <c r="M51" s="12"/>
      <c r="N51" s="12"/>
      <c r="O51" s="12"/>
      <c r="P51" s="12"/>
      <c r="Q51" s="12"/>
      <c r="R51" s="317" t="s">
        <v>153</v>
      </c>
      <c r="S51" s="318"/>
      <c r="T51" s="254">
        <f>$U$39+$V$39+$AB$39</f>
        <v>16772.783924582291</v>
      </c>
      <c r="U51" s="256">
        <f>T51/2000/8</f>
        <v>1.0482989952863933</v>
      </c>
    </row>
    <row r="52" spans="1:25" ht="57" customHeight="1" thickTop="1" thickBot="1" x14ac:dyDescent="0.3">
      <c r="A52" s="281" t="s">
        <v>191</v>
      </c>
      <c r="B52" s="294">
        <f>B51/1000</f>
        <v>0.65204933327872894</v>
      </c>
      <c r="C52" s="12"/>
      <c r="D52" s="281" t="s">
        <v>192</v>
      </c>
      <c r="E52" s="294">
        <f>E51/1000</f>
        <v>1.2246567323879316</v>
      </c>
      <c r="F52" s="12"/>
      <c r="G52" s="281" t="s">
        <v>193</v>
      </c>
      <c r="H52" s="294">
        <f>H51/1000</f>
        <v>0.41510116798708174</v>
      </c>
      <c r="I52" s="12"/>
      <c r="J52" s="12"/>
      <c r="K52" s="86"/>
      <c r="L52" s="12"/>
      <c r="M52" s="12"/>
      <c r="N52" s="12"/>
      <c r="O52" s="12"/>
      <c r="P52" s="12"/>
      <c r="Q52" s="12"/>
      <c r="R52" s="317" t="s">
        <v>154</v>
      </c>
      <c r="S52" s="318"/>
      <c r="T52" s="254">
        <f>$C$39+$J$39+$S$39+$T$39</f>
        <v>15947.652058015285</v>
      </c>
      <c r="U52" s="256">
        <f>(T52*8.34*1.4)/45000</f>
        <v>4.1378841206530321</v>
      </c>
    </row>
    <row r="53" spans="1:25" ht="16.5" thickTop="1" thickBot="1" x14ac:dyDescent="0.3">
      <c r="A53" s="302"/>
      <c r="B53" s="12"/>
      <c r="C53" s="12"/>
      <c r="D53" s="12"/>
      <c r="E53" s="12"/>
      <c r="F53" s="12"/>
      <c r="G53" s="12"/>
      <c r="H53" s="12"/>
      <c r="I53" s="12"/>
      <c r="J53" s="12"/>
      <c r="K53" s="86"/>
      <c r="L53" s="12"/>
      <c r="M53" s="12"/>
      <c r="N53" s="12"/>
      <c r="O53" s="12"/>
      <c r="P53" s="12"/>
      <c r="Q53" s="12"/>
      <c r="R53" s="317" t="s">
        <v>155</v>
      </c>
      <c r="S53" s="318"/>
      <c r="T53" s="254">
        <f>$H$39</f>
        <v>757.33488553365135</v>
      </c>
      <c r="U53" s="256">
        <f>(T53*8.34*1.135)/45000</f>
        <v>0.15930791762162202</v>
      </c>
    </row>
    <row r="54" spans="1:25" ht="48" customHeight="1" thickTop="1" thickBot="1" x14ac:dyDescent="0.3">
      <c r="A54" s="618" t="s">
        <v>51</v>
      </c>
      <c r="B54" s="619"/>
      <c r="C54" s="619"/>
      <c r="D54" s="619"/>
      <c r="E54" s="620"/>
      <c r="F54" s="12"/>
      <c r="G54" s="12"/>
      <c r="H54" s="12"/>
      <c r="I54" s="12"/>
      <c r="J54" s="12"/>
      <c r="K54" s="86"/>
      <c r="L54" s="12"/>
      <c r="M54" s="12"/>
      <c r="N54" s="12"/>
      <c r="O54" s="12"/>
      <c r="P54" s="12"/>
      <c r="Q54" s="12"/>
      <c r="R54" s="317" t="s">
        <v>156</v>
      </c>
      <c r="S54" s="318"/>
      <c r="T54" s="254">
        <f>$B$39+$I$39+$AC$39</f>
        <v>6029.9064600467664</v>
      </c>
      <c r="U54" s="256">
        <f>(T54*8.34*1.029*0.03)/3300</f>
        <v>0.47043466412015394</v>
      </c>
    </row>
    <row r="55" spans="1:25" ht="45.75" customHeight="1" thickBot="1" x14ac:dyDescent="0.3">
      <c r="A55" s="623" t="s">
        <v>200</v>
      </c>
      <c r="B55" s="624"/>
      <c r="C55" s="624"/>
      <c r="D55" s="624"/>
      <c r="E55" s="625"/>
      <c r="F55" s="87"/>
      <c r="G55" s="87"/>
      <c r="H55" s="87"/>
      <c r="I55" s="87"/>
      <c r="J55" s="87"/>
      <c r="K55" s="88"/>
      <c r="L55" s="12"/>
      <c r="M55" s="12"/>
      <c r="N55" s="12"/>
      <c r="O55" s="12"/>
      <c r="P55" s="12"/>
      <c r="Q55" s="12"/>
      <c r="R55" s="631" t="s">
        <v>158</v>
      </c>
      <c r="S55" s="632"/>
      <c r="T55" s="258">
        <f>$D$39+$Y$39+$Z$39</f>
        <v>28740.049881972856</v>
      </c>
      <c r="U55" s="259">
        <f>(T55*1.54*8.34)/45000</f>
        <v>8.2027934369801461</v>
      </c>
    </row>
    <row r="56" spans="1:25" ht="24" thickTop="1" x14ac:dyDescent="0.25">
      <c r="A56" s="661"/>
      <c r="B56" s="66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 x14ac:dyDescent="0.25">
      <c r="A57" s="663"/>
      <c r="B57" s="66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 x14ac:dyDescent="0.25">
      <c r="A58" s="659"/>
      <c r="B58" s="66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 x14ac:dyDescent="0.25">
      <c r="A59" s="660"/>
      <c r="B59" s="66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x14ac:dyDescent="0.25">
      <c r="A60" s="659"/>
      <c r="B60" s="66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</row>
    <row r="61" spans="1:25" x14ac:dyDescent="0.25">
      <c r="A61" s="660"/>
      <c r="B61" s="660"/>
      <c r="C61" s="12"/>
      <c r="D61" s="12"/>
      <c r="E61" s="12"/>
      <c r="F61" s="12"/>
      <c r="G61" s="12"/>
      <c r="H61" s="12"/>
      <c r="I61" s="12"/>
      <c r="J61" s="12"/>
      <c r="K61" s="12"/>
    </row>
    <row r="62" spans="1:25" x14ac:dyDescent="0.25">
      <c r="A62" s="12"/>
      <c r="B62" s="12"/>
      <c r="C62" s="12"/>
    </row>
    <row r="63" spans="1:25" x14ac:dyDescent="0.25">
      <c r="A63" s="12"/>
      <c r="B63" s="12"/>
      <c r="C63" s="12"/>
    </row>
    <row r="64" spans="1:25" x14ac:dyDescent="0.25">
      <c r="A64" s="12"/>
      <c r="B64" s="12"/>
      <c r="C64" s="12"/>
    </row>
    <row r="65" spans="1:3" x14ac:dyDescent="0.25">
      <c r="A65" s="12"/>
      <c r="B65" s="12"/>
      <c r="C65" s="12"/>
    </row>
  </sheetData>
  <sheetProtection algorithmName="SHA-512" hashValue="21aQ4VF/el7kMQFZxmby88ouTQNE4l5nDq5HJE3yGHZcgsCx2JSKEBLjkJGX5DyTBYvoU7iE0ATYQL1n45xXqQ==" saltValue="oHg3wIfHhRbAaPGYwdMhjQ==" spinCount="100000" sheet="1" objects="1" scenarios="1" selectLockedCells="1" selectUnlockedCells="1"/>
  <mergeCells count="36">
    <mergeCell ref="AP4:AP5"/>
    <mergeCell ref="AQ4:AQ5"/>
    <mergeCell ref="AR4:AR5"/>
    <mergeCell ref="AS4:AS5"/>
    <mergeCell ref="AJ4:AJ5"/>
    <mergeCell ref="AL4:AL5"/>
    <mergeCell ref="AM4:AM5"/>
    <mergeCell ref="AN4:AN5"/>
    <mergeCell ref="AO4:AO5"/>
    <mergeCell ref="AK4:AK5"/>
    <mergeCell ref="A58:B59"/>
    <mergeCell ref="A60:B61"/>
    <mergeCell ref="A56:B56"/>
    <mergeCell ref="A57:B57"/>
    <mergeCell ref="J43:K43"/>
    <mergeCell ref="J46:K46"/>
    <mergeCell ref="A43:B43"/>
    <mergeCell ref="D43:E43"/>
    <mergeCell ref="G43:H43"/>
    <mergeCell ref="R43:U43"/>
    <mergeCell ref="AD4:AD5"/>
    <mergeCell ref="AE4:AE5"/>
    <mergeCell ref="A54:E54"/>
    <mergeCell ref="A55:E55"/>
    <mergeCell ref="R55:S55"/>
    <mergeCell ref="A42:K42"/>
    <mergeCell ref="AF4:AF5"/>
    <mergeCell ref="AG4:AG5"/>
    <mergeCell ref="AH4:AH5"/>
    <mergeCell ref="AI4:AI5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scale="4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Instructions</vt:lpstr>
      <vt:lpstr>Yearly Summary </vt:lpstr>
      <vt:lpstr>Projection Instructions</vt:lpstr>
      <vt:lpstr>Projection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APRIL!Print_Area</vt:lpstr>
      <vt:lpstr>AUGUST!Print_Area</vt:lpstr>
      <vt:lpstr>DECEMBER!Print_Area</vt:lpstr>
      <vt:lpstr>FEBRUARY!Print_Area</vt:lpstr>
      <vt:lpstr>JANUARY!Print_Area</vt:lpstr>
      <vt:lpstr>JULY!Print_Area</vt:lpstr>
      <vt:lpstr>JUNE!Print_Area</vt:lpstr>
      <vt:lpstr>MARCH!Print_Area</vt:lpstr>
      <vt:lpstr>MAY!Print_Area</vt:lpstr>
      <vt:lpstr>NOVEMBER!Print_Area</vt:lpstr>
      <vt:lpstr>OCTOBER!Print_Area</vt:lpstr>
      <vt:lpstr>SEPTEMBER!Print_Area</vt:lpstr>
    </vt:vector>
  </TitlesOfParts>
  <Company>City of Aurora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Bong</dc:creator>
  <cp:lastModifiedBy>Linder, Kevin</cp:lastModifiedBy>
  <cp:lastPrinted>2017-01-18T15:43:36Z</cp:lastPrinted>
  <dcterms:created xsi:type="dcterms:W3CDTF">2010-10-11T23:47:50Z</dcterms:created>
  <dcterms:modified xsi:type="dcterms:W3CDTF">2020-04-09T17:15:45Z</dcterms:modified>
</cp:coreProperties>
</file>