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"/>
    </mc:Choice>
  </mc:AlternateContent>
  <xr:revisionPtr revIDLastSave="0" documentId="10_ncr:100000_{41C9931F-DF0E-452C-A01E-D63F2D3BB017}" xr6:coauthVersionLast="31" xr6:coauthVersionMax="44" xr10:uidLastSave="{00000000-0000-0000-0000-000000000000}"/>
  <workbookProtection workbookAlgorithmName="SHA-512" workbookHashValue="+pbv6keMH8ikEExmG89KhwAV9Pq3/7W4AT/w2AAq6BgSgni4bw0VUwT1/RQESemMV+lk7gv/Rvb9Bbn4FTCOJQ==" workbookSaltValue="r2qQ06bbnp1JFsEw26lNLQ==" workbookSpinCount="100000" lockStructure="1"/>
  <bookViews>
    <workbookView xWindow="-120" yWindow="-120" windowWidth="29040" windowHeight="15840" tabRatio="712" firstSheet="6" activeTab="15" xr2:uid="{00000000-000D-0000-FFFF-FFFF00000000}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APRIL!$A$42:$K$55</definedName>
    <definedName name="_xlnm.Print_Area" localSheetId="11">AUGUST!$A$42:$K$55</definedName>
    <definedName name="_xlnm.Print_Area" localSheetId="15">DECEMBER!$A$42:$K$55</definedName>
    <definedName name="_xlnm.Print_Area" localSheetId="5">FEBRUARY!$A$42:$K$55</definedName>
    <definedName name="_xlnm.Print_Area" localSheetId="4">JANUARY!$A$42:$K$55</definedName>
    <definedName name="_xlnm.Print_Area" localSheetId="10">JULY!$A$42:$K$55</definedName>
    <definedName name="_xlnm.Print_Area" localSheetId="9">JUNE!$A$42:$K$55</definedName>
    <definedName name="_xlnm.Print_Area" localSheetId="6">MARCH!$A$42:$K$55</definedName>
    <definedName name="_xlnm.Print_Area" localSheetId="8">MAY!$A$42:$K$55</definedName>
    <definedName name="_xlnm.Print_Area" localSheetId="14">NOVEMBER!$A$42:$K$55</definedName>
    <definedName name="_xlnm.Print_Area" localSheetId="13">OCTOBER!$A$42:$K$55</definedName>
    <definedName name="_xlnm.Print_Area" localSheetId="12">SEPTEMBER!$A$42:$K$55</definedName>
  </definedNames>
  <calcPr calcId="179017"/>
</workbook>
</file>

<file path=xl/calcChain.xml><?xml version="1.0" encoding="utf-8"?>
<calcChain xmlns="http://schemas.openxmlformats.org/spreadsheetml/2006/main">
  <c r="AI22" i="28" l="1"/>
  <c r="AH22" i="28"/>
  <c r="AG22" i="28"/>
  <c r="AF22" i="28"/>
  <c r="C39" i="26" l="1"/>
  <c r="AS39" i="18" l="1"/>
  <c r="AR39" i="18"/>
  <c r="AQ39" i="18"/>
  <c r="AP39" i="18"/>
  <c r="AO39" i="18"/>
  <c r="AN39" i="18"/>
  <c r="AM39" i="18"/>
  <c r="AL39" i="18"/>
  <c r="AK39" i="18"/>
  <c r="AJ39" i="18"/>
  <c r="AH40" i="18"/>
  <c r="AG40" i="18"/>
  <c r="AF40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AS39" i="17"/>
  <c r="AR39" i="17"/>
  <c r="AQ39" i="17"/>
  <c r="AP39" i="17"/>
  <c r="AO39" i="17"/>
  <c r="AN39" i="17"/>
  <c r="AM39" i="17"/>
  <c r="AL39" i="17"/>
  <c r="AK39" i="17"/>
  <c r="AJ39" i="17"/>
  <c r="AH40" i="17"/>
  <c r="AG40" i="17"/>
  <c r="AF40" i="17"/>
  <c r="AE40" i="17"/>
  <c r="AD40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A42" i="21" l="1"/>
  <c r="A42" i="20" s="1"/>
  <c r="A42" i="19" s="1"/>
  <c r="A42" i="18" s="1"/>
  <c r="A42" i="17" s="1"/>
  <c r="A42" i="24" s="1"/>
  <c r="A42" i="23" s="1"/>
  <c r="A42" i="16" s="1"/>
  <c r="A42" i="6" s="1"/>
  <c r="A42" i="25" s="1"/>
  <c r="A42" i="26" s="1"/>
  <c r="AE40" i="26" l="1"/>
  <c r="AF15" i="27" s="1"/>
  <c r="AD40" i="26"/>
  <c r="AE15" i="27" s="1"/>
  <c r="AE40" i="25"/>
  <c r="AF14" i="27" s="1"/>
  <c r="AD40" i="25"/>
  <c r="AE14" i="27" s="1"/>
  <c r="AE40" i="6"/>
  <c r="AF13" i="27" s="1"/>
  <c r="AD40" i="6"/>
  <c r="AE13" i="27" s="1"/>
  <c r="AE40" i="23"/>
  <c r="AF11" i="27" s="1"/>
  <c r="AD40" i="23"/>
  <c r="AE11" i="27" s="1"/>
  <c r="AE40" i="24"/>
  <c r="AF10" i="27" s="1"/>
  <c r="AD40" i="24"/>
  <c r="AE10" i="27" s="1"/>
  <c r="AF9" i="27"/>
  <c r="AE9" i="27"/>
  <c r="AE40" i="18"/>
  <c r="AF8" i="27" s="1"/>
  <c r="AD40" i="18"/>
  <c r="AE8" i="27" s="1"/>
  <c r="AE40" i="19"/>
  <c r="AF7" i="27" s="1"/>
  <c r="AD40" i="19"/>
  <c r="AE7" i="27" s="1"/>
  <c r="AE40" i="20"/>
  <c r="AF6" i="27" s="1"/>
  <c r="AD40" i="20"/>
  <c r="AE6" i="27" s="1"/>
  <c r="AE40" i="22"/>
  <c r="AF4" i="27" s="1"/>
  <c r="AD40" i="22"/>
  <c r="AE4" i="27" s="1"/>
  <c r="AE40" i="21"/>
  <c r="AF5" i="27" s="1"/>
  <c r="AD40" i="21"/>
  <c r="AE5" i="27" s="1"/>
  <c r="AG10" i="27" l="1"/>
  <c r="AG11" i="27"/>
  <c r="AG13" i="27"/>
  <c r="AG15" i="27"/>
  <c r="AG9" i="27"/>
  <c r="AG8" i="27"/>
  <c r="AG7" i="27"/>
  <c r="AG4" i="27"/>
  <c r="AG5" i="27"/>
  <c r="AG6" i="27"/>
  <c r="AG14" i="27"/>
  <c r="H50" i="26"/>
  <c r="E50" i="26"/>
  <c r="H50" i="25"/>
  <c r="E50" i="25"/>
  <c r="H50" i="6"/>
  <c r="E50" i="6"/>
  <c r="H50" i="23"/>
  <c r="E50" i="23"/>
  <c r="H50" i="24"/>
  <c r="E50" i="24"/>
  <c r="H50" i="17"/>
  <c r="E50" i="17"/>
  <c r="H50" i="18"/>
  <c r="E50" i="18"/>
  <c r="H50" i="19"/>
  <c r="E50" i="19"/>
  <c r="B50" i="19" l="1"/>
  <c r="B50" i="17"/>
  <c r="B50" i="26"/>
  <c r="B50" i="25"/>
  <c r="B50" i="6"/>
  <c r="B50" i="23"/>
  <c r="B50" i="24"/>
  <c r="B50" i="18"/>
  <c r="H50" i="20"/>
  <c r="E50" i="20"/>
  <c r="B50" i="20" l="1"/>
  <c r="H50" i="21"/>
  <c r="E50" i="21"/>
  <c r="B50" i="21" l="1"/>
  <c r="H50" i="22"/>
  <c r="E50" i="22"/>
  <c r="B50" i="22" l="1"/>
  <c r="C39" i="21" l="1"/>
  <c r="AB22" i="28" l="1"/>
  <c r="AC22" i="28"/>
  <c r="AD22" i="28"/>
  <c r="AA22" i="28"/>
  <c r="AB28" i="28" l="1"/>
  <c r="S40" i="17" s="1"/>
  <c r="J40" i="19" l="1"/>
  <c r="T40" i="19"/>
  <c r="J40" i="18"/>
  <c r="T40" i="18"/>
  <c r="J40" i="17"/>
  <c r="T40" i="17"/>
  <c r="C40" i="19"/>
  <c r="S40" i="19"/>
  <c r="C40" i="18"/>
  <c r="S40" i="18"/>
  <c r="C40" i="17"/>
  <c r="AH19" i="28"/>
  <c r="AF19" i="28"/>
  <c r="AI10" i="28"/>
  <c r="AG10" i="28"/>
  <c r="AH40" i="24" l="1"/>
  <c r="E49" i="24" s="1"/>
  <c r="AG40" i="24"/>
  <c r="AF40" i="24"/>
  <c r="B49" i="24" s="1"/>
  <c r="H48" i="26"/>
  <c r="E48" i="26"/>
  <c r="B48" i="26"/>
  <c r="H47" i="26"/>
  <c r="E47" i="26"/>
  <c r="B47" i="26"/>
  <c r="B46" i="26"/>
  <c r="AS40" i="26"/>
  <c r="AR40" i="26"/>
  <c r="AQ40" i="26"/>
  <c r="AP40" i="26"/>
  <c r="AO40" i="26"/>
  <c r="AN40" i="26"/>
  <c r="AM40" i="26"/>
  <c r="AL40" i="26"/>
  <c r="AK40" i="26"/>
  <c r="L39" i="26"/>
  <c r="B39" i="26"/>
  <c r="H48" i="25"/>
  <c r="E48" i="25"/>
  <c r="B48" i="25"/>
  <c r="H47" i="25"/>
  <c r="E47" i="25"/>
  <c r="B47" i="25"/>
  <c r="B46" i="25"/>
  <c r="AS40" i="25"/>
  <c r="AR40" i="25"/>
  <c r="AQ40" i="25"/>
  <c r="AP40" i="25"/>
  <c r="AO40" i="25"/>
  <c r="AN40" i="25"/>
  <c r="AM40" i="25"/>
  <c r="AL40" i="25"/>
  <c r="AK40" i="25"/>
  <c r="AH40" i="25"/>
  <c r="E49" i="25" s="1"/>
  <c r="AG40" i="25"/>
  <c r="AF40" i="25"/>
  <c r="B49" i="25" s="1"/>
  <c r="AS39" i="25"/>
  <c r="AR39" i="25"/>
  <c r="AQ39" i="25"/>
  <c r="AP39" i="25"/>
  <c r="AO39" i="25"/>
  <c r="AN39" i="25"/>
  <c r="AM39" i="25"/>
  <c r="AL39" i="25"/>
  <c r="AK39" i="25"/>
  <c r="AJ39" i="25"/>
  <c r="AJ41" i="25" s="1"/>
  <c r="AC39" i="25"/>
  <c r="AB39" i="25"/>
  <c r="AA39" i="25"/>
  <c r="AA41" i="25" s="1"/>
  <c r="Z39" i="25"/>
  <c r="Y39" i="25"/>
  <c r="X39" i="25"/>
  <c r="W39" i="25"/>
  <c r="V39" i="25"/>
  <c r="U39" i="25"/>
  <c r="T39" i="25"/>
  <c r="S39" i="25"/>
  <c r="R39" i="25"/>
  <c r="R41" i="25" s="1"/>
  <c r="Q39" i="25"/>
  <c r="Q41" i="25" s="1"/>
  <c r="P39" i="25"/>
  <c r="P41" i="25" s="1"/>
  <c r="O39" i="25"/>
  <c r="O41" i="25" s="1"/>
  <c r="N39" i="25"/>
  <c r="M39" i="25"/>
  <c r="L39" i="25"/>
  <c r="K39" i="25"/>
  <c r="J39" i="25"/>
  <c r="I39" i="25"/>
  <c r="H39" i="25"/>
  <c r="T53" i="25" s="1"/>
  <c r="U53" i="25" s="1"/>
  <c r="G39" i="25"/>
  <c r="T47" i="25" s="1"/>
  <c r="U47" i="25" s="1"/>
  <c r="F39" i="25"/>
  <c r="E39" i="25"/>
  <c r="D39" i="25"/>
  <c r="C39" i="25"/>
  <c r="B39" i="25"/>
  <c r="H48" i="6"/>
  <c r="E48" i="6"/>
  <c r="B48" i="6"/>
  <c r="H47" i="6"/>
  <c r="E47" i="6"/>
  <c r="B47" i="6"/>
  <c r="B46" i="6"/>
  <c r="AS40" i="6"/>
  <c r="AR40" i="6"/>
  <c r="AQ40" i="6"/>
  <c r="AP40" i="6"/>
  <c r="AO40" i="6"/>
  <c r="AN40" i="6"/>
  <c r="AM40" i="6"/>
  <c r="AL40" i="6"/>
  <c r="AK40" i="6"/>
  <c r="AH40" i="6"/>
  <c r="E49" i="6" s="1"/>
  <c r="AG40" i="6"/>
  <c r="AF40" i="6"/>
  <c r="B49" i="6" s="1"/>
  <c r="AS39" i="6"/>
  <c r="AR39" i="6"/>
  <c r="AQ39" i="6"/>
  <c r="AP39" i="6"/>
  <c r="AO39" i="6"/>
  <c r="AN39" i="6"/>
  <c r="AM39" i="6"/>
  <c r="AL39" i="6"/>
  <c r="AK39" i="6"/>
  <c r="AJ39" i="6"/>
  <c r="AJ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K39" i="6"/>
  <c r="J39" i="6"/>
  <c r="I39" i="6"/>
  <c r="H39" i="6"/>
  <c r="T53" i="6" s="1"/>
  <c r="U53" i="6" s="1"/>
  <c r="G39" i="6"/>
  <c r="T47" i="6" s="1"/>
  <c r="U47" i="6" s="1"/>
  <c r="F39" i="6"/>
  <c r="E39" i="6"/>
  <c r="D39" i="6"/>
  <c r="C39" i="6"/>
  <c r="B39" i="6"/>
  <c r="AH40" i="23"/>
  <c r="E49" i="23" s="1"/>
  <c r="AG40" i="23"/>
  <c r="AF40" i="23"/>
  <c r="B49" i="23" s="1"/>
  <c r="H48" i="23"/>
  <c r="E48" i="23"/>
  <c r="B48" i="23"/>
  <c r="H47" i="23"/>
  <c r="E47" i="23"/>
  <c r="B47" i="23"/>
  <c r="B46" i="23"/>
  <c r="AS40" i="23"/>
  <c r="AR40" i="23"/>
  <c r="AQ40" i="23"/>
  <c r="AP40" i="23"/>
  <c r="AO40" i="23"/>
  <c r="AN40" i="23"/>
  <c r="AM40" i="23"/>
  <c r="AL40" i="23"/>
  <c r="AK40" i="23"/>
  <c r="AS39" i="23"/>
  <c r="AR39" i="23"/>
  <c r="AQ39" i="23"/>
  <c r="AP39" i="23"/>
  <c r="AO39" i="23"/>
  <c r="AN39" i="23"/>
  <c r="AM39" i="23"/>
  <c r="AL39" i="23"/>
  <c r="AK39" i="23"/>
  <c r="AJ39" i="23"/>
  <c r="AJ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3" i="23" s="1"/>
  <c r="U53" i="23" s="1"/>
  <c r="G39" i="23"/>
  <c r="T47" i="23" s="1"/>
  <c r="U47" i="23" s="1"/>
  <c r="F39" i="23"/>
  <c r="E39" i="23"/>
  <c r="D39" i="23"/>
  <c r="C39" i="23"/>
  <c r="B39" i="23"/>
  <c r="H48" i="24"/>
  <c r="E48" i="24"/>
  <c r="B48" i="24"/>
  <c r="H47" i="24"/>
  <c r="E47" i="24"/>
  <c r="B47" i="24"/>
  <c r="B46" i="24"/>
  <c r="AS40" i="24"/>
  <c r="AR40" i="24"/>
  <c r="AQ40" i="24"/>
  <c r="AP40" i="24"/>
  <c r="AO40" i="24"/>
  <c r="AN40" i="24"/>
  <c r="AM40" i="24"/>
  <c r="AL40" i="24"/>
  <c r="AK40" i="24"/>
  <c r="AS39" i="24"/>
  <c r="AR39" i="24"/>
  <c r="AQ39" i="24"/>
  <c r="AP39" i="24"/>
  <c r="AO39" i="24"/>
  <c r="AN39" i="24"/>
  <c r="AM39" i="24"/>
  <c r="AL39" i="24"/>
  <c r="AK39" i="24"/>
  <c r="AJ39" i="24"/>
  <c r="AJ41" i="24" s="1"/>
  <c r="AC39" i="24"/>
  <c r="AB39" i="24"/>
  <c r="AA39" i="24"/>
  <c r="AA41" i="24" s="1"/>
  <c r="Z39" i="24"/>
  <c r="Y39" i="24"/>
  <c r="X39" i="24"/>
  <c r="W39" i="24"/>
  <c r="V39" i="24"/>
  <c r="U39" i="24"/>
  <c r="T39" i="24"/>
  <c r="S39" i="24"/>
  <c r="R39" i="24"/>
  <c r="R41" i="24" s="1"/>
  <c r="Q39" i="24"/>
  <c r="Q41" i="24" s="1"/>
  <c r="P39" i="24"/>
  <c r="P41" i="24" s="1"/>
  <c r="O39" i="24"/>
  <c r="O41" i="24" s="1"/>
  <c r="N39" i="24"/>
  <c r="M39" i="24"/>
  <c r="L39" i="24"/>
  <c r="K39" i="24"/>
  <c r="J39" i="24"/>
  <c r="I39" i="24"/>
  <c r="H39" i="24"/>
  <c r="T53" i="24" s="1"/>
  <c r="U53" i="24" s="1"/>
  <c r="G39" i="24"/>
  <c r="T47" i="24" s="1"/>
  <c r="U47" i="24" s="1"/>
  <c r="F39" i="24"/>
  <c r="E39" i="24"/>
  <c r="D39" i="24"/>
  <c r="C39" i="24"/>
  <c r="B39" i="24"/>
  <c r="H48" i="17"/>
  <c r="E48" i="17"/>
  <c r="B48" i="17"/>
  <c r="H47" i="17"/>
  <c r="E47" i="17"/>
  <c r="B47" i="17"/>
  <c r="B46" i="17"/>
  <c r="AS40" i="17"/>
  <c r="AR40" i="17"/>
  <c r="AQ40" i="17"/>
  <c r="AP40" i="17"/>
  <c r="AO40" i="17"/>
  <c r="AN40" i="17"/>
  <c r="AM40" i="17"/>
  <c r="AL40" i="17"/>
  <c r="AK40" i="17"/>
  <c r="E49" i="17"/>
  <c r="B49" i="17"/>
  <c r="AJ41" i="17"/>
  <c r="AA41" i="17"/>
  <c r="T41" i="17"/>
  <c r="S41" i="17"/>
  <c r="R41" i="17"/>
  <c r="Q41" i="17"/>
  <c r="P41" i="17"/>
  <c r="O41" i="17"/>
  <c r="J41" i="17"/>
  <c r="T53" i="17"/>
  <c r="U53" i="17" s="1"/>
  <c r="T47" i="17"/>
  <c r="U47" i="17" s="1"/>
  <c r="B39" i="17"/>
  <c r="H48" i="18"/>
  <c r="E48" i="18"/>
  <c r="B48" i="18"/>
  <c r="H47" i="18"/>
  <c r="E47" i="18"/>
  <c r="B47" i="18"/>
  <c r="B46" i="18"/>
  <c r="AS40" i="18"/>
  <c r="AR40" i="18"/>
  <c r="AQ40" i="18"/>
  <c r="AP40" i="18"/>
  <c r="AO40" i="18"/>
  <c r="AN40" i="18"/>
  <c r="AM40" i="18"/>
  <c r="AL40" i="18"/>
  <c r="AK40" i="18"/>
  <c r="E49" i="18"/>
  <c r="B49" i="18"/>
  <c r="AJ41" i="18"/>
  <c r="AA41" i="18"/>
  <c r="T41" i="18"/>
  <c r="S41" i="18"/>
  <c r="R41" i="18"/>
  <c r="Q41" i="18"/>
  <c r="P41" i="18"/>
  <c r="O41" i="18"/>
  <c r="J41" i="18"/>
  <c r="T53" i="18"/>
  <c r="U53" i="18" s="1"/>
  <c r="T47" i="18"/>
  <c r="U47" i="18" s="1"/>
  <c r="B39" i="18"/>
  <c r="H48" i="19"/>
  <c r="E48" i="19"/>
  <c r="B48" i="19"/>
  <c r="H47" i="19"/>
  <c r="E47" i="19"/>
  <c r="B47" i="19"/>
  <c r="B46" i="19"/>
  <c r="AS40" i="19"/>
  <c r="AR40" i="19"/>
  <c r="AQ40" i="19"/>
  <c r="AP40" i="19"/>
  <c r="AO40" i="19"/>
  <c r="AN40" i="19"/>
  <c r="AM40" i="19"/>
  <c r="AL40" i="19"/>
  <c r="AK40" i="19"/>
  <c r="AH40" i="19"/>
  <c r="E49" i="19" s="1"/>
  <c r="AG40" i="19"/>
  <c r="AF40" i="19"/>
  <c r="B49" i="19" s="1"/>
  <c r="AS39" i="19"/>
  <c r="AR39" i="19"/>
  <c r="AQ39" i="19"/>
  <c r="AP39" i="19"/>
  <c r="AO39" i="19"/>
  <c r="AN39" i="19"/>
  <c r="AM39" i="19"/>
  <c r="AL39" i="19"/>
  <c r="AK39" i="19"/>
  <c r="AJ39" i="19"/>
  <c r="AJ41" i="19" s="1"/>
  <c r="AC39" i="19"/>
  <c r="AB39" i="19"/>
  <c r="AA39" i="19"/>
  <c r="AA41" i="19" s="1"/>
  <c r="Z39" i="19"/>
  <c r="Y39" i="19"/>
  <c r="X39" i="19"/>
  <c r="W39" i="19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3" i="19" s="1"/>
  <c r="U53" i="19" s="1"/>
  <c r="G39" i="19"/>
  <c r="T47" i="19" s="1"/>
  <c r="U47" i="19" s="1"/>
  <c r="F39" i="19"/>
  <c r="E39" i="19"/>
  <c r="D39" i="19"/>
  <c r="C39" i="19"/>
  <c r="B39" i="19"/>
  <c r="H48" i="20"/>
  <c r="E48" i="20"/>
  <c r="B48" i="20"/>
  <c r="H47" i="20"/>
  <c r="E47" i="20"/>
  <c r="B47" i="20"/>
  <c r="B46" i="20"/>
  <c r="AS40" i="20"/>
  <c r="AR40" i="20"/>
  <c r="AQ40" i="20"/>
  <c r="AP40" i="20"/>
  <c r="AO40" i="20"/>
  <c r="AN40" i="20"/>
  <c r="AM40" i="20"/>
  <c r="AL40" i="20"/>
  <c r="AK40" i="20"/>
  <c r="AH40" i="20"/>
  <c r="E49" i="20" s="1"/>
  <c r="AG40" i="20"/>
  <c r="AF40" i="20"/>
  <c r="B49" i="20" s="1"/>
  <c r="AS39" i="20"/>
  <c r="AR39" i="20"/>
  <c r="AQ39" i="20"/>
  <c r="AP39" i="20"/>
  <c r="AO39" i="20"/>
  <c r="AN39" i="20"/>
  <c r="AM39" i="20"/>
  <c r="AL39" i="20"/>
  <c r="AK39" i="20"/>
  <c r="AJ39" i="20"/>
  <c r="AJ41" i="20" s="1"/>
  <c r="AC39" i="20"/>
  <c r="AB39" i="20"/>
  <c r="AA39" i="20"/>
  <c r="AA41" i="20" s="1"/>
  <c r="Z39" i="20"/>
  <c r="Y39" i="20"/>
  <c r="X39" i="20"/>
  <c r="W39" i="20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3" i="20" s="1"/>
  <c r="U53" i="20" s="1"/>
  <c r="G39" i="20"/>
  <c r="T47" i="20" s="1"/>
  <c r="U47" i="20" s="1"/>
  <c r="F39" i="20"/>
  <c r="E39" i="20"/>
  <c r="D39" i="20"/>
  <c r="C39" i="20"/>
  <c r="B39" i="20"/>
  <c r="AI40" i="25" l="1"/>
  <c r="E46" i="25" s="1"/>
  <c r="AI40" i="6"/>
  <c r="E46" i="6" s="1"/>
  <c r="AI40" i="24"/>
  <c r="E46" i="24" s="1"/>
  <c r="H49" i="19"/>
  <c r="AI40" i="19"/>
  <c r="H49" i="23"/>
  <c r="AI40" i="23"/>
  <c r="H46" i="23" s="1"/>
  <c r="AI40" i="17"/>
  <c r="E46" i="17" s="1"/>
  <c r="H49" i="18"/>
  <c r="AI40" i="18"/>
  <c r="H49" i="20"/>
  <c r="AI40" i="20"/>
  <c r="T54" i="24"/>
  <c r="U54" i="24" s="1"/>
  <c r="T49" i="18"/>
  <c r="U49" i="18" s="1"/>
  <c r="T54" i="19"/>
  <c r="U54" i="19" s="1"/>
  <c r="T54" i="17"/>
  <c r="U54" i="17" s="1"/>
  <c r="T54" i="23"/>
  <c r="U54" i="23" s="1"/>
  <c r="T55" i="19"/>
  <c r="U55" i="19" s="1"/>
  <c r="T55" i="17"/>
  <c r="U55" i="17" s="1"/>
  <c r="T45" i="24"/>
  <c r="U45" i="24" s="1"/>
  <c r="T45" i="20"/>
  <c r="U45" i="20" s="1"/>
  <c r="T54" i="20"/>
  <c r="U54" i="20" s="1"/>
  <c r="T54" i="6"/>
  <c r="U54" i="6" s="1"/>
  <c r="T49" i="25"/>
  <c r="U49" i="25" s="1"/>
  <c r="T52" i="19"/>
  <c r="U52" i="19" s="1"/>
  <c r="T45" i="19"/>
  <c r="U45" i="19" s="1"/>
  <c r="T55" i="18"/>
  <c r="U55" i="18" s="1"/>
  <c r="T52" i="17"/>
  <c r="U52" i="17" s="1"/>
  <c r="T45" i="17"/>
  <c r="U45" i="17" s="1"/>
  <c r="T45" i="23"/>
  <c r="U45" i="23" s="1"/>
  <c r="T55" i="20"/>
  <c r="U55" i="20" s="1"/>
  <c r="T49" i="19"/>
  <c r="U49" i="19" s="1"/>
  <c r="T51" i="19"/>
  <c r="U51" i="19" s="1"/>
  <c r="T54" i="18"/>
  <c r="U54" i="18" s="1"/>
  <c r="T49" i="17"/>
  <c r="U49" i="17" s="1"/>
  <c r="T51" i="17"/>
  <c r="U51" i="17" s="1"/>
  <c r="T55" i="24"/>
  <c r="U55" i="24" s="1"/>
  <c r="T55" i="23"/>
  <c r="U55" i="23" s="1"/>
  <c r="T55" i="6"/>
  <c r="U55" i="6" s="1"/>
  <c r="T52" i="20"/>
  <c r="U52" i="20" s="1"/>
  <c r="T51" i="18"/>
  <c r="U51" i="18" s="1"/>
  <c r="T52" i="24"/>
  <c r="U52" i="24" s="1"/>
  <c r="T52" i="23"/>
  <c r="U52" i="23" s="1"/>
  <c r="T52" i="6"/>
  <c r="U52" i="6" s="1"/>
  <c r="T49" i="20"/>
  <c r="U49" i="20" s="1"/>
  <c r="T51" i="20"/>
  <c r="U51" i="20" s="1"/>
  <c r="T52" i="18"/>
  <c r="U52" i="18" s="1"/>
  <c r="T45" i="18"/>
  <c r="U45" i="18" s="1"/>
  <c r="T49" i="24"/>
  <c r="U49" i="24" s="1"/>
  <c r="T51" i="24"/>
  <c r="U51" i="24" s="1"/>
  <c r="T49" i="23"/>
  <c r="U49" i="23" s="1"/>
  <c r="T51" i="23"/>
  <c r="U51" i="23" s="1"/>
  <c r="T49" i="6"/>
  <c r="U49" i="6" s="1"/>
  <c r="T46" i="19"/>
  <c r="U46" i="19" s="1"/>
  <c r="T46" i="20"/>
  <c r="U46" i="20" s="1"/>
  <c r="T51" i="25"/>
  <c r="U51" i="25" s="1"/>
  <c r="T45" i="25"/>
  <c r="U45" i="25" s="1"/>
  <c r="T52" i="25"/>
  <c r="U52" i="25" s="1"/>
  <c r="T54" i="25"/>
  <c r="U54" i="25" s="1"/>
  <c r="T55" i="25"/>
  <c r="U55" i="25" s="1"/>
  <c r="T46" i="25"/>
  <c r="U46" i="25" s="1"/>
  <c r="AL41" i="25"/>
  <c r="AN41" i="25"/>
  <c r="AP41" i="25"/>
  <c r="AR41" i="25"/>
  <c r="AK41" i="25"/>
  <c r="AM41" i="25"/>
  <c r="AO41" i="25"/>
  <c r="AQ41" i="25"/>
  <c r="AS41" i="25"/>
  <c r="T51" i="6"/>
  <c r="U51" i="6" s="1"/>
  <c r="T45" i="6"/>
  <c r="U45" i="6" s="1"/>
  <c r="AL41" i="6"/>
  <c r="AN41" i="6"/>
  <c r="AP41" i="6"/>
  <c r="AR41" i="6"/>
  <c r="AK41" i="6"/>
  <c r="AM41" i="6"/>
  <c r="AO41" i="6"/>
  <c r="AQ41" i="6"/>
  <c r="AS41" i="6"/>
  <c r="AL41" i="23"/>
  <c r="AN41" i="23"/>
  <c r="AP41" i="23"/>
  <c r="AR41" i="23"/>
  <c r="AK41" i="23"/>
  <c r="AM41" i="23"/>
  <c r="AO41" i="23"/>
  <c r="AQ41" i="23"/>
  <c r="AS41" i="23"/>
  <c r="AL41" i="24"/>
  <c r="AN41" i="24"/>
  <c r="AP41" i="24"/>
  <c r="AR41" i="24"/>
  <c r="AK41" i="24"/>
  <c r="AM41" i="24"/>
  <c r="AO41" i="24"/>
  <c r="AQ41" i="24"/>
  <c r="AS41" i="24"/>
  <c r="AL41" i="17"/>
  <c r="AN41" i="17"/>
  <c r="AP41" i="17"/>
  <c r="AR41" i="17"/>
  <c r="AK41" i="17"/>
  <c r="AM41" i="17"/>
  <c r="AO41" i="17"/>
  <c r="AQ41" i="17"/>
  <c r="AS41" i="17"/>
  <c r="AK41" i="19"/>
  <c r="AM41" i="19"/>
  <c r="AO41" i="19"/>
  <c r="AQ41" i="19"/>
  <c r="AS41" i="19"/>
  <c r="AL41" i="19"/>
  <c r="AN41" i="19"/>
  <c r="AP41" i="19"/>
  <c r="AR41" i="19"/>
  <c r="AL41" i="20"/>
  <c r="AN41" i="20"/>
  <c r="AP41" i="20"/>
  <c r="AR41" i="20"/>
  <c r="AK41" i="20"/>
  <c r="AM41" i="20"/>
  <c r="AO41" i="20"/>
  <c r="AQ41" i="20"/>
  <c r="AS41" i="20"/>
  <c r="T48" i="26"/>
  <c r="U48" i="26" s="1"/>
  <c r="T48" i="25"/>
  <c r="U48" i="25" s="1"/>
  <c r="H49" i="25"/>
  <c r="T46" i="6"/>
  <c r="U46" i="6" s="1"/>
  <c r="T48" i="6"/>
  <c r="U48" i="6" s="1"/>
  <c r="H49" i="6"/>
  <c r="T46" i="23"/>
  <c r="U46" i="23" s="1"/>
  <c r="T48" i="23"/>
  <c r="U48" i="23" s="1"/>
  <c r="T46" i="24"/>
  <c r="U46" i="24" s="1"/>
  <c r="T48" i="24"/>
  <c r="U48" i="24" s="1"/>
  <c r="H49" i="24"/>
  <c r="T46" i="17"/>
  <c r="U46" i="17" s="1"/>
  <c r="C41" i="17"/>
  <c r="T48" i="17"/>
  <c r="U48" i="17" s="1"/>
  <c r="H49" i="17"/>
  <c r="AK41" i="18"/>
  <c r="AM41" i="18"/>
  <c r="AO41" i="18"/>
  <c r="AQ41" i="18"/>
  <c r="AS41" i="18"/>
  <c r="T46" i="18"/>
  <c r="U46" i="18" s="1"/>
  <c r="AL41" i="18"/>
  <c r="AN41" i="18"/>
  <c r="AP41" i="18"/>
  <c r="AR41" i="18"/>
  <c r="C41" i="18"/>
  <c r="T48" i="18"/>
  <c r="U48" i="18" s="1"/>
  <c r="C41" i="19"/>
  <c r="T48" i="19"/>
  <c r="U48" i="19" s="1"/>
  <c r="T48" i="20"/>
  <c r="U48" i="20" s="1"/>
  <c r="E46" i="19" l="1"/>
  <c r="H46" i="19"/>
  <c r="H46" i="20"/>
  <c r="E46" i="20"/>
  <c r="E45" i="23"/>
  <c r="H45" i="6"/>
  <c r="H46" i="24"/>
  <c r="H45" i="19"/>
  <c r="E45" i="24"/>
  <c r="E46" i="23"/>
  <c r="E45" i="20"/>
  <c r="H46" i="17"/>
  <c r="E45" i="19"/>
  <c r="E45" i="17"/>
  <c r="H46" i="6"/>
  <c r="H45" i="20"/>
  <c r="B45" i="19"/>
  <c r="B45" i="24"/>
  <c r="H45" i="24"/>
  <c r="B45" i="23"/>
  <c r="B45" i="17"/>
  <c r="E45" i="6"/>
  <c r="B45" i="20"/>
  <c r="B45" i="6"/>
  <c r="E46" i="18"/>
  <c r="H46" i="18"/>
  <c r="E45" i="25"/>
  <c r="B45" i="25"/>
  <c r="H45" i="25"/>
  <c r="H46" i="25"/>
  <c r="H45" i="23"/>
  <c r="H45" i="17"/>
  <c r="E45" i="18"/>
  <c r="B45" i="18"/>
  <c r="H45" i="18"/>
  <c r="H48" i="21" l="1"/>
  <c r="E48" i="21"/>
  <c r="B48" i="21"/>
  <c r="H47" i="21"/>
  <c r="E47" i="21"/>
  <c r="B47" i="21"/>
  <c r="B46" i="21"/>
  <c r="AS40" i="21"/>
  <c r="AR40" i="21"/>
  <c r="AQ40" i="21"/>
  <c r="AP40" i="21"/>
  <c r="AO40" i="21"/>
  <c r="AN40" i="21"/>
  <c r="AM40" i="21"/>
  <c r="AL40" i="21"/>
  <c r="AK40" i="21"/>
  <c r="AH40" i="21"/>
  <c r="E49" i="21" s="1"/>
  <c r="AG40" i="21"/>
  <c r="AF40" i="21"/>
  <c r="B49" i="21" s="1"/>
  <c r="AS39" i="21"/>
  <c r="AR39" i="21"/>
  <c r="AQ39" i="21"/>
  <c r="AP39" i="21"/>
  <c r="AO39" i="21"/>
  <c r="AN39" i="21"/>
  <c r="AM39" i="21"/>
  <c r="AL39" i="21"/>
  <c r="AK39" i="21"/>
  <c r="AJ39" i="21"/>
  <c r="AJ41" i="21" s="1"/>
  <c r="AC39" i="21"/>
  <c r="AB39" i="21"/>
  <c r="AA39" i="21"/>
  <c r="AA41" i="21" s="1"/>
  <c r="Z39" i="21"/>
  <c r="Y39" i="21"/>
  <c r="X39" i="21"/>
  <c r="W39" i="21"/>
  <c r="V39" i="21"/>
  <c r="U39" i="21"/>
  <c r="T39" i="21"/>
  <c r="S39" i="21"/>
  <c r="R39" i="21"/>
  <c r="R41" i="21" s="1"/>
  <c r="Q39" i="21"/>
  <c r="Q41" i="21" s="1"/>
  <c r="P39" i="21"/>
  <c r="P41" i="21" s="1"/>
  <c r="O39" i="21"/>
  <c r="O41" i="21" s="1"/>
  <c r="N39" i="21"/>
  <c r="M39" i="21"/>
  <c r="L39" i="21"/>
  <c r="K39" i="21"/>
  <c r="J39" i="21"/>
  <c r="I39" i="21"/>
  <c r="H39" i="21"/>
  <c r="T53" i="21" s="1"/>
  <c r="U53" i="21" s="1"/>
  <c r="G39" i="21"/>
  <c r="T47" i="21" s="1"/>
  <c r="U47" i="21" s="1"/>
  <c r="F39" i="21"/>
  <c r="E39" i="21"/>
  <c r="D39" i="21"/>
  <c r="B39" i="21"/>
  <c r="AI40" i="21" l="1"/>
  <c r="H46" i="21" s="1"/>
  <c r="T49" i="21"/>
  <c r="U49" i="21" s="1"/>
  <c r="T52" i="21"/>
  <c r="U52" i="21" s="1"/>
  <c r="T51" i="21"/>
  <c r="U51" i="21" s="1"/>
  <c r="T55" i="21"/>
  <c r="U55" i="21" s="1"/>
  <c r="T54" i="21"/>
  <c r="U54" i="21" s="1"/>
  <c r="AL41" i="21"/>
  <c r="AN41" i="21"/>
  <c r="AP41" i="21"/>
  <c r="AR41" i="21"/>
  <c r="AK41" i="21"/>
  <c r="AM41" i="21"/>
  <c r="AO41" i="21"/>
  <c r="AQ41" i="21"/>
  <c r="AS41" i="21"/>
  <c r="T46" i="21"/>
  <c r="U46" i="21" s="1"/>
  <c r="T45" i="21"/>
  <c r="U45" i="21" s="1"/>
  <c r="T48" i="21"/>
  <c r="U48" i="21" s="1"/>
  <c r="H49" i="21"/>
  <c r="E46" i="21" l="1"/>
  <c r="E45" i="21"/>
  <c r="B45" i="21"/>
  <c r="H45" i="21"/>
  <c r="H48" i="22" l="1"/>
  <c r="E48" i="22"/>
  <c r="B48" i="22"/>
  <c r="H47" i="22"/>
  <c r="E47" i="22"/>
  <c r="B47" i="22"/>
  <c r="B46" i="22"/>
  <c r="AS40" i="22"/>
  <c r="AR40" i="22"/>
  <c r="AQ40" i="22"/>
  <c r="AP40" i="22"/>
  <c r="AO40" i="22"/>
  <c r="AN40" i="22"/>
  <c r="AM40" i="22"/>
  <c r="AL40" i="22"/>
  <c r="AK40" i="22"/>
  <c r="AH40" i="22"/>
  <c r="E49" i="22" s="1"/>
  <c r="AG40" i="22"/>
  <c r="AF40" i="22"/>
  <c r="B49" i="22" s="1"/>
  <c r="AS39" i="22"/>
  <c r="AR39" i="22"/>
  <c r="AQ39" i="22"/>
  <c r="AP39" i="22"/>
  <c r="AO39" i="22"/>
  <c r="AN39" i="22"/>
  <c r="AM39" i="22"/>
  <c r="AL39" i="22"/>
  <c r="AK39" i="22"/>
  <c r="AJ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3" i="22" s="1"/>
  <c r="U53" i="22" s="1"/>
  <c r="G39" i="22"/>
  <c r="T47" i="22" s="1"/>
  <c r="U47" i="22" s="1"/>
  <c r="F39" i="22"/>
  <c r="E39" i="22"/>
  <c r="D39" i="22"/>
  <c r="C39" i="22"/>
  <c r="B39" i="22"/>
  <c r="AI40" i="22" l="1"/>
  <c r="H46" i="22" s="1"/>
  <c r="T55" i="22"/>
  <c r="U55" i="22" s="1"/>
  <c r="T49" i="22"/>
  <c r="U49" i="22" s="1"/>
  <c r="T54" i="22"/>
  <c r="U54" i="22" s="1"/>
  <c r="AJ41" i="22"/>
  <c r="T52" i="22"/>
  <c r="U52" i="22" s="1"/>
  <c r="T51" i="22"/>
  <c r="U51" i="22" s="1"/>
  <c r="T45" i="22"/>
  <c r="U45" i="22" s="1"/>
  <c r="AL41" i="22"/>
  <c r="AN41" i="22"/>
  <c r="AP41" i="22"/>
  <c r="AR41" i="22"/>
  <c r="AK41" i="22"/>
  <c r="AM41" i="22"/>
  <c r="AO41" i="22"/>
  <c r="AQ41" i="22"/>
  <c r="AS41" i="22"/>
  <c r="T46" i="22"/>
  <c r="U46" i="22" s="1"/>
  <c r="T48" i="22"/>
  <c r="U48" i="22" s="1"/>
  <c r="H49" i="22"/>
  <c r="H48" i="16"/>
  <c r="E48" i="16"/>
  <c r="B48" i="16"/>
  <c r="E46" i="22" l="1"/>
  <c r="B45" i="22"/>
  <c r="H45" i="22"/>
  <c r="E45" i="22"/>
  <c r="B46" i="16"/>
  <c r="B47" i="16" l="1"/>
  <c r="AS40" i="16"/>
  <c r="AR40" i="16"/>
  <c r="AQ40" i="16"/>
  <c r="AP40" i="16"/>
  <c r="AO40" i="16"/>
  <c r="AN40" i="16"/>
  <c r="AM40" i="16"/>
  <c r="AL40" i="16"/>
  <c r="AK40" i="16"/>
  <c r="H47" i="16"/>
  <c r="E47" i="16"/>
  <c r="AB26" i="28" l="1"/>
  <c r="AC26" i="28"/>
  <c r="AD26" i="28"/>
  <c r="AA26" i="28"/>
  <c r="K40" i="20" l="1"/>
  <c r="K41" i="20" s="1"/>
  <c r="L20" i="27" s="1"/>
  <c r="K40" i="21"/>
  <c r="K41" i="21" s="1"/>
  <c r="L19" i="27" s="1"/>
  <c r="K40" i="22"/>
  <c r="K41" i="22" s="1"/>
  <c r="L18" i="27" s="1"/>
  <c r="E40" i="20"/>
  <c r="E41" i="20" s="1"/>
  <c r="F20" i="27" s="1"/>
  <c r="E40" i="21"/>
  <c r="E41" i="21" s="1"/>
  <c r="F19" i="27" s="1"/>
  <c r="E40" i="22"/>
  <c r="E41" i="22" s="1"/>
  <c r="F18" i="27" s="1"/>
  <c r="K40" i="16"/>
  <c r="K40" i="23"/>
  <c r="K41" i="23" s="1"/>
  <c r="L25" i="27" s="1"/>
  <c r="K40" i="24"/>
  <c r="K41" i="24" s="1"/>
  <c r="E40" i="16"/>
  <c r="E40" i="23"/>
  <c r="E41" i="23" s="1"/>
  <c r="F25" i="27" s="1"/>
  <c r="E40" i="24"/>
  <c r="E41" i="24" s="1"/>
  <c r="F24" i="27" s="1"/>
  <c r="K40" i="26"/>
  <c r="K40" i="25"/>
  <c r="K41" i="25" s="1"/>
  <c r="K40" i="6"/>
  <c r="K41" i="6" s="1"/>
  <c r="E40" i="26"/>
  <c r="E40" i="25"/>
  <c r="E41" i="25" s="1"/>
  <c r="E40" i="6"/>
  <c r="E41" i="6" s="1"/>
  <c r="K40" i="17"/>
  <c r="K41" i="17" s="1"/>
  <c r="L23" i="27" s="1"/>
  <c r="K40" i="18"/>
  <c r="K41" i="18" s="1"/>
  <c r="L22" i="27" s="1"/>
  <c r="K40" i="19"/>
  <c r="K41" i="19" s="1"/>
  <c r="L21" i="27" s="1"/>
  <c r="E40" i="17"/>
  <c r="E41" i="17" s="1"/>
  <c r="F23" i="27" s="1"/>
  <c r="E40" i="18"/>
  <c r="E41" i="18" s="1"/>
  <c r="F22" i="27" s="1"/>
  <c r="E40" i="19"/>
  <c r="E41" i="19" s="1"/>
  <c r="F21" i="27" s="1"/>
  <c r="AG24" i="28"/>
  <c r="AH24" i="28"/>
  <c r="AI24" i="28"/>
  <c r="AF24" i="28"/>
  <c r="AI31" i="28"/>
  <c r="AH31" i="28"/>
  <c r="AG31" i="28"/>
  <c r="AF31" i="28"/>
  <c r="AD31" i="28"/>
  <c r="AC31" i="28"/>
  <c r="AB31" i="28"/>
  <c r="AA31" i="28"/>
  <c r="AI30" i="28"/>
  <c r="AH30" i="28"/>
  <c r="AG30" i="28"/>
  <c r="AF30" i="28"/>
  <c r="AD30" i="28"/>
  <c r="AC30" i="28"/>
  <c r="AB30" i="28"/>
  <c r="AA30" i="28"/>
  <c r="AI29" i="28"/>
  <c r="AH29" i="28"/>
  <c r="AG29" i="28"/>
  <c r="AF29" i="28"/>
  <c r="AD29" i="28"/>
  <c r="AC29" i="28"/>
  <c r="AB29" i="28"/>
  <c r="AA29" i="28"/>
  <c r="AI28" i="28"/>
  <c r="AH28" i="28"/>
  <c r="AG28" i="28"/>
  <c r="AF28" i="28"/>
  <c r="AD28" i="28"/>
  <c r="AC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I25" i="28"/>
  <c r="AH25" i="28"/>
  <c r="AG25" i="28"/>
  <c r="AF25" i="28"/>
  <c r="AD25" i="28"/>
  <c r="AC25" i="28"/>
  <c r="AB25" i="28"/>
  <c r="AA25" i="28"/>
  <c r="AD24" i="28"/>
  <c r="AC24" i="28"/>
  <c r="AB24" i="28"/>
  <c r="AA24" i="28"/>
  <c r="AI23" i="28"/>
  <c r="AH23" i="28"/>
  <c r="AG23" i="28"/>
  <c r="AF23" i="28"/>
  <c r="AD23" i="28"/>
  <c r="AC23" i="28"/>
  <c r="AB23" i="28"/>
  <c r="AA23" i="28"/>
  <c r="R20" i="28"/>
  <c r="AI19" i="28"/>
  <c r="AG19" i="28"/>
  <c r="T18" i="28"/>
  <c r="AB18" i="28" s="1"/>
  <c r="P18" i="28"/>
  <c r="A12" i="28"/>
  <c r="A20" i="28" s="1"/>
  <c r="AE7" i="28"/>
  <c r="AD7" i="28"/>
  <c r="AD9" i="28" s="1"/>
  <c r="P25" i="27"/>
  <c r="Q25" i="27"/>
  <c r="R25" i="27"/>
  <c r="S25" i="27"/>
  <c r="AB25" i="27"/>
  <c r="L24" i="27"/>
  <c r="P24" i="27"/>
  <c r="Q24" i="27"/>
  <c r="R24" i="27"/>
  <c r="S24" i="27"/>
  <c r="AB24" i="27"/>
  <c r="AH10" i="27"/>
  <c r="AI10" i="27"/>
  <c r="AJ10" i="27"/>
  <c r="AK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K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H9" i="27"/>
  <c r="AI9" i="27"/>
  <c r="AJ9" i="27"/>
  <c r="AK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H8" i="27"/>
  <c r="AI8" i="27"/>
  <c r="AJ8" i="27"/>
  <c r="AK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K21" i="27"/>
  <c r="P21" i="27"/>
  <c r="Q21" i="27"/>
  <c r="R21" i="27"/>
  <c r="S21" i="27"/>
  <c r="T21" i="27"/>
  <c r="U21" i="27"/>
  <c r="AB21" i="27"/>
  <c r="AH7" i="27"/>
  <c r="AI7" i="27"/>
  <c r="AJ7" i="27"/>
  <c r="AK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P20" i="27"/>
  <c r="Q20" i="27"/>
  <c r="R20" i="27"/>
  <c r="S20" i="27"/>
  <c r="AB20" i="27"/>
  <c r="AH6" i="27"/>
  <c r="AI6" i="27"/>
  <c r="AJ6" i="27"/>
  <c r="AK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P19" i="27"/>
  <c r="Q19" i="27"/>
  <c r="R19" i="27"/>
  <c r="S19" i="27"/>
  <c r="AB19" i="27"/>
  <c r="AH5" i="27"/>
  <c r="AI5" i="27"/>
  <c r="AJ5" i="27"/>
  <c r="AK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H11" i="27"/>
  <c r="AI11" i="27"/>
  <c r="AJ11" i="27"/>
  <c r="AK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AH30" i="27"/>
  <c r="AI30" i="27"/>
  <c r="AJ30" i="27"/>
  <c r="AK30" i="27"/>
  <c r="AH4" i="27"/>
  <c r="AI4" i="27"/>
  <c r="AJ4" i="27"/>
  <c r="AK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W40" i="20" l="1"/>
  <c r="W41" i="20" s="1"/>
  <c r="W40" i="21"/>
  <c r="W41" i="21" s="1"/>
  <c r="W40" i="22"/>
  <c r="W41" i="22" s="1"/>
  <c r="X40" i="20"/>
  <c r="X41" i="20" s="1"/>
  <c r="X40" i="22"/>
  <c r="X41" i="22" s="1"/>
  <c r="X40" i="21"/>
  <c r="X41" i="21" s="1"/>
  <c r="W40" i="16"/>
  <c r="W40" i="23"/>
  <c r="W41" i="23" s="1"/>
  <c r="X25" i="27" s="1"/>
  <c r="W40" i="24"/>
  <c r="W41" i="24" s="1"/>
  <c r="X40" i="16"/>
  <c r="X40" i="23"/>
  <c r="X41" i="23" s="1"/>
  <c r="Y25" i="27" s="1"/>
  <c r="X40" i="24"/>
  <c r="X41" i="24" s="1"/>
  <c r="N40" i="20"/>
  <c r="N41" i="20" s="1"/>
  <c r="O20" i="27" s="1"/>
  <c r="F40" i="20"/>
  <c r="F41" i="20" s="1"/>
  <c r="M40" i="21"/>
  <c r="M41" i="21" s="1"/>
  <c r="N40" i="22"/>
  <c r="N41" i="22" s="1"/>
  <c r="O18" i="27" s="1"/>
  <c r="F40" i="22"/>
  <c r="F41" i="22" s="1"/>
  <c r="M40" i="20"/>
  <c r="M41" i="20" s="1"/>
  <c r="F40" i="21"/>
  <c r="F41" i="21" s="1"/>
  <c r="M40" i="22"/>
  <c r="M41" i="22" s="1"/>
  <c r="N40" i="21"/>
  <c r="N41" i="21" s="1"/>
  <c r="O19" i="27" s="1"/>
  <c r="N40" i="16"/>
  <c r="F40" i="16"/>
  <c r="M40" i="23"/>
  <c r="M41" i="23" s="1"/>
  <c r="N25" i="27" s="1"/>
  <c r="N40" i="24"/>
  <c r="N41" i="24" s="1"/>
  <c r="O24" i="27" s="1"/>
  <c r="F40" i="24"/>
  <c r="F41" i="24" s="1"/>
  <c r="N40" i="23"/>
  <c r="N41" i="23" s="1"/>
  <c r="O25" i="27" s="1"/>
  <c r="F40" i="23"/>
  <c r="F41" i="23" s="1"/>
  <c r="G25" i="27" s="1"/>
  <c r="M40" i="16"/>
  <c r="M40" i="24"/>
  <c r="M41" i="24" s="1"/>
  <c r="M40" i="26"/>
  <c r="N40" i="26"/>
  <c r="F40" i="26"/>
  <c r="G40" i="21"/>
  <c r="G41" i="21" s="1"/>
  <c r="H19" i="27" s="1"/>
  <c r="G40" i="22"/>
  <c r="G41" i="22" s="1"/>
  <c r="H18" i="27" s="1"/>
  <c r="G40" i="20"/>
  <c r="G41" i="20" s="1"/>
  <c r="H20" i="27" s="1"/>
  <c r="G40" i="16"/>
  <c r="G40" i="24"/>
  <c r="G41" i="24" s="1"/>
  <c r="H24" i="27" s="1"/>
  <c r="G40" i="23"/>
  <c r="G41" i="23" s="1"/>
  <c r="H25" i="27" s="1"/>
  <c r="L40" i="21"/>
  <c r="L41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L40" i="16"/>
  <c r="L40" i="24"/>
  <c r="L41" i="24" s="1"/>
  <c r="M24" i="27" s="1"/>
  <c r="V40" i="20"/>
  <c r="V41" i="20" s="1"/>
  <c r="W20" i="27" s="1"/>
  <c r="AB40" i="21"/>
  <c r="AB41" i="21" s="1"/>
  <c r="AC19" i="27" s="1"/>
  <c r="U40" i="21"/>
  <c r="U41" i="21" s="1"/>
  <c r="V19" i="27" s="1"/>
  <c r="V40" i="22"/>
  <c r="V41" i="22" s="1"/>
  <c r="W18" i="27" s="1"/>
  <c r="AB40" i="20"/>
  <c r="AB41" i="20" s="1"/>
  <c r="AC20" i="27" s="1"/>
  <c r="U40" i="20"/>
  <c r="U41" i="20" s="1"/>
  <c r="V40" i="21"/>
  <c r="V41" i="21" s="1"/>
  <c r="W19" i="27" s="1"/>
  <c r="AB40" i="22"/>
  <c r="AB41" i="22" s="1"/>
  <c r="AC18" i="27" s="1"/>
  <c r="U40" i="22"/>
  <c r="U41" i="22" s="1"/>
  <c r="V18" i="27" s="1"/>
  <c r="V40" i="16"/>
  <c r="AB40" i="23"/>
  <c r="AB41" i="23" s="1"/>
  <c r="AC25" i="27" s="1"/>
  <c r="U40" i="23"/>
  <c r="U41" i="23" s="1"/>
  <c r="V25" i="27" s="1"/>
  <c r="V40" i="24"/>
  <c r="V41" i="24" s="1"/>
  <c r="W24" i="27" s="1"/>
  <c r="AB40" i="16"/>
  <c r="U40" i="16"/>
  <c r="V40" i="23"/>
  <c r="V41" i="23" s="1"/>
  <c r="W25" i="27" s="1"/>
  <c r="AB40" i="24"/>
  <c r="AB41" i="24" s="1"/>
  <c r="AC24" i="27" s="1"/>
  <c r="U40" i="24"/>
  <c r="U41" i="24" s="1"/>
  <c r="V24" i="27" s="1"/>
  <c r="T40" i="20"/>
  <c r="T41" i="20" s="1"/>
  <c r="J40" i="20"/>
  <c r="J41" i="20" s="1"/>
  <c r="K20" i="27" s="1"/>
  <c r="T40" i="21"/>
  <c r="T41" i="21" s="1"/>
  <c r="J40" i="21"/>
  <c r="J41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40" i="21"/>
  <c r="S41" i="21" s="1"/>
  <c r="C40" i="21"/>
  <c r="C41" i="21" s="1"/>
  <c r="D19" i="27" s="1"/>
  <c r="S40" i="22"/>
  <c r="S41" i="22" s="1"/>
  <c r="C40" i="22"/>
  <c r="C41" i="22" s="1"/>
  <c r="D18" i="27" s="1"/>
  <c r="S40" i="26"/>
  <c r="C40" i="26"/>
  <c r="S40" i="25"/>
  <c r="S41" i="25" s="1"/>
  <c r="C40" i="25"/>
  <c r="C41" i="25" s="1"/>
  <c r="S40" i="6"/>
  <c r="S41" i="6" s="1"/>
  <c r="C40" i="6"/>
  <c r="C41" i="6" s="1"/>
  <c r="T40" i="26"/>
  <c r="J40" i="26"/>
  <c r="T40" i="25"/>
  <c r="T41" i="25" s="1"/>
  <c r="J40" i="25"/>
  <c r="J41" i="25" s="1"/>
  <c r="T40" i="6"/>
  <c r="T41" i="6" s="1"/>
  <c r="J40" i="6"/>
  <c r="J41" i="6" s="1"/>
  <c r="H40" i="18"/>
  <c r="H41" i="18" s="1"/>
  <c r="I22" i="27" s="1"/>
  <c r="H40" i="17"/>
  <c r="H41" i="17" s="1"/>
  <c r="I23" i="27" s="1"/>
  <c r="H40" i="19"/>
  <c r="H41" i="19" s="1"/>
  <c r="I21" i="27" s="1"/>
  <c r="H40" i="25"/>
  <c r="H41" i="25" s="1"/>
  <c r="H40" i="26"/>
  <c r="H40" i="6"/>
  <c r="H41" i="6" s="1"/>
  <c r="I40" i="17"/>
  <c r="I41" i="17" s="1"/>
  <c r="J23" i="27" s="1"/>
  <c r="AC40" i="18"/>
  <c r="AC41" i="18" s="1"/>
  <c r="AD22" i="27" s="1"/>
  <c r="B40" i="18"/>
  <c r="B41" i="18" s="1"/>
  <c r="I40" i="19"/>
  <c r="I41" i="19" s="1"/>
  <c r="J21" i="27" s="1"/>
  <c r="AC40" i="17"/>
  <c r="AC41" i="17" s="1"/>
  <c r="AD23" i="27" s="1"/>
  <c r="B40" i="17"/>
  <c r="B41" i="17" s="1"/>
  <c r="I40" i="18"/>
  <c r="I41" i="18" s="1"/>
  <c r="J22" i="27" s="1"/>
  <c r="AC40" i="19"/>
  <c r="AC41" i="19" s="1"/>
  <c r="AD21" i="27" s="1"/>
  <c r="B40" i="19"/>
  <c r="B41" i="19" s="1"/>
  <c r="I40" i="26"/>
  <c r="AC40" i="25"/>
  <c r="AC41" i="25" s="1"/>
  <c r="B40" i="25"/>
  <c r="B41" i="25" s="1"/>
  <c r="I40" i="6"/>
  <c r="I41" i="6" s="1"/>
  <c r="AC40" i="26"/>
  <c r="B40" i="26"/>
  <c r="B41" i="26" s="1"/>
  <c r="I40" i="25"/>
  <c r="I41" i="25" s="1"/>
  <c r="AC40" i="6"/>
  <c r="AC41" i="6" s="1"/>
  <c r="B40" i="6"/>
  <c r="B41" i="6" s="1"/>
  <c r="Y40" i="17"/>
  <c r="Y41" i="17" s="1"/>
  <c r="Z23" i="27" s="1"/>
  <c r="Z40" i="18"/>
  <c r="Z41" i="18" s="1"/>
  <c r="AA22" i="27" s="1"/>
  <c r="D40" i="18"/>
  <c r="D41" i="18" s="1"/>
  <c r="E22" i="27" s="1"/>
  <c r="Y40" i="19"/>
  <c r="Y41" i="19" s="1"/>
  <c r="Z21" i="27" s="1"/>
  <c r="D40" i="17"/>
  <c r="D41" i="17" s="1"/>
  <c r="E23" i="27" s="1"/>
  <c r="Z40" i="17"/>
  <c r="Z41" i="17" s="1"/>
  <c r="AA23" i="27" s="1"/>
  <c r="Y40" i="18"/>
  <c r="Y41" i="18" s="1"/>
  <c r="Z22" i="27" s="1"/>
  <c r="Z40" i="19"/>
  <c r="Z41" i="19" s="1"/>
  <c r="AA21" i="27" s="1"/>
  <c r="D40" i="19"/>
  <c r="D41" i="19" s="1"/>
  <c r="E21" i="27" s="1"/>
  <c r="Y40" i="26"/>
  <c r="Z40" i="25"/>
  <c r="Z41" i="25" s="1"/>
  <c r="D40" i="25"/>
  <c r="D41" i="25" s="1"/>
  <c r="Z40" i="6"/>
  <c r="Z41" i="6" s="1"/>
  <c r="Z40" i="26"/>
  <c r="D40" i="26"/>
  <c r="Y40" i="25"/>
  <c r="Y41" i="25" s="1"/>
  <c r="D40" i="6"/>
  <c r="D41" i="6" s="1"/>
  <c r="Y40" i="6"/>
  <c r="Y41" i="6" s="1"/>
  <c r="W40" i="17"/>
  <c r="W41" i="17" s="1"/>
  <c r="W40" i="18"/>
  <c r="W41" i="18" s="1"/>
  <c r="W40" i="19"/>
  <c r="W41" i="19" s="1"/>
  <c r="X40" i="17"/>
  <c r="X41" i="17" s="1"/>
  <c r="X40" i="18"/>
  <c r="X41" i="18" s="1"/>
  <c r="X40" i="19"/>
  <c r="X41" i="19" s="1"/>
  <c r="W40" i="26"/>
  <c r="W40" i="25"/>
  <c r="W41" i="25" s="1"/>
  <c r="W40" i="6"/>
  <c r="W41" i="6" s="1"/>
  <c r="X40" i="25"/>
  <c r="X41" i="25" s="1"/>
  <c r="X40" i="26"/>
  <c r="X40" i="6"/>
  <c r="X41" i="6" s="1"/>
  <c r="M40" i="17"/>
  <c r="M41" i="17" s="1"/>
  <c r="N40" i="18"/>
  <c r="N41" i="18" s="1"/>
  <c r="O22" i="27" s="1"/>
  <c r="F40" i="18"/>
  <c r="F41" i="18" s="1"/>
  <c r="M40" i="19"/>
  <c r="M41" i="19" s="1"/>
  <c r="F40" i="17"/>
  <c r="F41" i="17" s="1"/>
  <c r="N40" i="19"/>
  <c r="N41" i="19" s="1"/>
  <c r="O21" i="27" s="1"/>
  <c r="N40" i="17"/>
  <c r="N41" i="17" s="1"/>
  <c r="O23" i="27" s="1"/>
  <c r="M40" i="18"/>
  <c r="M41" i="18" s="1"/>
  <c r="F40" i="19"/>
  <c r="F41" i="19" s="1"/>
  <c r="N40" i="25"/>
  <c r="N41" i="25" s="1"/>
  <c r="F40" i="25"/>
  <c r="F41" i="25" s="1"/>
  <c r="M40" i="6"/>
  <c r="M41" i="6" s="1"/>
  <c r="M40" i="25"/>
  <c r="M41" i="25" s="1"/>
  <c r="F40" i="6"/>
  <c r="F41" i="6" s="1"/>
  <c r="N40" i="6"/>
  <c r="N41" i="6" s="1"/>
  <c r="G40" i="17"/>
  <c r="G41" i="17" s="1"/>
  <c r="H23" i="27" s="1"/>
  <c r="G40" i="19"/>
  <c r="G41" i="19" s="1"/>
  <c r="H21" i="27" s="1"/>
  <c r="G40" i="18"/>
  <c r="G41" i="18" s="1"/>
  <c r="H22" i="27" s="1"/>
  <c r="G40" i="26"/>
  <c r="G40" i="6"/>
  <c r="G41" i="6" s="1"/>
  <c r="G40" i="25"/>
  <c r="G41" i="25" s="1"/>
  <c r="L40" i="17"/>
  <c r="L41" i="17" s="1"/>
  <c r="M23" i="27" s="1"/>
  <c r="L40" i="19"/>
  <c r="L41" i="19" s="1"/>
  <c r="M21" i="27" s="1"/>
  <c r="L40" i="18"/>
  <c r="L41" i="18" s="1"/>
  <c r="M22" i="27" s="1"/>
  <c r="L40" i="26"/>
  <c r="L41" i="26" s="1"/>
  <c r="L40" i="6"/>
  <c r="L41" i="6" s="1"/>
  <c r="L40" i="25"/>
  <c r="L41" i="25" s="1"/>
  <c r="AB40" i="17"/>
  <c r="AB41" i="17" s="1"/>
  <c r="AC23" i="27" s="1"/>
  <c r="U40" i="17"/>
  <c r="U41" i="17" s="1"/>
  <c r="V40" i="18"/>
  <c r="V41" i="18" s="1"/>
  <c r="AB40" i="19"/>
  <c r="AB41" i="19" s="1"/>
  <c r="AC21" i="27" s="1"/>
  <c r="U40" i="19"/>
  <c r="U41" i="19" s="1"/>
  <c r="V40" i="17"/>
  <c r="V41" i="17" s="1"/>
  <c r="AB40" i="18"/>
  <c r="AB41" i="18" s="1"/>
  <c r="AC22" i="27" s="1"/>
  <c r="U40" i="18"/>
  <c r="U41" i="18" s="1"/>
  <c r="V40" i="19"/>
  <c r="V41" i="19" s="1"/>
  <c r="AB40" i="26"/>
  <c r="U40" i="26"/>
  <c r="V40" i="25"/>
  <c r="V41" i="25" s="1"/>
  <c r="AB40" i="6"/>
  <c r="AB41" i="6" s="1"/>
  <c r="U40" i="6"/>
  <c r="U41" i="6" s="1"/>
  <c r="V40" i="26"/>
  <c r="AB40" i="25"/>
  <c r="AB41" i="25" s="1"/>
  <c r="U40" i="25"/>
  <c r="U41" i="25" s="1"/>
  <c r="V40" i="6"/>
  <c r="V41" i="6" s="1"/>
  <c r="S40" i="16"/>
  <c r="C40" i="16"/>
  <c r="S40" i="23"/>
  <c r="S41" i="23" s="1"/>
  <c r="C40" i="23"/>
  <c r="C41" i="23" s="1"/>
  <c r="D25" i="27" s="1"/>
  <c r="S40" i="24"/>
  <c r="S41" i="24" s="1"/>
  <c r="C40" i="24"/>
  <c r="C41" i="24" s="1"/>
  <c r="D24" i="27" s="1"/>
  <c r="T40" i="16"/>
  <c r="J40" i="16"/>
  <c r="T40" i="23"/>
  <c r="T41" i="23" s="1"/>
  <c r="J40" i="23"/>
  <c r="J41" i="23" s="1"/>
  <c r="K25" i="27" s="1"/>
  <c r="T40" i="24"/>
  <c r="T41" i="24" s="1"/>
  <c r="J40" i="24"/>
  <c r="J41" i="24" s="1"/>
  <c r="K24" i="27" s="1"/>
  <c r="H40" i="20"/>
  <c r="H41" i="20" s="1"/>
  <c r="I20" i="27" s="1"/>
  <c r="H40" i="22"/>
  <c r="H41" i="22" s="1"/>
  <c r="I18" i="27" s="1"/>
  <c r="H40" i="21"/>
  <c r="H41" i="21" s="1"/>
  <c r="I19" i="27" s="1"/>
  <c r="H40" i="16"/>
  <c r="H40" i="24"/>
  <c r="H41" i="24" s="1"/>
  <c r="I24" i="27" s="1"/>
  <c r="H40" i="23"/>
  <c r="H41" i="23" s="1"/>
  <c r="I25" i="27" s="1"/>
  <c r="AC40" i="20"/>
  <c r="AC41" i="20" s="1"/>
  <c r="AD20" i="27" s="1"/>
  <c r="B40" i="20"/>
  <c r="B41" i="20" s="1"/>
  <c r="I40" i="21"/>
  <c r="I41" i="21" s="1"/>
  <c r="J19" i="27" s="1"/>
  <c r="AC40" i="22"/>
  <c r="AC41" i="22" s="1"/>
  <c r="AD18" i="27" s="1"/>
  <c r="B40" i="22"/>
  <c r="B41" i="22" s="1"/>
  <c r="I40" i="20"/>
  <c r="I41" i="20" s="1"/>
  <c r="J20" i="27" s="1"/>
  <c r="AC40" i="21"/>
  <c r="AC41" i="21" s="1"/>
  <c r="AD19" i="27" s="1"/>
  <c r="B40" i="21"/>
  <c r="B41" i="21" s="1"/>
  <c r="I40" i="22"/>
  <c r="I41" i="22" s="1"/>
  <c r="J18" i="27" s="1"/>
  <c r="AC40" i="16"/>
  <c r="B40" i="16"/>
  <c r="I40" i="23"/>
  <c r="I41" i="23" s="1"/>
  <c r="J25" i="27" s="1"/>
  <c r="AC40" i="24"/>
  <c r="AC41" i="24" s="1"/>
  <c r="AD24" i="27" s="1"/>
  <c r="B40" i="24"/>
  <c r="B41" i="24" s="1"/>
  <c r="I40" i="16"/>
  <c r="AC40" i="23"/>
  <c r="AC41" i="23" s="1"/>
  <c r="AD25" i="27" s="1"/>
  <c r="B40" i="23"/>
  <c r="B41" i="23" s="1"/>
  <c r="I40" i="24"/>
  <c r="I41" i="24" s="1"/>
  <c r="J24" i="27" s="1"/>
  <c r="D40" i="20"/>
  <c r="D41" i="20" s="1"/>
  <c r="E20" i="27" s="1"/>
  <c r="Y40" i="20"/>
  <c r="Y41" i="20" s="1"/>
  <c r="Z20" i="27" s="1"/>
  <c r="Z40" i="21"/>
  <c r="Z41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40" i="21"/>
  <c r="D41" i="21" s="1"/>
  <c r="E19" i="27" s="1"/>
  <c r="Y40" i="21"/>
  <c r="Y41" i="21" s="1"/>
  <c r="Z19" i="27" s="1"/>
  <c r="Y40" i="22"/>
  <c r="Y41" i="22" s="1"/>
  <c r="Z18" i="27" s="1"/>
  <c r="D40" i="16"/>
  <c r="Y40" i="16"/>
  <c r="Z40" i="23"/>
  <c r="Z41" i="23" s="1"/>
  <c r="AA25" i="27" s="1"/>
  <c r="Z40" i="24"/>
  <c r="Z41" i="24" s="1"/>
  <c r="AA24" i="27" s="1"/>
  <c r="D40" i="24"/>
  <c r="D41" i="24" s="1"/>
  <c r="E24" i="27" s="1"/>
  <c r="Z40" i="16"/>
  <c r="D40" i="23"/>
  <c r="D41" i="23" s="1"/>
  <c r="E25" i="27" s="1"/>
  <c r="Y40" i="23"/>
  <c r="Y41" i="23" s="1"/>
  <c r="Z25" i="27" s="1"/>
  <c r="Y40" i="24"/>
  <c r="Y41" i="24" s="1"/>
  <c r="Z24" i="27" s="1"/>
  <c r="AJ14" i="27"/>
  <c r="AH14" i="27"/>
  <c r="M39" i="16"/>
  <c r="B39" i="16"/>
  <c r="AJ13" i="27"/>
  <c r="AH13" i="27"/>
  <c r="B44" i="23" l="1"/>
  <c r="C25" i="27"/>
  <c r="B44" i="22"/>
  <c r="C18" i="27"/>
  <c r="E44" i="24"/>
  <c r="E51" i="24" s="1"/>
  <c r="U24" i="27"/>
  <c r="E44" i="23"/>
  <c r="E51" i="23" s="1"/>
  <c r="U25" i="27"/>
  <c r="H44" i="24"/>
  <c r="H51" i="24" s="1"/>
  <c r="T24" i="27"/>
  <c r="H44" i="23"/>
  <c r="H51" i="23" s="1"/>
  <c r="T25" i="27"/>
  <c r="E44" i="19"/>
  <c r="E51" i="19" s="1"/>
  <c r="W21" i="27"/>
  <c r="H44" i="19"/>
  <c r="H51" i="19" s="1"/>
  <c r="V21" i="27"/>
  <c r="E44" i="18"/>
  <c r="E51" i="18" s="1"/>
  <c r="W22" i="27"/>
  <c r="B44" i="17"/>
  <c r="C23" i="27"/>
  <c r="H44" i="20"/>
  <c r="V20" i="27"/>
  <c r="B44" i="6"/>
  <c r="B44" i="25"/>
  <c r="B44" i="24"/>
  <c r="C24" i="27"/>
  <c r="B44" i="21"/>
  <c r="C19" i="27"/>
  <c r="B44" i="20"/>
  <c r="C20" i="27"/>
  <c r="H44" i="18"/>
  <c r="H51" i="18" s="1"/>
  <c r="V22" i="27"/>
  <c r="E44" i="17"/>
  <c r="E51" i="17" s="1"/>
  <c r="W23" i="27"/>
  <c r="H44" i="17"/>
  <c r="H51" i="17" s="1"/>
  <c r="V23" i="27"/>
  <c r="B44" i="19"/>
  <c r="C21" i="27"/>
  <c r="B44" i="18"/>
  <c r="C22" i="27"/>
  <c r="H44" i="22"/>
  <c r="H51" i="22" s="1"/>
  <c r="T18" i="27"/>
  <c r="H44" i="21"/>
  <c r="T19" i="27"/>
  <c r="E44" i="22"/>
  <c r="E51" i="22" s="1"/>
  <c r="U18" i="27"/>
  <c r="E44" i="21"/>
  <c r="U19" i="27"/>
  <c r="E44" i="20"/>
  <c r="E51" i="20" s="1"/>
  <c r="U20" i="27"/>
  <c r="E44" i="6"/>
  <c r="E51" i="6" s="1"/>
  <c r="E44" i="25"/>
  <c r="H44" i="6"/>
  <c r="H51" i="6" s="1"/>
  <c r="H44" i="25"/>
  <c r="C29" i="27"/>
  <c r="C15" i="27"/>
  <c r="M29" i="27"/>
  <c r="M15" i="27"/>
  <c r="C28" i="27"/>
  <c r="C14" i="27"/>
  <c r="E28" i="27"/>
  <c r="E14" i="27"/>
  <c r="G28" i="27"/>
  <c r="G14" i="27"/>
  <c r="I28" i="27"/>
  <c r="I14" i="27"/>
  <c r="K28" i="27"/>
  <c r="K14" i="27"/>
  <c r="M28" i="27"/>
  <c r="M14" i="27"/>
  <c r="O28" i="27"/>
  <c r="O14" i="27"/>
  <c r="Q28" i="27"/>
  <c r="Q14" i="27"/>
  <c r="S28" i="27"/>
  <c r="S14" i="27"/>
  <c r="U28" i="27"/>
  <c r="U14" i="27"/>
  <c r="W28" i="27"/>
  <c r="W14" i="27"/>
  <c r="Y28" i="27"/>
  <c r="Y14" i="27"/>
  <c r="AA28" i="27"/>
  <c r="AA14" i="27"/>
  <c r="AC14" i="27"/>
  <c r="D28" i="27"/>
  <c r="D14" i="27"/>
  <c r="F28" i="27"/>
  <c r="F14" i="27"/>
  <c r="H28" i="27"/>
  <c r="H14" i="27"/>
  <c r="J14" i="27"/>
  <c r="L28" i="27"/>
  <c r="L14" i="27"/>
  <c r="N28" i="27"/>
  <c r="N14" i="27"/>
  <c r="P28" i="27"/>
  <c r="P14" i="27"/>
  <c r="R28" i="27"/>
  <c r="R14" i="27"/>
  <c r="T28" i="27"/>
  <c r="T14" i="27"/>
  <c r="V14" i="27"/>
  <c r="X28" i="27"/>
  <c r="X14" i="27"/>
  <c r="Z28" i="27"/>
  <c r="Z14" i="27"/>
  <c r="AB28" i="27"/>
  <c r="AB14" i="27"/>
  <c r="AD14" i="27"/>
  <c r="AK14" i="27"/>
  <c r="AI14" i="27"/>
  <c r="Z27" i="27"/>
  <c r="Z13" i="27"/>
  <c r="AB27" i="27"/>
  <c r="AB13" i="27"/>
  <c r="AD13" i="27"/>
  <c r="AI13" i="27"/>
  <c r="AK13" i="27"/>
  <c r="Y27" i="27"/>
  <c r="Y13" i="27"/>
  <c r="AA27" i="27"/>
  <c r="AA13" i="27"/>
  <c r="AC13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B41" i="16"/>
  <c r="C12" i="27"/>
  <c r="M41" i="16"/>
  <c r="N12" i="27"/>
  <c r="E51" i="21" l="1"/>
  <c r="E52" i="21" s="1"/>
  <c r="D34" i="27" s="1"/>
  <c r="F52" i="21"/>
  <c r="H51" i="21"/>
  <c r="H52" i="21" s="1"/>
  <c r="E34" i="27" s="1"/>
  <c r="I52" i="21"/>
  <c r="H51" i="20"/>
  <c r="I51" i="20"/>
  <c r="B51" i="20"/>
  <c r="B52" i="20" s="1"/>
  <c r="C35" i="27" s="1"/>
  <c r="B51" i="25"/>
  <c r="B52" i="25" s="1"/>
  <c r="C43" i="27" s="1"/>
  <c r="H51" i="25"/>
  <c r="H52" i="25" s="1"/>
  <c r="E43" i="27" s="1"/>
  <c r="E51" i="25"/>
  <c r="E52" i="25" s="1"/>
  <c r="D43" i="27" s="1"/>
  <c r="B51" i="6"/>
  <c r="B52" i="6" s="1"/>
  <c r="C42" i="27" s="1"/>
  <c r="B51" i="23"/>
  <c r="B52" i="23" s="1"/>
  <c r="C40" i="27" s="1"/>
  <c r="B51" i="24"/>
  <c r="B52" i="24" s="1"/>
  <c r="C39" i="27" s="1"/>
  <c r="B51" i="17"/>
  <c r="B52" i="17" s="1"/>
  <c r="C38" i="27" s="1"/>
  <c r="B51" i="18"/>
  <c r="B52" i="18" s="1"/>
  <c r="C37" i="27" s="1"/>
  <c r="B51" i="19"/>
  <c r="B52" i="19" s="1"/>
  <c r="C36" i="27" s="1"/>
  <c r="B51" i="21"/>
  <c r="B52" i="21" s="1"/>
  <c r="C34" i="27" s="1"/>
  <c r="B51" i="22"/>
  <c r="B52" i="22" s="1"/>
  <c r="C33" i="27" s="1"/>
  <c r="E52" i="22"/>
  <c r="D33" i="27" s="1"/>
  <c r="F52" i="22"/>
  <c r="H52" i="22"/>
  <c r="E33" i="27" s="1"/>
  <c r="I52" i="22"/>
  <c r="E52" i="18"/>
  <c r="D37" i="27" s="1"/>
  <c r="F51" i="18"/>
  <c r="E52" i="19"/>
  <c r="D36" i="27" s="1"/>
  <c r="F52" i="19"/>
  <c r="H52" i="19"/>
  <c r="E36" i="27" s="1"/>
  <c r="I52" i="19"/>
  <c r="H52" i="20"/>
  <c r="E35" i="27" s="1"/>
  <c r="E52" i="20"/>
  <c r="D35" i="27" s="1"/>
  <c r="F51" i="20"/>
  <c r="E52" i="6"/>
  <c r="D42" i="27" s="1"/>
  <c r="F52" i="6"/>
  <c r="H52" i="6"/>
  <c r="E42" i="27" s="1"/>
  <c r="I52" i="6"/>
  <c r="H52" i="23"/>
  <c r="E40" i="27" s="1"/>
  <c r="I52" i="23"/>
  <c r="E52" i="23"/>
  <c r="D40" i="27" s="1"/>
  <c r="F52" i="23"/>
  <c r="H52" i="17"/>
  <c r="E38" i="27" s="1"/>
  <c r="I49" i="17"/>
  <c r="E52" i="17"/>
  <c r="D38" i="27" s="1"/>
  <c r="F49" i="17"/>
  <c r="H52" i="24"/>
  <c r="E39" i="27" s="1"/>
  <c r="I49" i="24"/>
  <c r="E52" i="24"/>
  <c r="D39" i="27" s="1"/>
  <c r="F49" i="24"/>
  <c r="H52" i="18"/>
  <c r="E37" i="27" s="1"/>
  <c r="I51" i="18"/>
  <c r="N26" i="27"/>
  <c r="AD28" i="27"/>
  <c r="V28" i="27"/>
  <c r="J28" i="27"/>
  <c r="AC28" i="27"/>
  <c r="C27" i="27"/>
  <c r="C13" i="27"/>
  <c r="C17" i="27" s="1"/>
  <c r="C6" i="28" s="1"/>
  <c r="E27" i="27"/>
  <c r="E13" i="27"/>
  <c r="G27" i="27"/>
  <c r="G13" i="27"/>
  <c r="I27" i="27"/>
  <c r="I13" i="27"/>
  <c r="K27" i="27"/>
  <c r="K13" i="27"/>
  <c r="M27" i="27"/>
  <c r="M13" i="27"/>
  <c r="O27" i="27"/>
  <c r="O13" i="27"/>
  <c r="Q27" i="27"/>
  <c r="Q13" i="27"/>
  <c r="S27" i="27"/>
  <c r="S13" i="27"/>
  <c r="U27" i="27"/>
  <c r="U13" i="27"/>
  <c r="W27" i="27"/>
  <c r="W13" i="27"/>
  <c r="AC27" i="27"/>
  <c r="AD27" i="27"/>
  <c r="D27" i="27"/>
  <c r="D13" i="27"/>
  <c r="F27" i="27"/>
  <c r="F13" i="27"/>
  <c r="H27" i="27"/>
  <c r="H13" i="27"/>
  <c r="J27" i="27"/>
  <c r="J13" i="27"/>
  <c r="L27" i="27"/>
  <c r="L13" i="27"/>
  <c r="N27" i="27"/>
  <c r="N13" i="27"/>
  <c r="P27" i="27"/>
  <c r="P13" i="27"/>
  <c r="R27" i="27"/>
  <c r="R13" i="27"/>
  <c r="T27" i="27"/>
  <c r="T13" i="27"/>
  <c r="V27" i="27"/>
  <c r="V13" i="27"/>
  <c r="X27" i="27"/>
  <c r="X13" i="27"/>
  <c r="C26" i="27"/>
  <c r="C30" i="27" l="1"/>
  <c r="C10" i="28" s="1"/>
  <c r="C7" i="28"/>
  <c r="C9" i="28" s="1"/>
  <c r="AB39" i="26" l="1"/>
  <c r="AA39" i="26"/>
  <c r="K39" i="26"/>
  <c r="G39" i="26"/>
  <c r="J39" i="26" l="1"/>
  <c r="D39" i="26"/>
  <c r="AF40" i="26"/>
  <c r="AA41" i="26"/>
  <c r="AB29" i="27" s="1"/>
  <c r="AB15" i="27"/>
  <c r="N39" i="26"/>
  <c r="M39" i="26"/>
  <c r="F39" i="26"/>
  <c r="K41" i="26"/>
  <c r="L29" i="27" s="1"/>
  <c r="L15" i="27"/>
  <c r="H39" i="26"/>
  <c r="AB41" i="26"/>
  <c r="AC29" i="27" s="1"/>
  <c r="AC15" i="27"/>
  <c r="T47" i="26"/>
  <c r="U47" i="26" s="1"/>
  <c r="G41" i="26"/>
  <c r="H29" i="27" s="1"/>
  <c r="H15" i="27"/>
  <c r="E39" i="26"/>
  <c r="I39" i="26"/>
  <c r="AC39" i="26"/>
  <c r="AK39" i="26" l="1"/>
  <c r="AK41" i="26" s="1"/>
  <c r="T49" i="26"/>
  <c r="U49" i="26" s="1"/>
  <c r="E41" i="26"/>
  <c r="F29" i="27" s="1"/>
  <c r="F15" i="27"/>
  <c r="E15" i="27"/>
  <c r="D41" i="26"/>
  <c r="E29" i="27" s="1"/>
  <c r="T46" i="26"/>
  <c r="U46" i="26" s="1"/>
  <c r="N15" i="27"/>
  <c r="N17" i="27" s="1"/>
  <c r="U6" i="28" s="1"/>
  <c r="M41" i="26"/>
  <c r="N29" i="27" s="1"/>
  <c r="N30" i="27" s="1"/>
  <c r="U10" i="28" s="1"/>
  <c r="AH40" i="26"/>
  <c r="AL39" i="26"/>
  <c r="AL41" i="26" s="1"/>
  <c r="T53" i="26"/>
  <c r="U53" i="26" s="1"/>
  <c r="H41" i="26"/>
  <c r="I29" i="27" s="1"/>
  <c r="I15" i="27"/>
  <c r="J41" i="26"/>
  <c r="K29" i="27" s="1"/>
  <c r="K15" i="27"/>
  <c r="T54" i="26"/>
  <c r="U54" i="26" s="1"/>
  <c r="I41" i="26"/>
  <c r="J15" i="27"/>
  <c r="AD15" i="27"/>
  <c r="AC41" i="26"/>
  <c r="AD29" i="27" s="1"/>
  <c r="G15" i="27"/>
  <c r="F41" i="26"/>
  <c r="G29" i="27" s="1"/>
  <c r="D15" i="27"/>
  <c r="C41" i="26"/>
  <c r="N41" i="26"/>
  <c r="O29" i="27" s="1"/>
  <c r="O15" i="27"/>
  <c r="B49" i="26"/>
  <c r="AH15" i="27"/>
  <c r="D29" i="27" l="1"/>
  <c r="J29" i="27"/>
  <c r="AG40" i="26"/>
  <c r="AI40" i="26" s="1"/>
  <c r="W39" i="26"/>
  <c r="X39" i="26"/>
  <c r="V39" i="26"/>
  <c r="Q39" i="26"/>
  <c r="P39" i="26"/>
  <c r="Z39" i="26"/>
  <c r="T39" i="26"/>
  <c r="R39" i="26"/>
  <c r="O39" i="26"/>
  <c r="Y39" i="26"/>
  <c r="U39" i="26"/>
  <c r="S39" i="26"/>
  <c r="U7" i="28"/>
  <c r="E49" i="26"/>
  <c r="AJ15" i="27"/>
  <c r="T51" i="26" l="1"/>
  <c r="U51" i="26" s="1"/>
  <c r="U41" i="26"/>
  <c r="V29" i="27" s="1"/>
  <c r="V15" i="27"/>
  <c r="T41" i="26"/>
  <c r="U29" i="27" s="1"/>
  <c r="U15" i="27"/>
  <c r="V41" i="26"/>
  <c r="W29" i="27" s="1"/>
  <c r="W15" i="27"/>
  <c r="Y41" i="26"/>
  <c r="Z29" i="27" s="1"/>
  <c r="Z15" i="27"/>
  <c r="T55" i="26"/>
  <c r="U55" i="26" s="1"/>
  <c r="Z41" i="26"/>
  <c r="AA29" i="27" s="1"/>
  <c r="AA15" i="27"/>
  <c r="Y15" i="27"/>
  <c r="X41" i="26"/>
  <c r="Y29" i="27" s="1"/>
  <c r="U9" i="28"/>
  <c r="O41" i="26"/>
  <c r="P15" i="27"/>
  <c r="P41" i="26"/>
  <c r="Q15" i="27"/>
  <c r="T45" i="26"/>
  <c r="U45" i="26" s="1"/>
  <c r="X15" i="27"/>
  <c r="W41" i="26"/>
  <c r="X29" i="27" s="1"/>
  <c r="H49" i="26"/>
  <c r="AI15" i="27"/>
  <c r="T15" i="27"/>
  <c r="S41" i="26"/>
  <c r="T29" i="27" s="1"/>
  <c r="T52" i="26"/>
  <c r="U52" i="26" s="1"/>
  <c r="R41" i="26"/>
  <c r="S29" i="27" s="1"/>
  <c r="S15" i="27"/>
  <c r="Q41" i="26"/>
  <c r="R29" i="27" s="1"/>
  <c r="R15" i="27"/>
  <c r="Q29" i="27" l="1"/>
  <c r="E44" i="26"/>
  <c r="P29" i="27"/>
  <c r="H44" i="26"/>
  <c r="B44" i="26"/>
  <c r="H46" i="26"/>
  <c r="E46" i="26"/>
  <c r="AK15" i="27"/>
  <c r="AR39" i="26" l="1"/>
  <c r="AR41" i="26" s="1"/>
  <c r="AQ39" i="26" l="1"/>
  <c r="AQ41" i="26" s="1"/>
  <c r="AN39" i="26" l="1"/>
  <c r="AN41" i="26" s="1"/>
  <c r="AO39" i="26"/>
  <c r="AO41" i="26" s="1"/>
  <c r="AJ39" i="26"/>
  <c r="AJ41" i="26" l="1"/>
  <c r="AM39" i="26" l="1"/>
  <c r="AM41" i="26" l="1"/>
  <c r="AP39" i="26" l="1"/>
  <c r="AS39" i="26"/>
  <c r="AS41" i="26" s="1"/>
  <c r="AP41" i="26" l="1"/>
  <c r="E45" i="26" l="1"/>
  <c r="B45" i="26"/>
  <c r="H45" i="26"/>
  <c r="B51" i="26" l="1"/>
  <c r="B52" i="26" s="1"/>
  <c r="C44" i="27" s="1"/>
  <c r="H51" i="26"/>
  <c r="H52" i="26" s="1"/>
  <c r="E44" i="27" s="1"/>
  <c r="E51" i="26"/>
  <c r="E52" i="26" s="1"/>
  <c r="D44" i="27" s="1"/>
  <c r="AB39" i="16" l="1"/>
  <c r="AB41" i="16" s="1"/>
  <c r="AC26" i="27" s="1"/>
  <c r="AC30" i="27" s="1"/>
  <c r="AD10" i="28" s="1"/>
  <c r="AC12" i="27" l="1"/>
  <c r="AC17" i="27" s="1"/>
  <c r="AA39" i="16"/>
  <c r="AA41" i="16" s="1"/>
  <c r="AB26" i="27" s="1"/>
  <c r="AB30" i="27" s="1"/>
  <c r="H39" i="16"/>
  <c r="H41" i="16" s="1"/>
  <c r="I26" i="27" s="1"/>
  <c r="I30" i="27" s="1"/>
  <c r="I10" i="28" s="1"/>
  <c r="C39" i="16"/>
  <c r="V39" i="16"/>
  <c r="I12" i="27" l="1"/>
  <c r="I17" i="27" s="1"/>
  <c r="I6" i="28" s="1"/>
  <c r="I7" i="28" s="1"/>
  <c r="T53" i="16"/>
  <c r="U53" i="16" s="1"/>
  <c r="AB12" i="27"/>
  <c r="AB17" i="27" s="1"/>
  <c r="AK39" i="16"/>
  <c r="AK41" i="16" s="1"/>
  <c r="AL39" i="16"/>
  <c r="AL41" i="16" s="1"/>
  <c r="P39" i="16"/>
  <c r="Q12" i="27" s="1"/>
  <c r="Q17" i="27" s="1"/>
  <c r="J6" i="28" s="1"/>
  <c r="AE40" i="16"/>
  <c r="AF12" i="27" s="1"/>
  <c r="AF17" i="27" s="1"/>
  <c r="K39" i="16"/>
  <c r="K41" i="16" s="1"/>
  <c r="L26" i="27" s="1"/>
  <c r="L30" i="27" s="1"/>
  <c r="S10" i="28" s="1"/>
  <c r="L39" i="16"/>
  <c r="T48" i="16" s="1"/>
  <c r="U48" i="16" s="1"/>
  <c r="G39" i="16"/>
  <c r="T47" i="16" s="1"/>
  <c r="U47" i="16" s="1"/>
  <c r="F39" i="16"/>
  <c r="F41" i="16" s="1"/>
  <c r="G26" i="27" s="1"/>
  <c r="G30" i="27" s="1"/>
  <c r="G10" i="28" s="1"/>
  <c r="J39" i="16"/>
  <c r="J41" i="16" s="1"/>
  <c r="K26" i="27" s="1"/>
  <c r="K30" i="27" s="1"/>
  <c r="R10" i="28" s="1"/>
  <c r="AF40" i="16"/>
  <c r="B49" i="16" s="1"/>
  <c r="AD40" i="16"/>
  <c r="H50" i="16" s="1"/>
  <c r="D39" i="16"/>
  <c r="E12" i="27" s="1"/>
  <c r="E17" i="27" s="1"/>
  <c r="E6" i="28" s="1"/>
  <c r="E39" i="16"/>
  <c r="N39" i="16"/>
  <c r="O12" i="27" s="1"/>
  <c r="O17" i="27" s="1"/>
  <c r="V6" i="28" s="1"/>
  <c r="X39" i="16"/>
  <c r="X41" i="16" s="1"/>
  <c r="Y26" i="27" s="1"/>
  <c r="Y30" i="27" s="1"/>
  <c r="N10" i="28" s="1"/>
  <c r="Q39" i="16"/>
  <c r="Q41" i="16" s="1"/>
  <c r="R26" i="27" s="1"/>
  <c r="R30" i="27" s="1"/>
  <c r="X10" i="28" s="1"/>
  <c r="U39" i="16"/>
  <c r="U41" i="16" s="1"/>
  <c r="V26" i="27" s="1"/>
  <c r="V30" i="27" s="1"/>
  <c r="Z10" i="28" s="1"/>
  <c r="C41" i="16"/>
  <c r="D12" i="27"/>
  <c r="D17" i="27" s="1"/>
  <c r="D6" i="28" s="1"/>
  <c r="W39" i="16"/>
  <c r="W41" i="16" s="1"/>
  <c r="X26" i="27" s="1"/>
  <c r="X30" i="27" s="1"/>
  <c r="AA10" i="28" s="1"/>
  <c r="O39" i="16"/>
  <c r="O41" i="16" s="1"/>
  <c r="R39" i="16"/>
  <c r="T39" i="16"/>
  <c r="S39" i="16"/>
  <c r="AC39" i="16"/>
  <c r="I39" i="16"/>
  <c r="Y39" i="16"/>
  <c r="Z39" i="16"/>
  <c r="W12" i="27"/>
  <c r="W17" i="27" s="1"/>
  <c r="M6" i="28" s="1"/>
  <c r="V41" i="16"/>
  <c r="W26" i="27" s="1"/>
  <c r="W30" i="27" s="1"/>
  <c r="M10" i="28" s="1"/>
  <c r="AH12" i="27" l="1"/>
  <c r="AH17" i="27" s="1"/>
  <c r="AF6" i="28" s="1"/>
  <c r="D41" i="16"/>
  <c r="E26" i="27" s="1"/>
  <c r="E30" i="27" s="1"/>
  <c r="E10" i="28" s="1"/>
  <c r="G12" i="27"/>
  <c r="G17" i="27" s="1"/>
  <c r="G6" i="28" s="1"/>
  <c r="G7" i="28" s="1"/>
  <c r="N41" i="16"/>
  <c r="O26" i="27" s="1"/>
  <c r="O30" i="27" s="1"/>
  <c r="V10" i="28" s="1"/>
  <c r="P41" i="16"/>
  <c r="Q26" i="27" s="1"/>
  <c r="Q30" i="27" s="1"/>
  <c r="J10" i="28" s="1"/>
  <c r="T49" i="16"/>
  <c r="U49" i="16" s="1"/>
  <c r="R12" i="27"/>
  <c r="R17" i="27" s="1"/>
  <c r="X6" i="28" s="1"/>
  <c r="X7" i="28" s="1"/>
  <c r="L12" i="27"/>
  <c r="L17" i="27" s="1"/>
  <c r="S6" i="28" s="1"/>
  <c r="S7" i="28" s="1"/>
  <c r="V12" i="27"/>
  <c r="V17" i="27" s="1"/>
  <c r="Z6" i="28" s="1"/>
  <c r="Z7" i="28" s="1"/>
  <c r="M12" i="27"/>
  <c r="M17" i="27" s="1"/>
  <c r="T6" i="28" s="1"/>
  <c r="T7" i="28" s="1"/>
  <c r="P12" i="27"/>
  <c r="P17" i="27" s="1"/>
  <c r="W6" i="28" s="1"/>
  <c r="W7" i="28" s="1"/>
  <c r="W9" i="28" s="1"/>
  <c r="E41" i="16"/>
  <c r="F26" i="27" s="1"/>
  <c r="F30" i="27" s="1"/>
  <c r="F10" i="28" s="1"/>
  <c r="Y12" i="27"/>
  <c r="Y17" i="27" s="1"/>
  <c r="N6" i="28" s="1"/>
  <c r="N7" i="28" s="1"/>
  <c r="K12" i="27"/>
  <c r="K17" i="27" s="1"/>
  <c r="R6" i="28" s="1"/>
  <c r="R7" i="28" s="1"/>
  <c r="G41" i="16"/>
  <c r="H26" i="27" s="1"/>
  <c r="H30" i="27" s="1"/>
  <c r="H10" i="28" s="1"/>
  <c r="AE12" i="27"/>
  <c r="AE17" i="27" s="1"/>
  <c r="H12" i="27"/>
  <c r="H17" i="27" s="1"/>
  <c r="H6" i="28" s="1"/>
  <c r="H7" i="28" s="1"/>
  <c r="X12" i="27"/>
  <c r="X17" i="27" s="1"/>
  <c r="AA6" i="28" s="1"/>
  <c r="AA7" i="28" s="1"/>
  <c r="T55" i="16"/>
  <c r="U55" i="16" s="1"/>
  <c r="T46" i="16"/>
  <c r="U46" i="16" s="1"/>
  <c r="F12" i="27"/>
  <c r="F17" i="27" s="1"/>
  <c r="F6" i="28" s="1"/>
  <c r="F7" i="28" s="1"/>
  <c r="F9" i="28" s="1"/>
  <c r="T52" i="16"/>
  <c r="U52" i="16" s="1"/>
  <c r="L41" i="16"/>
  <c r="M26" i="27" s="1"/>
  <c r="M30" i="27" s="1"/>
  <c r="T10" i="28" s="1"/>
  <c r="E50" i="16"/>
  <c r="B50" i="16" s="1"/>
  <c r="AG40" i="16"/>
  <c r="AI12" i="27" s="1"/>
  <c r="AI17" i="27" s="1"/>
  <c r="AH40" i="16"/>
  <c r="AJ12" i="27" s="1"/>
  <c r="AJ17" i="27" s="1"/>
  <c r="AH6" i="28" s="1"/>
  <c r="T51" i="16"/>
  <c r="U51" i="16" s="1"/>
  <c r="D26" i="27"/>
  <c r="D30" i="27" s="1"/>
  <c r="D10" i="28" s="1"/>
  <c r="T45" i="16"/>
  <c r="U45" i="16" s="1"/>
  <c r="D7" i="28"/>
  <c r="R41" i="16"/>
  <c r="S26" i="27" s="1"/>
  <c r="S30" i="27" s="1"/>
  <c r="K16" i="28" s="1"/>
  <c r="S12" i="27"/>
  <c r="S17" i="27" s="1"/>
  <c r="K6" i="28" s="1"/>
  <c r="P26" i="27"/>
  <c r="P30" i="27" s="1"/>
  <c r="W10" i="28" s="1"/>
  <c r="M7" i="28"/>
  <c r="I9" i="28"/>
  <c r="V7" i="28"/>
  <c r="E7" i="28"/>
  <c r="AA12" i="27"/>
  <c r="AA17" i="27" s="1"/>
  <c r="O6" i="28" s="1"/>
  <c r="Z41" i="16"/>
  <c r="AA26" i="27" s="1"/>
  <c r="AA30" i="27" s="1"/>
  <c r="O10" i="28" s="1"/>
  <c r="Y41" i="16"/>
  <c r="Z26" i="27" s="1"/>
  <c r="Z30" i="27" s="1"/>
  <c r="AB10" i="28" s="1"/>
  <c r="Z12" i="27"/>
  <c r="Z17" i="27" s="1"/>
  <c r="AB6" i="28" s="1"/>
  <c r="I41" i="16"/>
  <c r="J26" i="27" s="1"/>
  <c r="J30" i="27" s="1"/>
  <c r="Q10" i="28" s="1"/>
  <c r="T54" i="16"/>
  <c r="U54" i="16" s="1"/>
  <c r="J12" i="27"/>
  <c r="J17" i="27" s="1"/>
  <c r="Q6" i="28" s="1"/>
  <c r="AC41" i="16"/>
  <c r="AD26" i="27" s="1"/>
  <c r="AD30" i="27" s="1"/>
  <c r="AE10" i="28" s="1"/>
  <c r="AD12" i="27"/>
  <c r="AD17" i="27" s="1"/>
  <c r="T12" i="27"/>
  <c r="T17" i="27" s="1"/>
  <c r="Y6" i="28" s="1"/>
  <c r="S41" i="16"/>
  <c r="T26" i="27" s="1"/>
  <c r="T30" i="27" s="1"/>
  <c r="Y16" i="28" s="1"/>
  <c r="T41" i="16"/>
  <c r="U26" i="27" s="1"/>
  <c r="U30" i="27" s="1"/>
  <c r="L16" i="28" s="1"/>
  <c r="U12" i="27"/>
  <c r="U17" i="27" s="1"/>
  <c r="L6" i="28" s="1"/>
  <c r="D58" i="27"/>
  <c r="D51" i="27"/>
  <c r="D49" i="27"/>
  <c r="J7" i="28"/>
  <c r="H49" i="16" l="1"/>
  <c r="D50" i="27"/>
  <c r="E44" i="16"/>
  <c r="D48" i="27" s="1"/>
  <c r="AG12" i="27"/>
  <c r="AG17" i="27" s="1"/>
  <c r="C58" i="27" s="1"/>
  <c r="I14" i="28"/>
  <c r="E14" i="28"/>
  <c r="H14" i="28"/>
  <c r="F14" i="28"/>
  <c r="G14" i="28"/>
  <c r="I8" i="28"/>
  <c r="I15" i="28" s="1"/>
  <c r="I16" i="28" s="1"/>
  <c r="E29" i="28" s="1"/>
  <c r="J14" i="28"/>
  <c r="E49" i="16"/>
  <c r="AI40" i="16"/>
  <c r="E46" i="16" s="1"/>
  <c r="D52" i="27" s="1"/>
  <c r="M14" i="28"/>
  <c r="N14" i="28"/>
  <c r="D14" i="28"/>
  <c r="B44" i="16"/>
  <c r="H44" i="16"/>
  <c r="K7" i="28"/>
  <c r="K14" i="28"/>
  <c r="D8" i="28"/>
  <c r="D15" i="28" s="1"/>
  <c r="D9" i="28"/>
  <c r="J8" i="28"/>
  <c r="J15" i="28" s="1"/>
  <c r="J9" i="28"/>
  <c r="S9" i="28"/>
  <c r="T9" i="28"/>
  <c r="H9" i="28"/>
  <c r="H8" i="28"/>
  <c r="H15" i="28" s="1"/>
  <c r="G9" i="28"/>
  <c r="G8" i="28"/>
  <c r="G15" i="28" s="1"/>
  <c r="L7" i="28"/>
  <c r="L14" i="28"/>
  <c r="Y7" i="28"/>
  <c r="R9" i="28"/>
  <c r="Q7" i="28"/>
  <c r="AB7" i="28"/>
  <c r="O7" i="28"/>
  <c r="O14" i="28"/>
  <c r="E58" i="27"/>
  <c r="E51" i="27"/>
  <c r="E49" i="27"/>
  <c r="E9" i="28"/>
  <c r="E8" i="28"/>
  <c r="E15" i="28" s="1"/>
  <c r="V9" i="28"/>
  <c r="M9" i="28"/>
  <c r="M8" i="28"/>
  <c r="M15" i="28" s="1"/>
  <c r="Z9" i="28"/>
  <c r="AA9" i="28"/>
  <c r="N8" i="28"/>
  <c r="N15" i="28" s="1"/>
  <c r="N9" i="28"/>
  <c r="X9" i="28"/>
  <c r="F8" i="28"/>
  <c r="F15" i="28" s="1"/>
  <c r="C8" i="28"/>
  <c r="C15" i="28" s="1"/>
  <c r="C14" i="28"/>
  <c r="AK17" i="27"/>
  <c r="AI6" i="28" s="1"/>
  <c r="AG6" i="28"/>
  <c r="T8" i="28" s="1"/>
  <c r="T15" i="28" s="1"/>
  <c r="C29" i="28" l="1"/>
  <c r="G29" i="28" s="1"/>
  <c r="J29" i="28" s="1"/>
  <c r="M29" i="28" s="1"/>
  <c r="O29" i="28" s="1"/>
  <c r="I51" i="16"/>
  <c r="E48" i="27"/>
  <c r="F51" i="16"/>
  <c r="C49" i="27"/>
  <c r="C51" i="27"/>
  <c r="AK12" i="27"/>
  <c r="H46" i="16"/>
  <c r="E52" i="27" s="1"/>
  <c r="C52" i="27"/>
  <c r="AA8" i="28"/>
  <c r="AA15" i="28" s="1"/>
  <c r="AA16" i="28" s="1"/>
  <c r="V8" i="28"/>
  <c r="V15" i="28" s="1"/>
  <c r="V16" i="28" s="1"/>
  <c r="E50" i="27"/>
  <c r="Q14" i="28"/>
  <c r="Y14" i="28"/>
  <c r="R14" i="28"/>
  <c r="S14" i="28"/>
  <c r="AA14" i="28"/>
  <c r="T14" i="28"/>
  <c r="X14" i="28"/>
  <c r="W8" i="28"/>
  <c r="W15" i="28" s="1"/>
  <c r="Z14" i="28"/>
  <c r="V14" i="28"/>
  <c r="AB14" i="28"/>
  <c r="R8" i="28"/>
  <c r="R15" i="28" s="1"/>
  <c r="R16" i="28" s="1"/>
  <c r="S8" i="28"/>
  <c r="S15" i="28" s="1"/>
  <c r="S16" i="28" s="1"/>
  <c r="D16" i="28"/>
  <c r="P10" i="28"/>
  <c r="AC6" i="28"/>
  <c r="P6" i="28"/>
  <c r="AC10" i="28"/>
  <c r="J11" i="28" s="1"/>
  <c r="X8" i="28"/>
  <c r="X15" i="28" s="1"/>
  <c r="Z8" i="28"/>
  <c r="Z15" i="28" s="1"/>
  <c r="Z16" i="28" s="1"/>
  <c r="K8" i="28"/>
  <c r="K15" i="28" s="1"/>
  <c r="K9" i="28"/>
  <c r="C48" i="27"/>
  <c r="C49" i="16"/>
  <c r="W14" i="28"/>
  <c r="H18" i="28"/>
  <c r="X18" i="28" s="1"/>
  <c r="AE18" i="28" s="1"/>
  <c r="AD14" i="28"/>
  <c r="AE14" i="28"/>
  <c r="AE15" i="28" s="1"/>
  <c r="AE16" i="28" s="1"/>
  <c r="U8" i="28"/>
  <c r="U15" i="28" s="1"/>
  <c r="U16" i="28" s="1"/>
  <c r="AD8" i="28"/>
  <c r="AD15" i="28" s="1"/>
  <c r="AD16" i="28" s="1"/>
  <c r="R11" i="28"/>
  <c r="U14" i="28"/>
  <c r="C16" i="28"/>
  <c r="F16" i="28"/>
  <c r="N16" i="28"/>
  <c r="M16" i="28"/>
  <c r="E16" i="28"/>
  <c r="O9" i="28"/>
  <c r="O8" i="28"/>
  <c r="O15" i="28" s="1"/>
  <c r="O16" i="28" s="1"/>
  <c r="AB8" i="28"/>
  <c r="AB15" i="28" s="1"/>
  <c r="AB16" i="28" s="1"/>
  <c r="AB9" i="28"/>
  <c r="Q9" i="28"/>
  <c r="Q8" i="28"/>
  <c r="Q15" i="28" s="1"/>
  <c r="Q16" i="28" s="1"/>
  <c r="Y8" i="28"/>
  <c r="Y15" i="28" s="1"/>
  <c r="Y9" i="28"/>
  <c r="L9" i="28"/>
  <c r="L8" i="28"/>
  <c r="L15" i="28" s="1"/>
  <c r="G16" i="28"/>
  <c r="H16" i="28"/>
  <c r="E24" i="28" s="1"/>
  <c r="C24" i="28"/>
  <c r="G24" i="28" s="1"/>
  <c r="J24" i="28" s="1"/>
  <c r="M24" i="28" s="1"/>
  <c r="O24" i="28" s="1"/>
  <c r="T16" i="28"/>
  <c r="E25" i="28" s="1"/>
  <c r="C25" i="28"/>
  <c r="G25" i="28" s="1"/>
  <c r="J25" i="28" s="1"/>
  <c r="E22" i="28" l="1"/>
  <c r="C50" i="27"/>
  <c r="C26" i="28"/>
  <c r="G26" i="28" s="1"/>
  <c r="J26" i="28" s="1"/>
  <c r="M26" i="28" s="1"/>
  <c r="O26" i="28" s="1"/>
  <c r="C23" i="28"/>
  <c r="G23" i="28" s="1"/>
  <c r="J23" i="28" s="1"/>
  <c r="M23" i="28" s="1"/>
  <c r="O23" i="28" s="1"/>
  <c r="C22" i="28"/>
  <c r="G22" i="28" s="1"/>
  <c r="J22" i="28" s="1"/>
  <c r="M22" i="28" s="1"/>
  <c r="O22" i="28" s="1"/>
  <c r="C27" i="28"/>
  <c r="G27" i="28" s="1"/>
  <c r="J27" i="28" s="1"/>
  <c r="M27" i="28" s="1"/>
  <c r="O27" i="28" s="1"/>
  <c r="C28" i="28"/>
  <c r="G28" i="28" s="1"/>
  <c r="J28" i="28" s="1"/>
  <c r="M28" i="28" s="1"/>
  <c r="O28" i="28" s="1"/>
  <c r="J17" i="28"/>
  <c r="E31" i="28"/>
  <c r="E26" i="28"/>
  <c r="E23" i="28"/>
  <c r="P14" i="28"/>
  <c r="P7" i="28"/>
  <c r="E27" i="28"/>
  <c r="F11" i="28"/>
  <c r="M11" i="28"/>
  <c r="E28" i="28"/>
  <c r="AC14" i="28"/>
  <c r="AC7" i="28"/>
  <c r="C31" i="28"/>
  <c r="G31" i="28" s="1"/>
  <c r="J31" i="28" s="1"/>
  <c r="M31" i="28" s="1"/>
  <c r="O31" i="28" s="1"/>
  <c r="C30" i="28"/>
  <c r="G30" i="28" s="1"/>
  <c r="J30" i="28" s="1"/>
  <c r="M30" i="28" s="1"/>
  <c r="O30" i="28" s="1"/>
  <c r="O25" i="28"/>
  <c r="M25" i="28"/>
  <c r="E30" i="28"/>
  <c r="F17" i="28"/>
  <c r="M17" i="28"/>
  <c r="P8" i="28" l="1"/>
  <c r="P15" i="28" s="1"/>
  <c r="P9" i="28"/>
  <c r="AC9" i="28"/>
  <c r="AC8" i="28"/>
  <c r="AC15" i="28" s="1"/>
  <c r="AR39" i="16" l="1"/>
  <c r="AR41" i="16" s="1"/>
  <c r="AQ39" i="16" l="1"/>
  <c r="AQ41" i="16" s="1"/>
  <c r="AJ39" i="16" l="1"/>
  <c r="AJ41" i="16" s="1"/>
  <c r="AO39" i="16"/>
  <c r="AO41" i="16" s="1"/>
  <c r="AN39" i="16"/>
  <c r="AN41" i="16" s="1"/>
  <c r="AM39" i="16" l="1"/>
  <c r="AM41" i="16" s="1"/>
  <c r="AP39" i="16" l="1"/>
  <c r="AP41" i="16" s="1"/>
  <c r="AS39" i="16"/>
  <c r="AS41" i="16" s="1"/>
  <c r="C54" i="27" l="1"/>
  <c r="C55" i="27" s="1"/>
  <c r="E45" i="16"/>
  <c r="B45" i="16"/>
  <c r="H45" i="16"/>
  <c r="B51" i="16" l="1"/>
  <c r="B52" i="16" s="1"/>
  <c r="C41" i="27" s="1"/>
  <c r="C45" i="27" s="1"/>
  <c r="C45" i="16"/>
  <c r="C53" i="27"/>
  <c r="C56" i="27" s="1"/>
  <c r="C57" i="27" s="1"/>
  <c r="E51" i="16"/>
  <c r="E52" i="16" s="1"/>
  <c r="D41" i="27" s="1"/>
  <c r="D45" i="27" s="1"/>
  <c r="D54" i="27"/>
  <c r="D53" i="27"/>
  <c r="D56" i="27" s="1"/>
  <c r="D57" i="27" s="1"/>
  <c r="E53" i="27"/>
  <c r="E56" i="27" s="1"/>
  <c r="E57" i="27" s="1"/>
  <c r="H51" i="16"/>
  <c r="H52" i="16" s="1"/>
  <c r="E41" i="27" s="1"/>
  <c r="E45" i="27" s="1"/>
  <c r="D55" i="27" l="1"/>
  <c r="E54" i="27"/>
  <c r="E55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5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B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B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B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B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B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B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B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B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B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B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B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B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B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B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B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B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B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B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B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B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B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B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B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B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B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B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B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B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C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C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C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C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C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C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C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C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C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C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C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C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C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C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C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C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C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C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C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C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C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C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C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C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C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C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C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C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C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C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C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C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C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C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C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D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D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D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D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D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D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D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D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D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D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D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D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D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D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D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D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D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D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D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D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D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D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D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D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D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D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D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D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D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D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D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D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D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D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D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E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E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E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E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E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E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E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E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E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E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E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E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E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E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E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E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E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E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E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E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E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E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E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E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E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E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E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E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E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E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E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E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E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E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E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F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F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F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F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F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F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F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F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F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F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F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F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F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F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F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F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F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F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F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F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F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F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F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F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F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F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F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F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F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F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F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F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F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F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Conte, Chris</author>
  </authors>
  <commentList>
    <comment ref="AD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V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Pricing changed to Liquid Lb in 2016 from Liquid Gal.</t>
        </r>
      </text>
    </comment>
    <comment ref="L23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U31" authorId="1" shapeId="0" xr:uid="{55E3BF21-3AFE-4349-8A39-4D7F8127C91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Multiply price per liquid pound by 0.5 for price per dry pound.</t>
        </r>
      </text>
    </comment>
    <comment ref="V31" authorId="1" shapeId="0" xr:uid="{9CED969E-A428-4E09-80E6-F48C84A56B81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Industrial Chemical Corp price per liquid pound beginning 01/01/2020</t>
        </r>
      </text>
    </comment>
    <comment ref="W31" authorId="1" shapeId="0" xr:uid="{C8E75BBC-BB67-4C4C-A42F-44D74DFDE07B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DPC price per dry pound beginning 4/1/2020
</t>
        </r>
      </text>
    </comment>
    <comment ref="X31" authorId="1" shapeId="0" xr:uid="{4480B57B-9BB6-4852-91B1-058F68A89C5D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DPC price per dry pound beginning 7/1/2020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4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4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4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4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4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4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4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4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4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4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4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4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4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4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5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5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5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5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5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5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5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5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5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5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5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5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5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5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6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6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6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6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6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6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6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6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6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6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6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6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6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6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6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6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6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6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6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6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6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6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6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6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6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6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6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6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7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7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7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7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7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7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7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7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7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7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7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7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7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7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7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7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7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7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7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7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7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7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7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7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7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7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7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8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8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8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8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8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8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8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8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8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8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8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8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8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8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8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8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8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8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  <author>Linder, Kevin</author>
  </authors>
  <commentList>
    <comment ref="B40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9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9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9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9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9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9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9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9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9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9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9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9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9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9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9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9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9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9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9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9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9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9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9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9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9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9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9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9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  <comment ref="AN42" authorId="1" shapeId="0" xr:uid="{00000000-0006-0000-0900-000025000000}">
      <text>
        <r>
          <rPr>
            <b/>
            <sz val="9"/>
            <color indexed="81"/>
            <rFont val="Tahoma"/>
            <family val="2"/>
          </rPr>
          <t>Linder, Kevin: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A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A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A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A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A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A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A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A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A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A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A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A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A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A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A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A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A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A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A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A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A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A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A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A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A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A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A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A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<sst xmlns="http://schemas.openxmlformats.org/spreadsheetml/2006/main" count="2325" uniqueCount="235">
  <si>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</si>
  <si>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</si>
  <si>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</si>
  <si>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</si>
  <si>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</si>
  <si>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</si>
  <si>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</si>
  <si>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</si>
  <si>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</si>
  <si>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</si>
  <si>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</si>
  <si>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</si>
  <si>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</si>
  <si>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</si>
  <si>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</si>
  <si>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</si>
  <si>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</si>
  <si>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</si>
  <si>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</si>
  <si>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</si>
  <si>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</si>
  <si>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</si>
  <si>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</si>
  <si>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</si>
  <si>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</si>
  <si>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</si>
  <si>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</si>
  <si>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</si>
  <si>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</si>
  <si>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</si>
  <si>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</si>
  <si>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</si>
  <si>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</si>
  <si>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</si>
  <si>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</si>
  <si>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</si>
  <si>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</si>
  <si>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</si>
  <si>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</si>
  <si>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</si>
  <si>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</si>
  <si>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</si>
  <si>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</si>
  <si>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</si>
  <si>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</si>
  <si>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</si>
  <si>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</si>
  <si>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</si>
  <si>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</si>
  <si>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</si>
  <si>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</si>
  <si>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</si>
  <si>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</si>
  <si>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</si>
  <si>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</si>
  <si>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</si>
  <si>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</si>
  <si>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</si>
  <si>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</si>
  <si>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</si>
  <si>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</si>
  <si>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</si>
  <si>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</si>
  <si>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</si>
  <si>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</si>
  <si>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</si>
  <si>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</si>
  <si>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</si>
  <si>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</si>
  <si>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</si>
  <si>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</si>
  <si>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</si>
  <si>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</si>
  <si>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</si>
  <si>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</si>
  <si>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</si>
  <si>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</si>
  <si>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</si>
  <si>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</si>
  <si>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</si>
  <si>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</si>
  <si>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</si>
  <si>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</si>
  <si>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</si>
  <si>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</si>
  <si>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</si>
  <si>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</si>
  <si>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</si>
  <si>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</si>
  <si>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</si>
  <si>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</si>
  <si>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</si>
  <si>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</si>
  <si>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</si>
  <si>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</si>
  <si>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</si>
  <si>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</si>
  <si>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</si>
  <si>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</si>
  <si>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</si>
  <si>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</si>
  <si>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</si>
  <si>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</si>
  <si>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</si>
  <si>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</si>
  <si>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</si>
  <si>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</si>
  <si>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</si>
  <si>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</si>
  <si>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</si>
  <si>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</si>
  <si>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</si>
  <si>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</si>
  <si>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</si>
  <si>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</si>
  <si>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</si>
  <si>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</si>
  <si>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</si>
  <si>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</si>
  <si>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</si>
  <si>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</si>
  <si>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</si>
  <si>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</si>
  <si>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</si>
  <si>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</si>
  <si>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</si>
  <si>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</si>
  <si>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</si>
  <si>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</si>
  <si>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</si>
  <si>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</si>
  <si>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</si>
  <si>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</si>
  <si>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</si>
  <si>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</si>
  <si>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</si>
  <si>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</si>
  <si>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</si>
  <si>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</si>
  <si>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</si>
  <si>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</si>
  <si>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</si>
  <si>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</si>
  <si>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</si>
  <si>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</si>
  <si>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</si>
  <si>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</si>
  <si>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</si>
  <si>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</si>
  <si>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</si>
  <si>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</si>
  <si>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</si>
  <si>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</si>
  <si>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</si>
  <si>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</si>
  <si>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</si>
  <si>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</si>
  <si>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</si>
  <si>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</si>
  <si>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</si>
  <si>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</si>
  <si>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</si>
  <si>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</si>
  <si>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</si>
  <si>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</si>
  <si>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</si>
  <si>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</si>
  <si>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</si>
  <si>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</si>
  <si>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</si>
  <si>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</si>
  <si>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</si>
  <si>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</si>
  <si>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</si>
  <si>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</si>
  <si>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</si>
  <si>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</si>
  <si>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</si>
  <si>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</si>
  <si>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</si>
  <si>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</si>
  <si>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</si>
  <si>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</si>
  <si>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</si>
  <si>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</si>
  <si>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</si>
  <si>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</si>
  <si>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</si>
  <si>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</si>
  <si>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</si>
  <si>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</si>
  <si>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</si>
  <si>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</si>
  <si>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</si>
  <si>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</si>
  <si>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</si>
  <si>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</si>
  <si>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</si>
  <si>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</si>
  <si>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</si>
  <si>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</si>
  <si>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</si>
  <si>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</si>
  <si>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</si>
  <si>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</si>
  <si>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</si>
  <si>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</si>
  <si>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</si>
  <si>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</si>
  <si>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</si>
  <si>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</si>
  <si>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</si>
  <si>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</si>
  <si>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</si>
  <si>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</si>
  <si>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</si>
  <si>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</si>
  <si>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</si>
  <si>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</si>
  <si>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</si>
  <si>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</si>
  <si>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RWSP Flow to Process</t>
  </si>
  <si>
    <t>RWAR Flow to Process</t>
  </si>
  <si>
    <t>Total Treated (MG)</t>
  </si>
  <si>
    <t>RWSP to Process (MG)</t>
  </si>
  <si>
    <t>RWAR to Process (MG)</t>
  </si>
  <si>
    <t>RWSP to Process</t>
  </si>
  <si>
    <t>RWAR to Process</t>
  </si>
  <si>
    <t xml:space="preserve">RWAR to Process </t>
  </si>
  <si>
    <t>Raw Flow To Process</t>
  </si>
  <si>
    <t>RWAR To Process</t>
  </si>
  <si>
    <t>RWSP To Process</t>
  </si>
  <si>
    <t>2018 YTD Finished Delivered Flows (MG) &amp; Ratios</t>
  </si>
  <si>
    <t>2018 YTD Treated Raw Water Flows (MG)</t>
  </si>
  <si>
    <t>Total Binney WPF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</si>
</sst>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[$-409]mmmm\-yy;@"/>
    <numFmt numFmtId="172" formatCode="m/d/yyyy;@"/>
    <numFmt numFmtId="173" formatCode="&quot;$&quot;#,##0.0000"/>
    <numFmt numFmtId="174" formatCode="&quot;$&quot;#,##0.00000"/>
  </numFmts>
  <fonts count="2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7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rgb="FF00B050"/>
      </left>
      <right/>
      <top style="thick">
        <color rgb="FF00B050"/>
      </top>
      <bottom style="thin">
        <color indexed="64"/>
      </bottom>
      <diagonal/>
    </border>
    <border>
      <left style="thin">
        <color indexed="64"/>
      </left>
      <right/>
      <top style="thick">
        <color rgb="FF00B050"/>
      </top>
      <bottom style="thin">
        <color indexed="64"/>
      </bottom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22" fillId="0" borderId="0"/>
    <xf numFmtId="43" fontId="23" fillId="0" borderId="0" applyFont="0" applyFill="0" applyBorder="0" applyAlignment="0" applyProtection="0"/>
    <xf numFmtId="0" fontId="25" fillId="0" borderId="0"/>
  </cellStyleXfs>
  <cellXfs count="677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2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48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4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0" fontId="0" fillId="0" borderId="154" xfId="0" applyBorder="1" applyAlignment="1">
      <alignment horizontal="center" vertical="center" wrapText="1"/>
    </xf>
    <xf numFmtId="165" fontId="0" fillId="0" borderId="155" xfId="0" applyNumberFormat="1" applyBorder="1" applyAlignment="1">
      <alignment horizontal="center"/>
    </xf>
    <xf numFmtId="165" fontId="0" fillId="0" borderId="156" xfId="0" applyNumberFormat="1" applyBorder="1" applyAlignment="1">
      <alignment horizontal="center"/>
    </xf>
    <xf numFmtId="165" fontId="0" fillId="0" borderId="157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48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4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0" xfId="0" applyNumberFormat="1" applyFill="1" applyBorder="1" applyAlignment="1">
      <alignment horizontal="center"/>
    </xf>
    <xf numFmtId="0" fontId="0" fillId="27" borderId="148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1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5" fontId="0" fillId="24" borderId="165" xfId="0" applyNumberFormat="1" applyFill="1" applyBorder="1" applyAlignment="1">
      <alignment horizontal="center"/>
    </xf>
    <xf numFmtId="165" fontId="0" fillId="24" borderId="166" xfId="0" applyNumberFormat="1" applyFill="1" applyBorder="1" applyAlignment="1">
      <alignment horizontal="center"/>
    </xf>
    <xf numFmtId="165" fontId="0" fillId="24" borderId="167" xfId="0" applyNumberFormat="1" applyFill="1" applyBorder="1" applyAlignment="1">
      <alignment horizontal="center"/>
    </xf>
    <xf numFmtId="165" fontId="0" fillId="24" borderId="37" xfId="0" applyNumberFormat="1" applyFill="1" applyBorder="1" applyAlignment="1">
      <alignment horizontal="center"/>
    </xf>
    <xf numFmtId="165" fontId="4" fillId="0" borderId="0" xfId="0" applyNumberFormat="1" applyFont="1" applyBorder="1"/>
    <xf numFmtId="2" fontId="0" fillId="0" borderId="22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/>
    </xf>
    <xf numFmtId="2" fontId="0" fillId="0" borderId="43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/>
    </xf>
    <xf numFmtId="2" fontId="21" fillId="0" borderId="22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/>
    </xf>
    <xf numFmtId="2" fontId="21" fillId="0" borderId="23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 vertical="center"/>
    </xf>
    <xf numFmtId="2" fontId="21" fillId="0" borderId="43" xfId="0" applyNumberFormat="1" applyFont="1" applyFill="1" applyBorder="1" applyAlignment="1" applyProtection="1">
      <alignment horizontal="center"/>
    </xf>
    <xf numFmtId="2" fontId="21" fillId="0" borderId="43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/>
    </xf>
    <xf numFmtId="2" fontId="0" fillId="0" borderId="15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Border="1" applyAlignment="1" applyProtection="1">
      <alignment horizontal="center" vertical="center"/>
      <protection locked="0"/>
    </xf>
    <xf numFmtId="2" fontId="0" fillId="0" borderId="158" xfId="0" applyNumberFormat="1" applyBorder="1" applyAlignment="1" applyProtection="1">
      <alignment horizontal="center" vertical="center"/>
      <protection locked="0"/>
    </xf>
    <xf numFmtId="2" fontId="0" fillId="0" borderId="151" xfId="0" applyNumberFormat="1" applyBorder="1" applyAlignment="1" applyProtection="1">
      <alignment horizontal="center" vertical="center"/>
      <protection locked="0"/>
    </xf>
    <xf numFmtId="2" fontId="0" fillId="0" borderId="170" xfId="0" applyNumberFormat="1" applyBorder="1" applyAlignment="1" applyProtection="1">
      <alignment horizontal="center" vertical="center"/>
      <protection locked="0"/>
    </xf>
    <xf numFmtId="2" fontId="0" fillId="0" borderId="45" xfId="0" applyNumberFormat="1" applyBorder="1" applyAlignment="1" applyProtection="1">
      <alignment horizontal="center" vertical="center"/>
      <protection locked="0"/>
    </xf>
    <xf numFmtId="2" fontId="0" fillId="0" borderId="130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Fill="1" applyBorder="1" applyAlignment="1" applyProtection="1">
      <alignment horizontal="center" vertical="center"/>
      <protection locked="0"/>
    </xf>
    <xf numFmtId="2" fontId="0" fillId="0" borderId="37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Fill="1" applyBorder="1" applyAlignment="1" applyProtection="1">
      <alignment horizontal="center" vertical="center"/>
      <protection locked="0"/>
    </xf>
    <xf numFmtId="2" fontId="0" fillId="0" borderId="151" xfId="0" applyNumberFormat="1" applyFill="1" applyBorder="1" applyAlignment="1" applyProtection="1">
      <alignment horizontal="center" vertical="center"/>
      <protection locked="0"/>
    </xf>
    <xf numFmtId="2" fontId="0" fillId="0" borderId="170" xfId="0" applyNumberFormat="1" applyFill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45" xfId="0" applyFill="1" applyBorder="1" applyAlignment="1">
      <alignment horizontal="center" vertical="center"/>
    </xf>
    <xf numFmtId="0" fontId="9" fillId="2" borderId="54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 vertical="center"/>
    </xf>
    <xf numFmtId="14" fontId="0" fillId="0" borderId="0" xfId="0" applyNumberFormat="1"/>
    <xf numFmtId="164" fontId="4" fillId="14" borderId="94" xfId="0" applyNumberFormat="1" applyFont="1" applyFill="1" applyBorder="1" applyAlignment="1">
      <alignment horizontal="center" vertical="center" textRotation="90"/>
    </xf>
    <xf numFmtId="4" fontId="0" fillId="27" borderId="163" xfId="0" applyNumberFormat="1" applyFill="1" applyBorder="1" applyAlignment="1">
      <alignment horizontal="center"/>
    </xf>
    <xf numFmtId="4" fontId="0" fillId="27" borderId="164" xfId="0" applyNumberFormat="1" applyFill="1" applyBorder="1" applyAlignment="1">
      <alignment horizontal="center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4" fontId="24" fillId="0" borderId="0" xfId="1" applyNumberFormat="1" applyFont="1" applyFill="1" applyBorder="1" applyAlignment="1">
      <alignment horizontal="center"/>
    </xf>
    <xf numFmtId="2" fontId="0" fillId="0" borderId="22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43" xfId="0" applyNumberFormat="1" applyBorder="1" applyAlignment="1" applyProtection="1">
      <alignment horizontal="center"/>
      <protection locked="0"/>
    </xf>
    <xf numFmtId="2" fontId="0" fillId="0" borderId="17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" fontId="4" fillId="5" borderId="22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4" fontId="4" fillId="5" borderId="23" xfId="0" applyNumberFormat="1" applyFont="1" applyFill="1" applyBorder="1" applyAlignment="1">
      <alignment horizontal="center" vertical="center"/>
    </xf>
    <xf numFmtId="4" fontId="4" fillId="5" borderId="22" xfId="0" applyNumberFormat="1" applyFont="1" applyFill="1" applyBorder="1" applyAlignment="1">
      <alignment horizontal="center"/>
    </xf>
    <xf numFmtId="4" fontId="4" fillId="5" borderId="4" xfId="0" applyNumberFormat="1" applyFont="1" applyFill="1" applyBorder="1" applyAlignment="1">
      <alignment horizontal="center"/>
    </xf>
    <xf numFmtId="4" fontId="4" fillId="5" borderId="40" xfId="0" applyNumberFormat="1" applyFont="1" applyFill="1" applyBorder="1" applyAlignment="1">
      <alignment horizontal="center"/>
    </xf>
    <xf numFmtId="4" fontId="4" fillId="5" borderId="23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4" fillId="7" borderId="4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 applyProtection="1">
      <alignment horizontal="center" vertical="center"/>
      <protection locked="0"/>
    </xf>
    <xf numFmtId="2" fontId="0" fillId="0" borderId="34" xfId="0" applyNumberFormat="1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center" vertical="center"/>
      <protection locked="0"/>
    </xf>
    <xf numFmtId="2" fontId="0" fillId="0" borderId="172" xfId="0" applyNumberFormat="1" applyBorder="1" applyAlignment="1" applyProtection="1">
      <alignment horizontal="center" vertical="center"/>
      <protection locked="0"/>
    </xf>
    <xf numFmtId="2" fontId="0" fillId="0" borderId="34" xfId="0" applyNumberFormat="1" applyFill="1" applyBorder="1" applyAlignment="1" applyProtection="1">
      <alignment horizontal="center" vertical="center"/>
      <protection locked="0"/>
    </xf>
    <xf numFmtId="2" fontId="0" fillId="0" borderId="38" xfId="0" applyNumberFormat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center" vertical="center"/>
      <protection locked="0"/>
    </xf>
    <xf numFmtId="2" fontId="0" fillId="0" borderId="63" xfId="0" applyNumberFormat="1" applyBorder="1" applyAlignment="1" applyProtection="1">
      <alignment horizontal="center" vertical="center"/>
      <protection locked="0"/>
    </xf>
    <xf numFmtId="2" fontId="0" fillId="0" borderId="65" xfId="0" applyNumberFormat="1" applyBorder="1" applyAlignment="1" applyProtection="1">
      <alignment horizontal="center" vertical="center"/>
      <protection locked="0"/>
    </xf>
    <xf numFmtId="2" fontId="0" fillId="0" borderId="44" xfId="0" applyNumberFormat="1" applyFill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>
      <alignment horizontal="center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47" xfId="0" applyNumberFormat="1" applyBorder="1" applyAlignment="1" applyProtection="1">
      <alignment horizontal="center" vertical="center"/>
      <protection locked="0"/>
    </xf>
    <xf numFmtId="2" fontId="0" fillId="0" borderId="76" xfId="0" applyNumberFormat="1" applyBorder="1" applyAlignment="1" applyProtection="1">
      <alignment horizontal="center" vertical="center"/>
      <protection locked="0"/>
    </xf>
    <xf numFmtId="2" fontId="0" fillId="0" borderId="173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0" borderId="42" xfId="0" applyBorder="1" applyAlignment="1">
      <alignment horizontal="center"/>
    </xf>
    <xf numFmtId="172" fontId="0" fillId="0" borderId="96" xfId="0" applyNumberFormat="1" applyFill="1" applyBorder="1" applyAlignment="1" applyProtection="1">
      <alignment horizontal="right"/>
    </xf>
    <xf numFmtId="172" fontId="0" fillId="0" borderId="0" xfId="0" applyNumberFormat="1" applyAlignment="1">
      <alignment horizontal="right" vertical="center"/>
    </xf>
    <xf numFmtId="173" fontId="0" fillId="24" borderId="140" xfId="0" applyNumberFormat="1" applyFill="1" applyBorder="1" applyAlignment="1">
      <alignment horizontal="center"/>
    </xf>
    <xf numFmtId="174" fontId="0" fillId="24" borderId="139" xfId="0" applyNumberFormat="1" applyFill="1" applyBorder="1" applyAlignment="1">
      <alignment horizontal="center"/>
    </xf>
    <xf numFmtId="173" fontId="0" fillId="24" borderId="141" xfId="0" applyNumberFormat="1" applyFill="1" applyBorder="1" applyAlignment="1">
      <alignment horizontal="center"/>
    </xf>
    <xf numFmtId="0" fontId="0" fillId="0" borderId="0" xfId="0"/>
    <xf numFmtId="2" fontId="0" fillId="0" borderId="4" xfId="0" applyNumberFormat="1" applyBorder="1" applyAlignment="1" applyProtection="1">
      <alignment horizontal="center" vertical="center"/>
      <protection locked="0"/>
    </xf>
    <xf numFmtId="0" fontId="0" fillId="0" borderId="0" xfId="0"/>
    <xf numFmtId="2" fontId="0" fillId="0" borderId="4" xfId="0" applyNumberFormat="1" applyBorder="1" applyAlignment="1" applyProtection="1">
      <alignment horizontal="center" vertical="center"/>
      <protection locked="0"/>
    </xf>
    <xf numFmtId="0" fontId="0" fillId="0" borderId="0" xfId="0"/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>
      <alignment horizontal="center"/>
    </xf>
    <xf numFmtId="0" fontId="16" fillId="0" borderId="153" xfId="0" applyFont="1" applyBorder="1" applyAlignment="1">
      <alignment horizontal="center" vertical="center" textRotation="75"/>
    </xf>
    <xf numFmtId="0" fontId="16" fillId="0" borderId="158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2" xfId="0" applyBorder="1" applyAlignment="1"/>
    <xf numFmtId="0" fontId="16" fillId="0" borderId="150" xfId="0" applyFont="1" applyBorder="1" applyAlignment="1">
      <alignment horizontal="center" vertical="center" textRotation="75"/>
    </xf>
    <xf numFmtId="0" fontId="16" fillId="0" borderId="151" xfId="0" applyFont="1" applyBorder="1" applyAlignment="1">
      <alignment horizontal="center" vertical="center" textRotation="75"/>
    </xf>
    <xf numFmtId="0" fontId="0" fillId="0" borderId="152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5" fillId="14" borderId="86" xfId="0" applyFont="1" applyFill="1" applyBorder="1" applyAlignment="1">
      <alignment horizontal="center" vertical="center" wrapText="1"/>
    </xf>
    <xf numFmtId="0" fontId="15" fillId="14" borderId="87" xfId="0" applyFont="1" applyFill="1" applyBorder="1" applyAlignment="1">
      <alignment horizontal="center" vertical="center" wrapText="1"/>
    </xf>
    <xf numFmtId="0" fontId="15" fillId="14" borderId="88" xfId="0" applyFont="1" applyFill="1" applyBorder="1" applyAlignment="1">
      <alignment horizontal="center" vertical="center" wrapText="1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6" xfId="0" applyNumberFormat="1" applyFont="1" applyBorder="1" applyAlignment="1">
      <alignment horizontal="center" vertical="center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3" borderId="116" xfId="0" applyFont="1" applyFill="1" applyBorder="1" applyAlignment="1">
      <alignment horizontal="center" vertical="center"/>
    </xf>
    <xf numFmtId="0" fontId="4" fillId="13" borderId="134" xfId="0" applyFont="1" applyFill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3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165" fontId="0" fillId="22" borderId="30" xfId="0" applyNumberFormat="1" applyFill="1" applyBorder="1" applyAlignment="1">
      <alignment horizontal="center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5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171" fontId="11" fillId="0" borderId="55" xfId="0" applyNumberFormat="1" applyFont="1" applyFill="1" applyBorder="1" applyAlignment="1">
      <alignment horizontal="center" vertical="center"/>
    </xf>
    <xf numFmtId="171" fontId="0" fillId="0" borderId="66" xfId="0" applyNumberFormat="1" applyBorder="1" applyAlignment="1">
      <alignment horizontal="center" vertical="center"/>
    </xf>
    <xf numFmtId="171" fontId="0" fillId="0" borderId="56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146" xfId="0" applyFont="1" applyFill="1" applyBorder="1" applyAlignment="1">
      <alignment horizontal="left"/>
    </xf>
    <xf numFmtId="0" fontId="4" fillId="22" borderId="147" xfId="0" applyFont="1" applyFill="1" applyBorder="1" applyAlignment="1">
      <alignment horizontal="left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868DA3D4-5B54-46F6-A6A4-51B02DFCDE71}"/>
  </cellStyles>
  <dxfs count="0"/>
  <tableStyles count="0" defaultTableStyle="TableStyleMedium9" defaultPivotStyle="PivotStyleLight16"/>
  <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10</xdr:col>
          <xdr:colOff>476250</xdr:colOff>
          <xdr:row>45</xdr:row>
          <xdr:rowOff>57150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95250</xdr:colOff>
          <xdr:row>45</xdr:row>
          <xdr:rowOff>28575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0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361950</xdr:colOff>
          <xdr:row>42</xdr:row>
          <xdr:rowOff>114300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2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0</xdr:row>
          <xdr:rowOff>0</xdr:rowOff>
        </xdr:from>
        <xdr:to>
          <xdr:col>20</xdr:col>
          <xdr:colOff>466725</xdr:colOff>
          <xdr:row>31</xdr:row>
          <xdr:rowOff>85725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2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files\Dept\Utilities%20Department\Divisions\Water%20Treatment\Binney\BWPF%20Operating%20Reports\BWPF%20Flow%20Reports%20and%20Query%20Tool\BWPF%20Monthly%20Plant%20Flows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3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10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95250</xdr:colOff>
                <xdr:row>45</xdr:row>
                <xdr:rowOff>28575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63"/>
  <sheetViews>
    <sheetView topLeftCell="AJ38" zoomScale="75" zoomScaleNormal="75" workbookViewId="0">
      <selection activeCell="N46" sqref="N46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3" width="15.140625" customWidth="1"/>
    <col min="44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  <c r="AV4" t="s">
        <v>169</v>
      </c>
      <c r="AW4" s="335" t="s">
        <v>207</v>
      </c>
    </row>
    <row r="5" spans="1:49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4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43983</v>
      </c>
      <c r="B8" s="49"/>
      <c r="C8" s="50">
        <v>66.039874577522909</v>
      </c>
      <c r="D8" s="50">
        <v>917.24123223622826</v>
      </c>
      <c r="E8" s="50">
        <v>15.848252225418845</v>
      </c>
      <c r="F8" s="50">
        <v>0</v>
      </c>
      <c r="G8" s="50">
        <v>2807.7951085408486</v>
      </c>
      <c r="H8" s="51">
        <v>25.149665191769628</v>
      </c>
      <c r="I8" s="49">
        <v>308.11984060605391</v>
      </c>
      <c r="J8" s="50">
        <v>753.1178374608362</v>
      </c>
      <c r="K8" s="50">
        <v>41.169242523113894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493.06948802396028</v>
      </c>
      <c r="V8" s="54">
        <v>141.77592891396637</v>
      </c>
      <c r="W8" s="54">
        <v>81.278037136087363</v>
      </c>
      <c r="X8" s="54">
        <v>23.370477174431603</v>
      </c>
      <c r="Y8" s="54">
        <v>372.19059045174026</v>
      </c>
      <c r="Z8" s="54">
        <v>107.0187224640615</v>
      </c>
      <c r="AA8" s="55">
        <v>0</v>
      </c>
      <c r="AB8" s="56">
        <v>107.42369750340994</v>
      </c>
      <c r="AC8" s="57">
        <v>0</v>
      </c>
      <c r="AD8" s="405">
        <v>22.437738182525457</v>
      </c>
      <c r="AE8" s="405">
        <v>6.2606392024764537</v>
      </c>
      <c r="AF8" s="57">
        <v>27.713561945491396</v>
      </c>
      <c r="AG8" s="58">
        <v>21.205944749642018</v>
      </c>
      <c r="AH8" s="58">
        <v>6.0975026611921441</v>
      </c>
      <c r="AI8" s="58">
        <v>0.77667645519471584</v>
      </c>
      <c r="AJ8" s="57">
        <v>219.32824759483339</v>
      </c>
      <c r="AK8" s="57">
        <v>783.90228255589795</v>
      </c>
      <c r="AL8" s="57">
        <v>2946.1049645741782</v>
      </c>
      <c r="AM8" s="57">
        <v>492.00477937062584</v>
      </c>
      <c r="AN8" s="57">
        <v>3586.554931640625</v>
      </c>
      <c r="AO8" s="57">
        <v>2551.2180248260506</v>
      </c>
      <c r="AP8" s="57">
        <v>469.96109768549604</v>
      </c>
      <c r="AQ8" s="57">
        <v>3393.8769613901773</v>
      </c>
      <c r="AR8" s="57">
        <v>460.60459585189813</v>
      </c>
      <c r="AS8" s="57">
        <v>863.51966899236038</v>
      </c>
    </row>
    <row r="9" spans="1:49" x14ac:dyDescent="0.25">
      <c r="A9" s="11">
        <v>43984</v>
      </c>
      <c r="B9" s="59"/>
      <c r="C9" s="60">
        <v>66.723826213678265</v>
      </c>
      <c r="D9" s="60">
        <v>882.58117434183941</v>
      </c>
      <c r="E9" s="60">
        <v>16.27301982492207</v>
      </c>
      <c r="F9" s="60">
        <v>0</v>
      </c>
      <c r="G9" s="60">
        <v>2643.8208956400617</v>
      </c>
      <c r="H9" s="61">
        <v>25.236362846692398</v>
      </c>
      <c r="I9" s="59">
        <v>353.36190414428711</v>
      </c>
      <c r="J9" s="60">
        <v>852.78635012308814</v>
      </c>
      <c r="K9" s="60">
        <v>46.785205398996546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569.83323478020839</v>
      </c>
      <c r="V9" s="62">
        <v>137.65695680659775</v>
      </c>
      <c r="W9" s="62">
        <v>95.797247516356279</v>
      </c>
      <c r="X9" s="62">
        <v>23.142134853956804</v>
      </c>
      <c r="Y9" s="66">
        <v>454.67403830717342</v>
      </c>
      <c r="Z9" s="66">
        <v>109.83747635652263</v>
      </c>
      <c r="AA9" s="67">
        <v>0</v>
      </c>
      <c r="AB9" s="68">
        <v>117.29379115104457</v>
      </c>
      <c r="AC9" s="69">
        <v>0</v>
      </c>
      <c r="AD9" s="406">
        <v>25.404155670860582</v>
      </c>
      <c r="AE9" s="406">
        <v>6.275575252694086</v>
      </c>
      <c r="AF9" s="69">
        <v>30.880410962634613</v>
      </c>
      <c r="AG9" s="68">
        <v>24.514713627165083</v>
      </c>
      <c r="AH9" s="68">
        <v>5.9221201378371822</v>
      </c>
      <c r="AI9" s="68">
        <v>0.80542916574171641</v>
      </c>
      <c r="AJ9" s="69">
        <v>215.67091302871705</v>
      </c>
      <c r="AK9" s="69">
        <v>782.9995457331338</v>
      </c>
      <c r="AL9" s="69">
        <v>2982.2356388092044</v>
      </c>
      <c r="AM9" s="69">
        <v>645.01570129394531</v>
      </c>
      <c r="AN9" s="69">
        <v>3586.554931640625</v>
      </c>
      <c r="AO9" s="69">
        <v>2554.3157098134361</v>
      </c>
      <c r="AP9" s="69">
        <v>480.29272354443862</v>
      </c>
      <c r="AQ9" s="69">
        <v>3788.3136628468824</v>
      </c>
      <c r="AR9" s="69">
        <v>458.67781187693276</v>
      </c>
      <c r="AS9" s="69">
        <v>847.98840707143154</v>
      </c>
    </row>
    <row r="10" spans="1:49" x14ac:dyDescent="0.25">
      <c r="A10" s="11">
        <v>43985</v>
      </c>
      <c r="B10" s="59"/>
      <c r="C10" s="60">
        <v>65.473440746465954</v>
      </c>
      <c r="D10" s="60">
        <v>860.98948376973635</v>
      </c>
      <c r="E10" s="60">
        <v>15.388960476219671</v>
      </c>
      <c r="F10" s="60">
        <v>0</v>
      </c>
      <c r="G10" s="60">
        <v>2589.0489226023392</v>
      </c>
      <c r="H10" s="61">
        <v>25.198676532506948</v>
      </c>
      <c r="I10" s="59">
        <v>356.5139565467835</v>
      </c>
      <c r="J10" s="60">
        <v>860.73734887441083</v>
      </c>
      <c r="K10" s="60">
        <v>47.247816383838654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576.68819005340174</v>
      </c>
      <c r="V10" s="62">
        <v>140.00193483979189</v>
      </c>
      <c r="W10" s="62">
        <v>98.41276303354293</v>
      </c>
      <c r="X10" s="62">
        <v>23.891554353402146</v>
      </c>
      <c r="Y10" s="66">
        <v>415.46880225694406</v>
      </c>
      <c r="Z10" s="66">
        <v>100.86288775249031</v>
      </c>
      <c r="AA10" s="67">
        <v>0</v>
      </c>
      <c r="AB10" s="68">
        <v>118.19114864667033</v>
      </c>
      <c r="AC10" s="69">
        <v>0</v>
      </c>
      <c r="AD10" s="406">
        <v>25.640101318738097</v>
      </c>
      <c r="AE10" s="406">
        <v>6.2691894366967365</v>
      </c>
      <c r="AF10" s="69">
        <v>31.255242607990837</v>
      </c>
      <c r="AG10" s="68">
        <v>24.779477892619848</v>
      </c>
      <c r="AH10" s="68">
        <v>6.0156856150728126</v>
      </c>
      <c r="AI10" s="68">
        <v>0.80465485713137741</v>
      </c>
      <c r="AJ10" s="69">
        <v>235.18861753145853</v>
      </c>
      <c r="AK10" s="69">
        <v>788.70572284062689</v>
      </c>
      <c r="AL10" s="69">
        <v>2902.2970068613686</v>
      </c>
      <c r="AM10" s="69">
        <v>645.01570129394531</v>
      </c>
      <c r="AN10" s="69">
        <v>3586.554931640625</v>
      </c>
      <c r="AO10" s="69">
        <v>2543.2630265553794</v>
      </c>
      <c r="AP10" s="69">
        <v>470.41737689971927</v>
      </c>
      <c r="AQ10" s="69">
        <v>3731.1696090698247</v>
      </c>
      <c r="AR10" s="69">
        <v>476.35720500946036</v>
      </c>
      <c r="AS10" s="69">
        <v>831.43525307973221</v>
      </c>
    </row>
    <row r="11" spans="1:49" x14ac:dyDescent="0.25">
      <c r="A11" s="11">
        <v>43986</v>
      </c>
      <c r="B11" s="59"/>
      <c r="C11" s="60">
        <v>66.100217119853326</v>
      </c>
      <c r="D11" s="60">
        <v>859.18357830047819</v>
      </c>
      <c r="E11" s="60">
        <v>15.731929010152831</v>
      </c>
      <c r="F11" s="60">
        <v>0</v>
      </c>
      <c r="G11" s="60">
        <v>2608.0840298970511</v>
      </c>
      <c r="H11" s="61">
        <v>25.088791885972039</v>
      </c>
      <c r="I11" s="59">
        <v>372.60609283447178</v>
      </c>
      <c r="J11" s="60">
        <v>861.38589299519867</v>
      </c>
      <c r="K11" s="60">
        <v>47.250841293732265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573.3069744724047</v>
      </c>
      <c r="V11" s="62">
        <v>143.89098691098974</v>
      </c>
      <c r="W11" s="62">
        <v>96.949044443945525</v>
      </c>
      <c r="X11" s="62">
        <v>24.332677442053683</v>
      </c>
      <c r="Y11" s="66">
        <v>428.50621439734579</v>
      </c>
      <c r="Z11" s="66">
        <v>107.54828535597045</v>
      </c>
      <c r="AA11" s="67">
        <v>0</v>
      </c>
      <c r="AB11" s="68">
        <v>118.18727836078895</v>
      </c>
      <c r="AC11" s="69">
        <v>0</v>
      </c>
      <c r="AD11" s="406">
        <v>25.678115184714908</v>
      </c>
      <c r="AE11" s="406">
        <v>6.2539817622351075</v>
      </c>
      <c r="AF11" s="69">
        <v>31.278731658723615</v>
      </c>
      <c r="AG11" s="68">
        <v>24.609785154474483</v>
      </c>
      <c r="AH11" s="68">
        <v>6.1766670060198337</v>
      </c>
      <c r="AI11" s="68">
        <v>0.79937061361211881</v>
      </c>
      <c r="AJ11" s="69">
        <v>226.14310104052225</v>
      </c>
      <c r="AK11" s="69">
        <v>789.33442783355702</v>
      </c>
      <c r="AL11" s="69">
        <v>2947.4629168192541</v>
      </c>
      <c r="AM11" s="69">
        <v>645.01570129394531</v>
      </c>
      <c r="AN11" s="69">
        <v>3586.554931640625</v>
      </c>
      <c r="AO11" s="69">
        <v>2508.5581513722741</v>
      </c>
      <c r="AP11" s="69">
        <v>472.1015913168589</v>
      </c>
      <c r="AQ11" s="69">
        <v>3798.5690191904705</v>
      </c>
      <c r="AR11" s="69">
        <v>452.3397166887919</v>
      </c>
      <c r="AS11" s="69">
        <v>842.00700600941968</v>
      </c>
    </row>
    <row r="12" spans="1:49" x14ac:dyDescent="0.25">
      <c r="A12" s="11">
        <v>43987</v>
      </c>
      <c r="B12" s="59"/>
      <c r="C12" s="60">
        <v>66.089128390948119</v>
      </c>
      <c r="D12" s="60">
        <v>857.93933442433831</v>
      </c>
      <c r="E12" s="60">
        <v>15.676144834359485</v>
      </c>
      <c r="F12" s="60">
        <v>0</v>
      </c>
      <c r="G12" s="60">
        <v>2617.2702664693179</v>
      </c>
      <c r="H12" s="61">
        <v>25.081907206773764</v>
      </c>
      <c r="I12" s="59">
        <v>371.72597319285018</v>
      </c>
      <c r="J12" s="60">
        <v>857.43423366546665</v>
      </c>
      <c r="K12" s="60">
        <v>47.0749722103278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612.67944341384236</v>
      </c>
      <c r="V12" s="62">
        <v>154.00488305473544</v>
      </c>
      <c r="W12" s="62">
        <v>95.676730996495678</v>
      </c>
      <c r="X12" s="62">
        <v>24.049580782526704</v>
      </c>
      <c r="Y12" s="66">
        <v>435.96225303475234</v>
      </c>
      <c r="Z12" s="66">
        <v>109.58473720089415</v>
      </c>
      <c r="AA12" s="67">
        <v>0</v>
      </c>
      <c r="AB12" s="68">
        <v>118.18636471430231</v>
      </c>
      <c r="AC12" s="69">
        <v>0</v>
      </c>
      <c r="AD12" s="406">
        <v>25.538840239797906</v>
      </c>
      <c r="AE12" s="406">
        <v>6.2457581607023043</v>
      </c>
      <c r="AF12" s="69">
        <v>31.119107387463224</v>
      </c>
      <c r="AG12" s="68">
        <v>24.573901348890715</v>
      </c>
      <c r="AH12" s="68">
        <v>6.1769671630360694</v>
      </c>
      <c r="AI12" s="68">
        <v>0.79912869255577867</v>
      </c>
      <c r="AJ12" s="69">
        <v>230.83767522176106</v>
      </c>
      <c r="AK12" s="69">
        <v>788.46627260843911</v>
      </c>
      <c r="AL12" s="69">
        <v>2937.4137147267656</v>
      </c>
      <c r="AM12" s="69">
        <v>491.74460550944013</v>
      </c>
      <c r="AN12" s="69">
        <v>3586.554931640625</v>
      </c>
      <c r="AO12" s="69">
        <v>2594.4383430480962</v>
      </c>
      <c r="AP12" s="69">
        <v>473.58654398918145</v>
      </c>
      <c r="AQ12" s="69">
        <v>3757.189558664958</v>
      </c>
      <c r="AR12" s="69">
        <v>437.94074722925825</v>
      </c>
      <c r="AS12" s="69">
        <v>874.0086867332459</v>
      </c>
    </row>
    <row r="13" spans="1:49" x14ac:dyDescent="0.25">
      <c r="A13" s="11">
        <v>43988</v>
      </c>
      <c r="B13" s="59"/>
      <c r="C13" s="60">
        <v>66.307402304808548</v>
      </c>
      <c r="D13" s="60">
        <v>820.945839691164</v>
      </c>
      <c r="E13" s="60">
        <v>15.714391248424858</v>
      </c>
      <c r="F13" s="60">
        <v>0</v>
      </c>
      <c r="G13" s="60">
        <v>2527.0170307159378</v>
      </c>
      <c r="H13" s="61">
        <v>25.155444149176294</v>
      </c>
      <c r="I13" s="59">
        <v>371.15387924512146</v>
      </c>
      <c r="J13" s="60">
        <v>856.10358931223516</v>
      </c>
      <c r="K13" s="60">
        <v>46.922753096620212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638.16092136741281</v>
      </c>
      <c r="V13" s="62">
        <v>159.52078054705811</v>
      </c>
      <c r="W13" s="62">
        <v>98.942432808949746</v>
      </c>
      <c r="X13" s="62">
        <v>24.732592646207245</v>
      </c>
      <c r="Y13" s="66">
        <v>450.75485015406906</v>
      </c>
      <c r="Z13" s="66">
        <v>112.67497448429795</v>
      </c>
      <c r="AA13" s="67">
        <v>0</v>
      </c>
      <c r="AB13" s="68">
        <v>118.18848176002287</v>
      </c>
      <c r="AC13" s="69">
        <v>0</v>
      </c>
      <c r="AD13" s="406">
        <v>25.499129394085923</v>
      </c>
      <c r="AE13" s="406">
        <v>6.2616469125503365</v>
      </c>
      <c r="AF13" s="69">
        <v>31.288574695587162</v>
      </c>
      <c r="AG13" s="68">
        <v>24.755004735722249</v>
      </c>
      <c r="AH13" s="68">
        <v>6.1879967037577073</v>
      </c>
      <c r="AI13" s="68">
        <v>0.80001950632163021</v>
      </c>
      <c r="AJ13" s="69">
        <v>224.46729893684386</v>
      </c>
      <c r="AK13" s="69">
        <v>787.53762826919547</v>
      </c>
      <c r="AL13" s="69">
        <v>2884.2374785105389</v>
      </c>
      <c r="AM13" s="69">
        <v>473.39021301269531</v>
      </c>
      <c r="AN13" s="69">
        <v>3586.554931640625</v>
      </c>
      <c r="AO13" s="69">
        <v>2534.9815048217774</v>
      </c>
      <c r="AP13" s="69">
        <v>461.53821225166331</v>
      </c>
      <c r="AQ13" s="69">
        <v>3772.1055965423579</v>
      </c>
      <c r="AR13" s="69">
        <v>433.6079678535462</v>
      </c>
      <c r="AS13" s="69">
        <v>846.37430343627932</v>
      </c>
    </row>
    <row r="14" spans="1:49" x14ac:dyDescent="0.25">
      <c r="A14" s="11">
        <v>43989</v>
      </c>
      <c r="B14" s="59"/>
      <c r="C14" s="60">
        <v>65.80664947032885</v>
      </c>
      <c r="D14" s="60">
        <v>817.67963568369692</v>
      </c>
      <c r="E14" s="60">
        <v>15.57111487587296</v>
      </c>
      <c r="F14" s="60">
        <v>0</v>
      </c>
      <c r="G14" s="60">
        <v>2491.5093700408943</v>
      </c>
      <c r="H14" s="61">
        <v>25.110498324036605</v>
      </c>
      <c r="I14" s="59">
        <v>355.60224781036374</v>
      </c>
      <c r="J14" s="60">
        <v>856.03993829091337</v>
      </c>
      <c r="K14" s="60">
        <v>47.048284874359751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635.77288507568005</v>
      </c>
      <c r="V14" s="62">
        <v>159.73337297757547</v>
      </c>
      <c r="W14" s="62">
        <v>99.194444494791654</v>
      </c>
      <c r="X14" s="62">
        <v>24.921892033668396</v>
      </c>
      <c r="Y14" s="66">
        <v>449.94350652240564</v>
      </c>
      <c r="Z14" s="66">
        <v>113.04507573899809</v>
      </c>
      <c r="AA14" s="67">
        <v>0</v>
      </c>
      <c r="AB14" s="68">
        <v>118.1886525842859</v>
      </c>
      <c r="AC14" s="69">
        <v>0</v>
      </c>
      <c r="AD14" s="406">
        <v>25.503457126528296</v>
      </c>
      <c r="AE14" s="406">
        <v>6.2504087326831046</v>
      </c>
      <c r="AF14" s="69">
        <v>31.237329602903749</v>
      </c>
      <c r="AG14" s="68">
        <v>24.720772437233606</v>
      </c>
      <c r="AH14" s="68">
        <v>6.2109165972694171</v>
      </c>
      <c r="AI14" s="68">
        <v>0.79920538479675662</v>
      </c>
      <c r="AJ14" s="69">
        <v>222.64954204559325</v>
      </c>
      <c r="AK14" s="69">
        <v>786.34570506413786</v>
      </c>
      <c r="AL14" s="69">
        <v>2957.0337070465084</v>
      </c>
      <c r="AM14" s="69">
        <v>473.39021301269531</v>
      </c>
      <c r="AN14" s="69">
        <v>3586.554931640625</v>
      </c>
      <c r="AO14" s="69">
        <v>2561.7694616953531</v>
      </c>
      <c r="AP14" s="69">
        <v>455.15521022478742</v>
      </c>
      <c r="AQ14" s="69">
        <v>3897.23069636027</v>
      </c>
      <c r="AR14" s="69">
        <v>428.62506364186612</v>
      </c>
      <c r="AS14" s="69">
        <v>811.56990804672239</v>
      </c>
    </row>
    <row r="15" spans="1:49" x14ac:dyDescent="0.25">
      <c r="A15" s="11">
        <v>43990</v>
      </c>
      <c r="B15" s="59"/>
      <c r="C15" s="60">
        <v>66.346424396832731</v>
      </c>
      <c r="D15" s="60">
        <v>817.2529506683361</v>
      </c>
      <c r="E15" s="60">
        <v>15.462350181241845</v>
      </c>
      <c r="F15" s="60">
        <v>0</v>
      </c>
      <c r="G15" s="60">
        <v>2440.9829167683965</v>
      </c>
      <c r="H15" s="61">
        <v>25.05857864121597</v>
      </c>
      <c r="I15" s="59">
        <v>313.51240771611555</v>
      </c>
      <c r="J15" s="60">
        <v>856.00758094787705</v>
      </c>
      <c r="K15" s="60">
        <v>46.988990712165815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641.15924162817294</v>
      </c>
      <c r="V15" s="62">
        <v>160.28332950321305</v>
      </c>
      <c r="W15" s="62">
        <v>101.21000059996399</v>
      </c>
      <c r="X15" s="62">
        <v>25.301477108852456</v>
      </c>
      <c r="Y15" s="66">
        <v>453.96990006430275</v>
      </c>
      <c r="Z15" s="66">
        <v>113.48788624144204</v>
      </c>
      <c r="AA15" s="67">
        <v>0</v>
      </c>
      <c r="AB15" s="68">
        <v>118.19240405824249</v>
      </c>
      <c r="AC15" s="69">
        <v>0</v>
      </c>
      <c r="AD15" s="406">
        <v>25.498294946982767</v>
      </c>
      <c r="AE15" s="406">
        <v>6.246971690588941</v>
      </c>
      <c r="AF15" s="69">
        <v>31.463715146647523</v>
      </c>
      <c r="AG15" s="68">
        <v>24.908164931895165</v>
      </c>
      <c r="AH15" s="68">
        <v>6.2267894586702646</v>
      </c>
      <c r="AI15" s="68">
        <v>0.80000646923840946</v>
      </c>
      <c r="AJ15" s="69">
        <v>256.00301279226937</v>
      </c>
      <c r="AK15" s="69">
        <v>803.45256299972527</v>
      </c>
      <c r="AL15" s="69">
        <v>2929.4939317067465</v>
      </c>
      <c r="AM15" s="69">
        <v>473.39021301269531</v>
      </c>
      <c r="AN15" s="69">
        <v>3586.554931640625</v>
      </c>
      <c r="AO15" s="69">
        <v>2438.8157568613692</v>
      </c>
      <c r="AP15" s="69">
        <v>458.59901437759396</v>
      </c>
      <c r="AQ15" s="69">
        <v>3922.9272769927979</v>
      </c>
      <c r="AR15" s="69">
        <v>422.52944860458376</v>
      </c>
      <c r="AS15" s="69">
        <v>764.84882345199605</v>
      </c>
    </row>
    <row r="16" spans="1:49" x14ac:dyDescent="0.25">
      <c r="A16" s="11">
        <v>43991</v>
      </c>
      <c r="B16" s="59"/>
      <c r="C16" s="60">
        <v>66.321452780564627</v>
      </c>
      <c r="D16" s="60">
        <v>812.58851184845048</v>
      </c>
      <c r="E16" s="60">
        <v>15.704678108791468</v>
      </c>
      <c r="F16" s="60">
        <v>0</v>
      </c>
      <c r="G16" s="60">
        <v>2419.7994136810303</v>
      </c>
      <c r="H16" s="61">
        <v>25.052692787845938</v>
      </c>
      <c r="I16" s="59">
        <v>310.44934711456312</v>
      </c>
      <c r="J16" s="60">
        <v>801.76925551096406</v>
      </c>
      <c r="K16" s="60">
        <v>43.987981501221597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581.90327658913452</v>
      </c>
      <c r="V16" s="62">
        <v>148.83395824702035</v>
      </c>
      <c r="W16" s="62">
        <v>93.098978753719649</v>
      </c>
      <c r="X16" s="62">
        <v>23.81201494153964</v>
      </c>
      <c r="Y16" s="66">
        <v>421.64527566353172</v>
      </c>
      <c r="Z16" s="66">
        <v>107.84461589734111</v>
      </c>
      <c r="AA16" s="67">
        <v>0</v>
      </c>
      <c r="AB16" s="68">
        <v>112.67166591750441</v>
      </c>
      <c r="AC16" s="69">
        <v>0</v>
      </c>
      <c r="AD16" s="406">
        <v>23.880765364921054</v>
      </c>
      <c r="AE16" s="406">
        <v>6.2552826322355912</v>
      </c>
      <c r="AF16" s="69">
        <v>29.384081757068607</v>
      </c>
      <c r="AG16" s="68">
        <v>23.152135142261066</v>
      </c>
      <c r="AH16" s="68">
        <v>5.9216437743581505</v>
      </c>
      <c r="AI16" s="68">
        <v>0.79632356043771091</v>
      </c>
      <c r="AJ16" s="69">
        <v>230.81546144485478</v>
      </c>
      <c r="AK16" s="69">
        <v>736.92766634623217</v>
      </c>
      <c r="AL16" s="69">
        <v>2889.8141689300542</v>
      </c>
      <c r="AM16" s="69">
        <v>473.39021301269531</v>
      </c>
      <c r="AN16" s="69">
        <v>3586.554931640625</v>
      </c>
      <c r="AO16" s="69">
        <v>2428.9911487579343</v>
      </c>
      <c r="AP16" s="69">
        <v>680.86660008430488</v>
      </c>
      <c r="AQ16" s="69">
        <v>3777.3027885437009</v>
      </c>
      <c r="AR16" s="69">
        <v>413.84695148468029</v>
      </c>
      <c r="AS16" s="69">
        <v>597.81960773468029</v>
      </c>
    </row>
    <row r="17" spans="1:45" x14ac:dyDescent="0.25">
      <c r="A17" s="11">
        <v>43992</v>
      </c>
      <c r="B17" s="49"/>
      <c r="C17" s="50">
        <v>60.151442859570345</v>
      </c>
      <c r="D17" s="50">
        <v>729.20522678097143</v>
      </c>
      <c r="E17" s="50">
        <v>14.709323403735912</v>
      </c>
      <c r="F17" s="50">
        <v>0</v>
      </c>
      <c r="G17" s="50">
        <v>2300.2551183064875</v>
      </c>
      <c r="H17" s="51">
        <v>22.825836330652219</v>
      </c>
      <c r="I17" s="49">
        <v>288.18447546958856</v>
      </c>
      <c r="J17" s="50">
        <v>650.6385504404692</v>
      </c>
      <c r="K17" s="50">
        <v>35.679171966513053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469.51325761084979</v>
      </c>
      <c r="V17" s="66">
        <v>121.22335100036139</v>
      </c>
      <c r="W17" s="62">
        <v>74.280279730595382</v>
      </c>
      <c r="X17" s="62">
        <v>19.178381603124539</v>
      </c>
      <c r="Y17" s="66">
        <v>334.20738315079126</v>
      </c>
      <c r="Z17" s="66">
        <v>86.288807095155434</v>
      </c>
      <c r="AA17" s="67">
        <v>0</v>
      </c>
      <c r="AB17" s="68">
        <v>94.048741022745233</v>
      </c>
      <c r="AC17" s="69">
        <v>0</v>
      </c>
      <c r="AD17" s="406">
        <v>19.378317615396828</v>
      </c>
      <c r="AE17" s="406">
        <v>5.672864284233488</v>
      </c>
      <c r="AF17" s="69">
        <v>23.363818318976303</v>
      </c>
      <c r="AG17" s="68">
        <v>18.360001979785402</v>
      </c>
      <c r="AH17" s="68">
        <v>4.7403580799577041</v>
      </c>
      <c r="AI17" s="68">
        <v>0.79479289207189863</v>
      </c>
      <c r="AJ17" s="69">
        <v>218.39453895092009</v>
      </c>
      <c r="AK17" s="69">
        <v>743.74371461868293</v>
      </c>
      <c r="AL17" s="69">
        <v>2665.2694491068523</v>
      </c>
      <c r="AM17" s="69">
        <v>473.39021301269531</v>
      </c>
      <c r="AN17" s="69">
        <v>3586.554931640625</v>
      </c>
      <c r="AO17" s="69">
        <v>2496.4849398295082</v>
      </c>
      <c r="AP17" s="69">
        <v>444.31480296452844</v>
      </c>
      <c r="AQ17" s="69">
        <v>3118.5860366821298</v>
      </c>
      <c r="AR17" s="69">
        <v>383.26215662956241</v>
      </c>
      <c r="AS17" s="69">
        <v>742.87369651794438</v>
      </c>
    </row>
    <row r="18" spans="1:45" x14ac:dyDescent="0.25">
      <c r="A18" s="11">
        <v>43993</v>
      </c>
      <c r="B18" s="59"/>
      <c r="C18" s="60">
        <v>65.863258290290972</v>
      </c>
      <c r="D18" s="60">
        <v>796.25680688222258</v>
      </c>
      <c r="E18" s="60">
        <v>16.147555768489813</v>
      </c>
      <c r="F18" s="60">
        <v>0</v>
      </c>
      <c r="G18" s="60">
        <v>2680.7160602569625</v>
      </c>
      <c r="H18" s="61">
        <v>24.974769869446746</v>
      </c>
      <c r="I18" s="59">
        <v>235.66200283368437</v>
      </c>
      <c r="J18" s="60">
        <v>487.79507827758783</v>
      </c>
      <c r="K18" s="60">
        <v>26.762097303072622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347.00686671217272</v>
      </c>
      <c r="V18" s="62">
        <v>155.06284959303483</v>
      </c>
      <c r="W18" s="62">
        <v>55.579450706384527</v>
      </c>
      <c r="X18" s="62">
        <v>24.836131016669803</v>
      </c>
      <c r="Y18" s="66">
        <v>250.8200876074462</v>
      </c>
      <c r="Z18" s="66">
        <v>112.0810025694541</v>
      </c>
      <c r="AA18" s="67">
        <v>0</v>
      </c>
      <c r="AB18" s="68">
        <v>81.927920288509981</v>
      </c>
      <c r="AC18" s="69">
        <v>0</v>
      </c>
      <c r="AD18" s="406">
        <v>14.52996162126723</v>
      </c>
      <c r="AE18" s="406">
        <v>6.2425213799922128</v>
      </c>
      <c r="AF18" s="69">
        <v>20.146259638335941</v>
      </c>
      <c r="AG18" s="68">
        <v>13.735719337483571</v>
      </c>
      <c r="AH18" s="68">
        <v>6.1379182546465714</v>
      </c>
      <c r="AI18" s="68">
        <v>0.69115275317905789</v>
      </c>
      <c r="AJ18" s="69">
        <v>229.5237817287445</v>
      </c>
      <c r="AK18" s="69">
        <v>779.21547985076904</v>
      </c>
      <c r="AL18" s="69">
        <v>2994.6138656616208</v>
      </c>
      <c r="AM18" s="69">
        <v>473.39021301269531</v>
      </c>
      <c r="AN18" s="69">
        <v>3586.554931640625</v>
      </c>
      <c r="AO18" s="69">
        <v>2443.4788996378584</v>
      </c>
      <c r="AP18" s="69">
        <v>462.69043431282046</v>
      </c>
      <c r="AQ18" s="69">
        <v>2765.8640783945721</v>
      </c>
      <c r="AR18" s="69">
        <v>425.42703142166135</v>
      </c>
      <c r="AS18" s="69">
        <v>773.59879535039261</v>
      </c>
    </row>
    <row r="19" spans="1:45" x14ac:dyDescent="0.25">
      <c r="A19" s="11">
        <v>43994</v>
      </c>
      <c r="B19" s="59"/>
      <c r="C19" s="60">
        <v>69.364266324043413</v>
      </c>
      <c r="D19" s="60">
        <v>834.39131329854422</v>
      </c>
      <c r="E19" s="60">
        <v>16.140293140709364</v>
      </c>
      <c r="F19" s="60">
        <v>0</v>
      </c>
      <c r="G19" s="60">
        <v>2714.1889341990181</v>
      </c>
      <c r="H19" s="61">
        <v>26.249902347723697</v>
      </c>
      <c r="I19" s="59">
        <v>219.05949963728591</v>
      </c>
      <c r="J19" s="60">
        <v>481.14583314259858</v>
      </c>
      <c r="K19" s="60">
        <v>26.256137053171845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340.02747457827917</v>
      </c>
      <c r="V19" s="62">
        <v>159.56759075052639</v>
      </c>
      <c r="W19" s="62">
        <v>56.450463126595174</v>
      </c>
      <c r="X19" s="62">
        <v>26.490989909077264</v>
      </c>
      <c r="Y19" s="66">
        <v>254.79343064153284</v>
      </c>
      <c r="Z19" s="66">
        <v>119.56908457751985</v>
      </c>
      <c r="AA19" s="67">
        <v>0</v>
      </c>
      <c r="AB19" s="68">
        <v>82.103266859055324</v>
      </c>
      <c r="AC19" s="69">
        <v>0</v>
      </c>
      <c r="AD19" s="406">
        <v>14.334071054252718</v>
      </c>
      <c r="AE19" s="406">
        <v>6.5420282890736319</v>
      </c>
      <c r="AF19" s="69">
        <v>20.18906685246364</v>
      </c>
      <c r="AG19" s="68">
        <v>13.597026952523922</v>
      </c>
      <c r="AH19" s="68">
        <v>6.3807927135156586</v>
      </c>
      <c r="AI19" s="68">
        <v>0.68060615121266677</v>
      </c>
      <c r="AJ19" s="69">
        <v>226.94422090848286</v>
      </c>
      <c r="AK19" s="69">
        <v>787.60456988016767</v>
      </c>
      <c r="AL19" s="69">
        <v>2986.2448608398436</v>
      </c>
      <c r="AM19" s="69">
        <v>473.39021301269531</v>
      </c>
      <c r="AN19" s="69">
        <v>3586.554931640625</v>
      </c>
      <c r="AO19" s="69">
        <v>2485.788631439209</v>
      </c>
      <c r="AP19" s="69">
        <v>473.59003810882564</v>
      </c>
      <c r="AQ19" s="69">
        <v>2768.9870454152419</v>
      </c>
      <c r="AR19" s="69">
        <v>450.38259658813473</v>
      </c>
      <c r="AS19" s="69">
        <v>864.25270506540949</v>
      </c>
    </row>
    <row r="20" spans="1:45" x14ac:dyDescent="0.25">
      <c r="A20" s="11">
        <v>43995</v>
      </c>
      <c r="B20" s="59"/>
      <c r="C20" s="60">
        <v>71.733824535210616</v>
      </c>
      <c r="D20" s="60">
        <v>861.03233578999937</v>
      </c>
      <c r="E20" s="60">
        <v>16.599221057693129</v>
      </c>
      <c r="F20" s="60">
        <v>0</v>
      </c>
      <c r="G20" s="60">
        <v>2735.6664775848408</v>
      </c>
      <c r="H20" s="61">
        <v>27.137362354000437</v>
      </c>
      <c r="I20" s="59">
        <v>224.57723094622304</v>
      </c>
      <c r="J20" s="60">
        <v>518.20750544865973</v>
      </c>
      <c r="K20" s="60">
        <v>28.548515382409121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372.48972888513885</v>
      </c>
      <c r="V20" s="62">
        <v>167.59770876574981</v>
      </c>
      <c r="W20" s="62">
        <v>62.151543807516667</v>
      </c>
      <c r="X20" s="62">
        <v>27.964412252575009</v>
      </c>
      <c r="Y20" s="66">
        <v>281.54581085183759</v>
      </c>
      <c r="Z20" s="66">
        <v>126.67848037741088</v>
      </c>
      <c r="AA20" s="67">
        <v>0</v>
      </c>
      <c r="AB20" s="68">
        <v>86.352390066783386</v>
      </c>
      <c r="AC20" s="69">
        <v>0</v>
      </c>
      <c r="AD20" s="406">
        <v>15.435622711765888</v>
      </c>
      <c r="AE20" s="406">
        <v>6.764196663812724</v>
      </c>
      <c r="AF20" s="69">
        <v>22.002653880914071</v>
      </c>
      <c r="AG20" s="68">
        <v>15.001105032197167</v>
      </c>
      <c r="AH20" s="68">
        <v>6.7495843170641354</v>
      </c>
      <c r="AI20" s="68">
        <v>0.68968411949236152</v>
      </c>
      <c r="AJ20" s="69">
        <v>236.03493088086447</v>
      </c>
      <c r="AK20" s="69">
        <v>798.56066007614129</v>
      </c>
      <c r="AL20" s="69">
        <v>2943.2056500752769</v>
      </c>
      <c r="AM20" s="69">
        <v>473.39021301269531</v>
      </c>
      <c r="AN20" s="69">
        <v>3586.554931640625</v>
      </c>
      <c r="AO20" s="69">
        <v>2389.8018778483074</v>
      </c>
      <c r="AP20" s="69">
        <v>476.99489715894066</v>
      </c>
      <c r="AQ20" s="69">
        <v>2908.2614985148116</v>
      </c>
      <c r="AR20" s="69">
        <v>457.39549309412638</v>
      </c>
      <c r="AS20" s="69">
        <v>882.47806161244716</v>
      </c>
    </row>
    <row r="21" spans="1:45" x14ac:dyDescent="0.25">
      <c r="A21" s="11">
        <v>43996</v>
      </c>
      <c r="B21" s="59"/>
      <c r="C21" s="60">
        <v>71.606731740633847</v>
      </c>
      <c r="D21" s="60">
        <v>843.09231713613019</v>
      </c>
      <c r="E21" s="60">
        <v>16.683279940485903</v>
      </c>
      <c r="F21" s="60">
        <v>0</v>
      </c>
      <c r="G21" s="60">
        <v>2691.3450527191126</v>
      </c>
      <c r="H21" s="61">
        <v>27.11307110786446</v>
      </c>
      <c r="I21" s="59">
        <v>225.88317662874852</v>
      </c>
      <c r="J21" s="60">
        <v>518.27535314559975</v>
      </c>
      <c r="K21" s="60">
        <v>28.395256395141331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370.67333676113168</v>
      </c>
      <c r="V21" s="62">
        <v>166.77880540331037</v>
      </c>
      <c r="W21" s="62">
        <v>61.529786810253427</v>
      </c>
      <c r="X21" s="62">
        <v>27.684387635216808</v>
      </c>
      <c r="Y21" s="66">
        <v>279.9444309100416</v>
      </c>
      <c r="Z21" s="66">
        <v>125.9567202066475</v>
      </c>
      <c r="AA21" s="67">
        <v>0</v>
      </c>
      <c r="AB21" s="68">
        <v>86.352991729313558</v>
      </c>
      <c r="AC21" s="69">
        <v>0</v>
      </c>
      <c r="AD21" s="406">
        <v>15.43690033213006</v>
      </c>
      <c r="AE21" s="406">
        <v>6.7631793008283836</v>
      </c>
      <c r="AF21" s="69">
        <v>21.995552598105554</v>
      </c>
      <c r="AG21" s="68">
        <v>15.001711640017037</v>
      </c>
      <c r="AH21" s="68">
        <v>6.7497909835885741</v>
      </c>
      <c r="AI21" s="68">
        <v>0.68968622074580599</v>
      </c>
      <c r="AJ21" s="69">
        <v>237.18760108947754</v>
      </c>
      <c r="AK21" s="69">
        <v>801.80397036870318</v>
      </c>
      <c r="AL21" s="69">
        <v>2983.6359272003174</v>
      </c>
      <c r="AM21" s="69">
        <v>473.39021301269531</v>
      </c>
      <c r="AN21" s="69">
        <v>3586.554931640625</v>
      </c>
      <c r="AO21" s="69">
        <v>2363.5974283854162</v>
      </c>
      <c r="AP21" s="69">
        <v>483.13172911008201</v>
      </c>
      <c r="AQ21" s="69">
        <v>3171.8221061706545</v>
      </c>
      <c r="AR21" s="69">
        <v>457.33860797882079</v>
      </c>
      <c r="AS21" s="69">
        <v>863.70233821868896</v>
      </c>
    </row>
    <row r="22" spans="1:45" x14ac:dyDescent="0.25">
      <c r="A22" s="11">
        <v>43997</v>
      </c>
      <c r="B22" s="59"/>
      <c r="C22" s="60">
        <v>73.098881880442292</v>
      </c>
      <c r="D22" s="60">
        <v>843.86702270507885</v>
      </c>
      <c r="E22" s="60">
        <v>17.260577199359748</v>
      </c>
      <c r="F22" s="60">
        <v>0</v>
      </c>
      <c r="G22" s="60">
        <v>2607.0990853627577</v>
      </c>
      <c r="H22" s="61">
        <v>27.570766345659933</v>
      </c>
      <c r="I22" s="59">
        <v>235.39669462839674</v>
      </c>
      <c r="J22" s="60">
        <v>552.99750496546494</v>
      </c>
      <c r="K22" s="60">
        <v>30.363131417830715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363.32313583015605</v>
      </c>
      <c r="V22" s="62">
        <v>167.22338268638507</v>
      </c>
      <c r="W22" s="62">
        <v>59.964526513541216</v>
      </c>
      <c r="X22" s="62">
        <v>27.599318556661814</v>
      </c>
      <c r="Y22" s="66">
        <v>272.51453215028602</v>
      </c>
      <c r="Z22" s="66">
        <v>125.42774572624961</v>
      </c>
      <c r="AA22" s="67">
        <v>0</v>
      </c>
      <c r="AB22" s="68">
        <v>87.324231068291127</v>
      </c>
      <c r="AC22" s="69">
        <v>0</v>
      </c>
      <c r="AD22" s="406">
        <v>15.448393790103232</v>
      </c>
      <c r="AE22" s="406">
        <v>6.8758887752629452</v>
      </c>
      <c r="AF22" s="69">
        <v>21.543110247453079</v>
      </c>
      <c r="AG22" s="68">
        <v>14.575313268528072</v>
      </c>
      <c r="AH22" s="68">
        <v>6.7084447647628052</v>
      </c>
      <c r="AI22" s="68">
        <v>0.68480919796824291</v>
      </c>
      <c r="AJ22" s="69">
        <v>237.57612706820169</v>
      </c>
      <c r="AK22" s="69">
        <v>805.4969382921854</v>
      </c>
      <c r="AL22" s="69">
        <v>2984.6531443277995</v>
      </c>
      <c r="AM22" s="69">
        <v>473.39021301269531</v>
      </c>
      <c r="AN22" s="69">
        <v>3586.554931640625</v>
      </c>
      <c r="AO22" s="69">
        <v>2419.1124833424888</v>
      </c>
      <c r="AP22" s="69">
        <v>494.933186451594</v>
      </c>
      <c r="AQ22" s="69">
        <v>3451.3576920827231</v>
      </c>
      <c r="AR22" s="69">
        <v>467.72473344802847</v>
      </c>
      <c r="AS22" s="69">
        <v>917.47647412617994</v>
      </c>
    </row>
    <row r="23" spans="1:45" x14ac:dyDescent="0.25">
      <c r="A23" s="11">
        <v>43998</v>
      </c>
      <c r="B23" s="59"/>
      <c r="C23" s="60">
        <v>76.969303266207575</v>
      </c>
      <c r="D23" s="60">
        <v>883.83082091013591</v>
      </c>
      <c r="E23" s="60">
        <v>18.146339804430831</v>
      </c>
      <c r="F23" s="60">
        <v>0</v>
      </c>
      <c r="G23" s="60">
        <v>2994.5900891621873</v>
      </c>
      <c r="H23" s="61">
        <v>29.158611017465656</v>
      </c>
      <c r="I23" s="59">
        <v>234.76857053438803</v>
      </c>
      <c r="J23" s="60">
        <v>560.99713122049832</v>
      </c>
      <c r="K23" s="60">
        <v>30.697010828057927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358.97542464123518</v>
      </c>
      <c r="V23" s="62">
        <v>178.21482666678057</v>
      </c>
      <c r="W23" s="62">
        <v>59.411595749367272</v>
      </c>
      <c r="X23" s="62">
        <v>29.495131175211064</v>
      </c>
      <c r="Y23" s="66">
        <v>283.44298915149091</v>
      </c>
      <c r="Z23" s="66">
        <v>140.71643826880691</v>
      </c>
      <c r="AA23" s="67">
        <v>0</v>
      </c>
      <c r="AB23" s="68">
        <v>88.399599636922886</v>
      </c>
      <c r="AC23" s="69">
        <v>0</v>
      </c>
      <c r="AD23" s="406">
        <v>15.120221386113439</v>
      </c>
      <c r="AE23" s="406">
        <v>7.2647649491581427</v>
      </c>
      <c r="AF23" s="69">
        <v>21.932585204972234</v>
      </c>
      <c r="AG23" s="68">
        <v>14.446527271060146</v>
      </c>
      <c r="AH23" s="68">
        <v>7.1720379079486518</v>
      </c>
      <c r="AI23" s="68">
        <v>0.6682463499051936</v>
      </c>
      <c r="AJ23" s="69">
        <v>233.88302857081092</v>
      </c>
      <c r="AK23" s="69">
        <v>809.17627954483032</v>
      </c>
      <c r="AL23" s="69">
        <v>3098.5875591278077</v>
      </c>
      <c r="AM23" s="69">
        <v>473.39021301269531</v>
      </c>
      <c r="AN23" s="69">
        <v>3586.554931640625</v>
      </c>
      <c r="AO23" s="69">
        <v>2527.6329825083412</v>
      </c>
      <c r="AP23" s="69">
        <v>506.05382548967998</v>
      </c>
      <c r="AQ23" s="69">
        <v>3497.1715614318841</v>
      </c>
      <c r="AR23" s="69">
        <v>458.95261710484823</v>
      </c>
      <c r="AS23" s="69">
        <v>1018.4712626457216</v>
      </c>
    </row>
    <row r="24" spans="1:45" x14ac:dyDescent="0.25">
      <c r="A24" s="11">
        <v>43999</v>
      </c>
      <c r="B24" s="59"/>
      <c r="C24" s="60">
        <v>79.831237109502354</v>
      </c>
      <c r="D24" s="60">
        <v>914.77013632456669</v>
      </c>
      <c r="E24" s="60">
        <v>18.710750633478149</v>
      </c>
      <c r="F24" s="60">
        <v>0</v>
      </c>
      <c r="G24" s="60">
        <v>3592.5919631958036</v>
      </c>
      <c r="H24" s="61">
        <v>30.212156329552393</v>
      </c>
      <c r="I24" s="59">
        <v>230.00340077082302</v>
      </c>
      <c r="J24" s="60">
        <v>547.7409332593279</v>
      </c>
      <c r="K24" s="60">
        <v>30.142257843414921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353.67251612669645</v>
      </c>
      <c r="V24" s="62">
        <v>186.1103174812921</v>
      </c>
      <c r="W24" s="62">
        <v>57.635297506566459</v>
      </c>
      <c r="X24" s="62">
        <v>30.328971090400572</v>
      </c>
      <c r="Y24" s="66">
        <v>302.05577332414634</v>
      </c>
      <c r="Z24" s="66">
        <v>158.94844328326568</v>
      </c>
      <c r="AA24" s="67">
        <v>0</v>
      </c>
      <c r="AB24" s="68">
        <v>88.969553666643591</v>
      </c>
      <c r="AC24" s="69">
        <v>0</v>
      </c>
      <c r="AD24" s="406">
        <v>14.763293818230494</v>
      </c>
      <c r="AE24" s="406">
        <v>7.5186068555720924</v>
      </c>
      <c r="AF24" s="69">
        <v>22.069084980752734</v>
      </c>
      <c r="AG24" s="68">
        <v>14.25114214929761</v>
      </c>
      <c r="AH24" s="68">
        <v>7.4992668893917411</v>
      </c>
      <c r="AI24" s="68">
        <v>0.65521260422955074</v>
      </c>
      <c r="AJ24" s="69">
        <v>243.41095665295919</v>
      </c>
      <c r="AK24" s="69">
        <v>808.46873776117968</v>
      </c>
      <c r="AL24" s="69">
        <v>2907.3930922190348</v>
      </c>
      <c r="AM24" s="69">
        <v>473.39021301269531</v>
      </c>
      <c r="AN24" s="69">
        <v>3586.554931640625</v>
      </c>
      <c r="AO24" s="69">
        <v>2535.7404298146566</v>
      </c>
      <c r="AP24" s="69">
        <v>508.06776440938307</v>
      </c>
      <c r="AQ24" s="69">
        <v>3483.0844245910639</v>
      </c>
      <c r="AR24" s="69">
        <v>455.14746805826815</v>
      </c>
      <c r="AS24" s="69">
        <v>915.18077847162897</v>
      </c>
    </row>
    <row r="25" spans="1:45" x14ac:dyDescent="0.25">
      <c r="A25" s="11">
        <v>44000</v>
      </c>
      <c r="B25" s="59"/>
      <c r="C25" s="60">
        <v>79.779794363180486</v>
      </c>
      <c r="D25" s="60">
        <v>914.31124229430986</v>
      </c>
      <c r="E25" s="60">
        <v>18.757221142947682</v>
      </c>
      <c r="F25" s="60">
        <v>0</v>
      </c>
      <c r="G25" s="60">
        <v>3360.601620737712</v>
      </c>
      <c r="H25" s="61">
        <v>30.17864361405379</v>
      </c>
      <c r="I25" s="59">
        <v>229.11711651484174</v>
      </c>
      <c r="J25" s="60">
        <v>547.71722014745023</v>
      </c>
      <c r="K25" s="60">
        <v>29.945153757929791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348.85501413047461</v>
      </c>
      <c r="V25" s="62">
        <v>176.56170873939618</v>
      </c>
      <c r="W25" s="62">
        <v>57.194532318753694</v>
      </c>
      <c r="X25" s="62">
        <v>28.94716701125844</v>
      </c>
      <c r="Y25" s="66">
        <v>320.40504176062046</v>
      </c>
      <c r="Z25" s="66">
        <v>162.16267323253845</v>
      </c>
      <c r="AA25" s="67">
        <v>0</v>
      </c>
      <c r="AB25" s="68">
        <v>88.968333970174811</v>
      </c>
      <c r="AC25" s="69">
        <v>0</v>
      </c>
      <c r="AD25" s="406">
        <v>14.762300675769691</v>
      </c>
      <c r="AE25" s="406">
        <v>7.5148692308337353</v>
      </c>
      <c r="AF25" s="69">
        <v>21.462738228506495</v>
      </c>
      <c r="AG25" s="68">
        <v>14.035141803948809</v>
      </c>
      <c r="AH25" s="68">
        <v>7.1034341457913373</v>
      </c>
      <c r="AI25" s="68">
        <v>0.66395871875755852</v>
      </c>
      <c r="AJ25" s="69">
        <v>261.63175373077388</v>
      </c>
      <c r="AK25" s="69">
        <v>805.78704026540095</v>
      </c>
      <c r="AL25" s="69">
        <v>2863.6748644510908</v>
      </c>
      <c r="AM25" s="69">
        <v>473.39021301269531</v>
      </c>
      <c r="AN25" s="69">
        <v>3586.554931640625</v>
      </c>
      <c r="AO25" s="69">
        <v>2473.8082761128735</v>
      </c>
      <c r="AP25" s="69">
        <v>495.16111451784764</v>
      </c>
      <c r="AQ25" s="69">
        <v>3384.672844950358</v>
      </c>
      <c r="AR25" s="69">
        <v>418.03442424138382</v>
      </c>
      <c r="AS25" s="69">
        <v>717.35124158859264</v>
      </c>
    </row>
    <row r="26" spans="1:45" x14ac:dyDescent="0.25">
      <c r="A26" s="11">
        <v>44001</v>
      </c>
      <c r="B26" s="59"/>
      <c r="C26" s="60">
        <v>79.543900942802324</v>
      </c>
      <c r="D26" s="60">
        <v>903.67142899831185</v>
      </c>
      <c r="E26" s="60">
        <v>18.519996172189693</v>
      </c>
      <c r="F26" s="60">
        <v>0</v>
      </c>
      <c r="G26" s="60">
        <v>2988.3304767608674</v>
      </c>
      <c r="H26" s="61">
        <v>29.946728060642954</v>
      </c>
      <c r="I26" s="59">
        <v>229.48391601244595</v>
      </c>
      <c r="J26" s="60">
        <v>548.62417751948033</v>
      </c>
      <c r="K26" s="60">
        <v>29.864808311065026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339.79417585581479</v>
      </c>
      <c r="V26" s="62">
        <v>179.65850405378382</v>
      </c>
      <c r="W26" s="62">
        <v>56.252574730850426</v>
      </c>
      <c r="X26" s="62">
        <v>29.742279719375372</v>
      </c>
      <c r="Y26" s="66">
        <v>311.26590172343771</v>
      </c>
      <c r="Z26" s="66">
        <v>164.57482276068842</v>
      </c>
      <c r="AA26" s="67">
        <v>0</v>
      </c>
      <c r="AB26" s="68">
        <v>88.971866411631638</v>
      </c>
      <c r="AC26" s="69">
        <v>0</v>
      </c>
      <c r="AD26" s="406">
        <v>14.786123441506174</v>
      </c>
      <c r="AE26" s="406">
        <v>7.4691648191518976</v>
      </c>
      <c r="AF26" s="69">
        <v>21.331064659357061</v>
      </c>
      <c r="AG26" s="68">
        <v>13.735040074289623</v>
      </c>
      <c r="AH26" s="68">
        <v>7.2620925495577993</v>
      </c>
      <c r="AI26" s="68">
        <v>0.65413884459109894</v>
      </c>
      <c r="AJ26" s="69">
        <v>261.75251482327781</v>
      </c>
      <c r="AK26" s="69">
        <v>786.33288634618123</v>
      </c>
      <c r="AL26" s="69">
        <v>3012.9984500885012</v>
      </c>
      <c r="AM26" s="69">
        <v>473.39021301269531</v>
      </c>
      <c r="AN26" s="69">
        <v>3586.554931640625</v>
      </c>
      <c r="AO26" s="69">
        <v>2543.0473913828537</v>
      </c>
      <c r="AP26" s="69">
        <v>481.76037422815961</v>
      </c>
      <c r="AQ26" s="69">
        <v>3413.5202292124432</v>
      </c>
      <c r="AR26" s="69">
        <v>411.1175454775493</v>
      </c>
      <c r="AS26" s="69">
        <v>675.52104838689172</v>
      </c>
    </row>
    <row r="27" spans="1:45" x14ac:dyDescent="0.25">
      <c r="A27" s="11">
        <v>44002</v>
      </c>
      <c r="B27" s="59"/>
      <c r="C27" s="60">
        <v>79.296742240587761</v>
      </c>
      <c r="D27" s="60">
        <v>893.7399572372442</v>
      </c>
      <c r="E27" s="60">
        <v>18.763604555527401</v>
      </c>
      <c r="F27" s="60">
        <v>0</v>
      </c>
      <c r="G27" s="60">
        <v>2823.2923058827787</v>
      </c>
      <c r="H27" s="61">
        <v>29.917299270629933</v>
      </c>
      <c r="I27" s="59">
        <v>229.12490684191363</v>
      </c>
      <c r="J27" s="60">
        <v>547.86643918355207</v>
      </c>
      <c r="K27" s="60">
        <v>29.825334687034296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347.71230171967051</v>
      </c>
      <c r="V27" s="62">
        <v>183.86524295890953</v>
      </c>
      <c r="W27" s="62">
        <v>57.774066480571307</v>
      </c>
      <c r="X27" s="62">
        <v>30.550091893897175</v>
      </c>
      <c r="Y27" s="66">
        <v>311.80453079262844</v>
      </c>
      <c r="Z27" s="66">
        <v>164.87773232738687</v>
      </c>
      <c r="AA27" s="67">
        <v>0</v>
      </c>
      <c r="AB27" s="68">
        <v>88.97058729595507</v>
      </c>
      <c r="AC27" s="69">
        <v>0</v>
      </c>
      <c r="AD27" s="406">
        <v>14.764737310305629</v>
      </c>
      <c r="AE27" s="406">
        <v>7.4661911326534618</v>
      </c>
      <c r="AF27" s="69">
        <v>21.695572740501774</v>
      </c>
      <c r="AG27" s="68">
        <v>13.998178191580291</v>
      </c>
      <c r="AH27" s="68">
        <v>7.402034444706036</v>
      </c>
      <c r="AI27" s="68">
        <v>0.6541139767856744</v>
      </c>
      <c r="AJ27" s="69">
        <v>238.45680648485819</v>
      </c>
      <c r="AK27" s="69">
        <v>782.05148925781259</v>
      </c>
      <c r="AL27" s="69">
        <v>2944.2791071573897</v>
      </c>
      <c r="AM27" s="69">
        <v>473.39021301269531</v>
      </c>
      <c r="AN27" s="69">
        <v>3586.554931640625</v>
      </c>
      <c r="AO27" s="69">
        <v>2398.6662027994789</v>
      </c>
      <c r="AP27" s="69">
        <v>479.19749032656358</v>
      </c>
      <c r="AQ27" s="69">
        <v>2959.2832598368336</v>
      </c>
      <c r="AR27" s="69">
        <v>418.43797678947453</v>
      </c>
      <c r="AS27" s="69">
        <v>773.6647479216258</v>
      </c>
    </row>
    <row r="28" spans="1:45" x14ac:dyDescent="0.25">
      <c r="A28" s="11">
        <v>44003</v>
      </c>
      <c r="B28" s="59"/>
      <c r="C28" s="60">
        <v>78.873324831326201</v>
      </c>
      <c r="D28" s="60">
        <v>894.02295576731683</v>
      </c>
      <c r="E28" s="60">
        <v>19.052720418075701</v>
      </c>
      <c r="F28" s="60">
        <v>0</v>
      </c>
      <c r="G28" s="60">
        <v>2825.2821221669492</v>
      </c>
      <c r="H28" s="61">
        <v>29.982488669951799</v>
      </c>
      <c r="I28" s="59">
        <v>228.94542423884073</v>
      </c>
      <c r="J28" s="60">
        <v>547.49219220479347</v>
      </c>
      <c r="K28" s="60">
        <v>30.023178916176118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353.97804151723398</v>
      </c>
      <c r="V28" s="62">
        <v>186.29484183440803</v>
      </c>
      <c r="W28" s="62">
        <v>58.684785436879928</v>
      </c>
      <c r="X28" s="62">
        <v>30.88517235190546</v>
      </c>
      <c r="Y28" s="66">
        <v>307.3840771780815</v>
      </c>
      <c r="Z28" s="66">
        <v>161.77293878134012</v>
      </c>
      <c r="AA28" s="67">
        <v>0</v>
      </c>
      <c r="AB28" s="68">
        <v>88.972743807898013</v>
      </c>
      <c r="AC28" s="69">
        <v>0</v>
      </c>
      <c r="AD28" s="406">
        <v>14.754906405969701</v>
      </c>
      <c r="AE28" s="406">
        <v>7.4686033860654799</v>
      </c>
      <c r="AF28" s="69">
        <v>22.067271904150665</v>
      </c>
      <c r="AG28" s="68">
        <v>14.250269987927972</v>
      </c>
      <c r="AH28" s="68">
        <v>7.4997640591482906</v>
      </c>
      <c r="AI28" s="68">
        <v>0.6551838014177066</v>
      </c>
      <c r="AJ28" s="69">
        <v>236.82557710011798</v>
      </c>
      <c r="AK28" s="69">
        <v>786.18308773040758</v>
      </c>
      <c r="AL28" s="69">
        <v>2923.0601011912026</v>
      </c>
      <c r="AM28" s="69">
        <v>473.39021301269531</v>
      </c>
      <c r="AN28" s="69">
        <v>3586.554931640625</v>
      </c>
      <c r="AO28" s="69">
        <v>2337.1534055074058</v>
      </c>
      <c r="AP28" s="69">
        <v>477.04610573450719</v>
      </c>
      <c r="AQ28" s="69">
        <v>3019.9044864654543</v>
      </c>
      <c r="AR28" s="69">
        <v>427.38753197987864</v>
      </c>
      <c r="AS28" s="69">
        <v>775.704831759135</v>
      </c>
    </row>
    <row r="29" spans="1:45" x14ac:dyDescent="0.25">
      <c r="A29" s="11">
        <v>44004</v>
      </c>
      <c r="B29" s="59"/>
      <c r="C29" s="60">
        <v>79.111750344434455</v>
      </c>
      <c r="D29" s="60">
        <v>897.40227025349907</v>
      </c>
      <c r="E29" s="60">
        <v>18.697737916807338</v>
      </c>
      <c r="F29" s="60">
        <v>0</v>
      </c>
      <c r="G29" s="60">
        <v>2822.362587229411</v>
      </c>
      <c r="H29" s="61">
        <v>29.996845978498484</v>
      </c>
      <c r="I29" s="59">
        <v>229.26278333663942</v>
      </c>
      <c r="J29" s="60">
        <v>547.55224892298315</v>
      </c>
      <c r="K29" s="60">
        <v>29.945751281579351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352.246069988599</v>
      </c>
      <c r="V29" s="62">
        <v>185.43387837311442</v>
      </c>
      <c r="W29" s="62">
        <v>58.288352465151078</v>
      </c>
      <c r="X29" s="62">
        <v>30.684899513405185</v>
      </c>
      <c r="Y29" s="66">
        <v>306.01191224974957</v>
      </c>
      <c r="Z29" s="66">
        <v>161.09470211741714</v>
      </c>
      <c r="AA29" s="67">
        <v>0</v>
      </c>
      <c r="AB29" s="68">
        <v>88.971717611947213</v>
      </c>
      <c r="AC29" s="69">
        <v>0</v>
      </c>
      <c r="AD29" s="406">
        <v>14.756370442640968</v>
      </c>
      <c r="AE29" s="406">
        <v>7.4662253286127198</v>
      </c>
      <c r="AF29" s="69">
        <v>21.942391453186691</v>
      </c>
      <c r="AG29" s="68">
        <v>14.170088843366738</v>
      </c>
      <c r="AH29" s="68">
        <v>7.4595992829732358</v>
      </c>
      <c r="AI29" s="68">
        <v>0.65512219873900246</v>
      </c>
      <c r="AJ29" s="69">
        <v>239.53475615183513</v>
      </c>
      <c r="AK29" s="69">
        <v>795.72306292851761</v>
      </c>
      <c r="AL29" s="69">
        <v>3027.5156550089523</v>
      </c>
      <c r="AM29" s="69">
        <v>473.39021301269531</v>
      </c>
      <c r="AN29" s="69">
        <v>3586.554931640625</v>
      </c>
      <c r="AO29" s="69">
        <v>2430.6912981669111</v>
      </c>
      <c r="AP29" s="69">
        <v>479.87309528986611</v>
      </c>
      <c r="AQ29" s="69">
        <v>3059.5077776590983</v>
      </c>
      <c r="AR29" s="69">
        <v>423.28131623268126</v>
      </c>
      <c r="AS29" s="69">
        <v>795.26783418655407</v>
      </c>
    </row>
    <row r="30" spans="1:45" x14ac:dyDescent="0.25">
      <c r="A30" s="11">
        <v>44005</v>
      </c>
      <c r="B30" s="59"/>
      <c r="C30" s="60">
        <v>79.143888096014479</v>
      </c>
      <c r="D30" s="60">
        <v>898.12979094187551</v>
      </c>
      <c r="E30" s="60">
        <v>18.694286698102985</v>
      </c>
      <c r="F30" s="60">
        <v>0</v>
      </c>
      <c r="G30" s="60">
        <v>2691.7540378570566</v>
      </c>
      <c r="H30" s="61">
        <v>29.966685936848386</v>
      </c>
      <c r="I30" s="59">
        <v>220.32525254885388</v>
      </c>
      <c r="J30" s="60">
        <v>519.52865457534801</v>
      </c>
      <c r="K30" s="60">
        <v>28.428382332623016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331.39736883499495</v>
      </c>
      <c r="V30" s="62">
        <v>184.27145502178473</v>
      </c>
      <c r="W30" s="62">
        <v>54.178681807378013</v>
      </c>
      <c r="X30" s="62">
        <v>30.125720559895999</v>
      </c>
      <c r="Y30" s="66">
        <v>286.75009292593268</v>
      </c>
      <c r="Z30" s="66">
        <v>159.44561369587376</v>
      </c>
      <c r="AA30" s="67">
        <v>0</v>
      </c>
      <c r="AB30" s="68">
        <v>86.397980758880209</v>
      </c>
      <c r="AC30" s="69">
        <v>0</v>
      </c>
      <c r="AD30" s="406">
        <v>14.004283612151012</v>
      </c>
      <c r="AE30" s="406">
        <v>7.4618589769124197</v>
      </c>
      <c r="AF30" s="69">
        <v>20.991210554043448</v>
      </c>
      <c r="AG30" s="68">
        <v>13.296124168080359</v>
      </c>
      <c r="AH30" s="68">
        <v>7.3932275178153439</v>
      </c>
      <c r="AI30" s="68">
        <v>0.64265542825803301</v>
      </c>
      <c r="AJ30" s="69">
        <v>253.17923742930097</v>
      </c>
      <c r="AK30" s="69">
        <v>812.74931484858178</v>
      </c>
      <c r="AL30" s="69">
        <v>2908.2468964894606</v>
      </c>
      <c r="AM30" s="69">
        <v>473.39021301269531</v>
      </c>
      <c r="AN30" s="69">
        <v>3586.554931640625</v>
      </c>
      <c r="AO30" s="69">
        <v>2455.0571282704668</v>
      </c>
      <c r="AP30" s="69">
        <v>487.60071444511414</v>
      </c>
      <c r="AQ30" s="69">
        <v>3013.4400123596192</v>
      </c>
      <c r="AR30" s="69">
        <v>432.58681782086694</v>
      </c>
      <c r="AS30" s="69">
        <v>860.53565578460666</v>
      </c>
    </row>
    <row r="31" spans="1:45" x14ac:dyDescent="0.25">
      <c r="A31" s="11">
        <v>44006</v>
      </c>
      <c r="B31" s="59"/>
      <c r="C31" s="60">
        <v>79.355130231380144</v>
      </c>
      <c r="D31" s="60">
        <v>907.81315975189136</v>
      </c>
      <c r="E31" s="60">
        <v>18.790518359343203</v>
      </c>
      <c r="F31" s="60">
        <v>0</v>
      </c>
      <c r="G31" s="60">
        <v>2632.2621935526563</v>
      </c>
      <c r="H31" s="61">
        <v>29.994348804156058</v>
      </c>
      <c r="I31" s="59">
        <v>218.77891128857951</v>
      </c>
      <c r="J31" s="60">
        <v>520.85951115290254</v>
      </c>
      <c r="K31" s="60">
        <v>28.58894849866628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334.13912106111451</v>
      </c>
      <c r="V31" s="62">
        <v>185.14301466920398</v>
      </c>
      <c r="W31" s="62">
        <v>54.848084805297226</v>
      </c>
      <c r="X31" s="62">
        <v>30.390753819656972</v>
      </c>
      <c r="Y31" s="66">
        <v>286.68380472244326</v>
      </c>
      <c r="Z31" s="66">
        <v>158.84851703264812</v>
      </c>
      <c r="AA31" s="67">
        <v>0</v>
      </c>
      <c r="AB31" s="68">
        <v>86.343929661643017</v>
      </c>
      <c r="AC31" s="69">
        <v>0</v>
      </c>
      <c r="AD31" s="406">
        <v>14.038487509708332</v>
      </c>
      <c r="AE31" s="406">
        <v>7.4676807518056805</v>
      </c>
      <c r="AF31" s="69">
        <v>20.856859032975311</v>
      </c>
      <c r="AG31" s="68">
        <v>13.263614323410787</v>
      </c>
      <c r="AH31" s="68">
        <v>7.3492308636221093</v>
      </c>
      <c r="AI31" s="68">
        <v>0.64346353950956003</v>
      </c>
      <c r="AJ31" s="69">
        <v>244.13291311264038</v>
      </c>
      <c r="AK31" s="69">
        <v>822.04812475840265</v>
      </c>
      <c r="AL31" s="69">
        <v>2992.1649597167971</v>
      </c>
      <c r="AM31" s="69">
        <v>473.39021301269531</v>
      </c>
      <c r="AN31" s="69">
        <v>3586.554931640625</v>
      </c>
      <c r="AO31" s="69">
        <v>2429.0375967661539</v>
      </c>
      <c r="AP31" s="69">
        <v>506.15425537427268</v>
      </c>
      <c r="AQ31" s="69">
        <v>3020.0810661315918</v>
      </c>
      <c r="AR31" s="69">
        <v>453.71343386967976</v>
      </c>
      <c r="AS31" s="69">
        <v>896.81225887934352</v>
      </c>
    </row>
    <row r="32" spans="1:45" x14ac:dyDescent="0.25">
      <c r="A32" s="11">
        <v>44007</v>
      </c>
      <c r="B32" s="59"/>
      <c r="C32" s="60">
        <v>79.080748641491141</v>
      </c>
      <c r="D32" s="60">
        <v>922.64384352366244</v>
      </c>
      <c r="E32" s="60">
        <v>18.806702341636026</v>
      </c>
      <c r="F32" s="60">
        <v>0</v>
      </c>
      <c r="G32" s="60">
        <v>2833.1206353505495</v>
      </c>
      <c r="H32" s="61">
        <v>30.020442006985366</v>
      </c>
      <c r="I32" s="59">
        <v>204.24219288031253</v>
      </c>
      <c r="J32" s="60">
        <v>497.63473234176547</v>
      </c>
      <c r="K32" s="60">
        <v>27.378509435057623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320.22215570493063</v>
      </c>
      <c r="V32" s="62">
        <v>185.14978175014272</v>
      </c>
      <c r="W32" s="62">
        <v>52.306304726237251</v>
      </c>
      <c r="X32" s="62">
        <v>30.2430694806236</v>
      </c>
      <c r="Y32" s="66">
        <v>272.49643212967828</v>
      </c>
      <c r="Z32" s="66">
        <v>157.55516611721339</v>
      </c>
      <c r="AA32" s="67">
        <v>0</v>
      </c>
      <c r="AB32" s="68">
        <v>84.698819849226851</v>
      </c>
      <c r="AC32" s="69">
        <v>0</v>
      </c>
      <c r="AD32" s="406">
        <v>13.408289494977883</v>
      </c>
      <c r="AE32" s="406">
        <v>7.4644447717795437</v>
      </c>
      <c r="AF32" s="69">
        <v>20.592021811008465</v>
      </c>
      <c r="AG32" s="68">
        <v>12.896594297408789</v>
      </c>
      <c r="AH32" s="68">
        <v>7.4567033446793056</v>
      </c>
      <c r="AI32" s="68">
        <v>0.63363659905116476</v>
      </c>
      <c r="AJ32" s="69">
        <v>233.30815399487813</v>
      </c>
      <c r="AK32" s="69">
        <v>813.61011333465592</v>
      </c>
      <c r="AL32" s="69">
        <v>2955.9309819539385</v>
      </c>
      <c r="AM32" s="69">
        <v>473.39021301269531</v>
      </c>
      <c r="AN32" s="69">
        <v>3586.554931640625</v>
      </c>
      <c r="AO32" s="69">
        <v>2410.8872968037922</v>
      </c>
      <c r="AP32" s="69">
        <v>504.20388072331741</v>
      </c>
      <c r="AQ32" s="69">
        <v>2918.5579764048266</v>
      </c>
      <c r="AR32" s="69">
        <v>435.38441940943397</v>
      </c>
      <c r="AS32" s="69">
        <v>972.58275753656994</v>
      </c>
    </row>
    <row r="33" spans="1:45" x14ac:dyDescent="0.25">
      <c r="A33" s="11">
        <v>44008</v>
      </c>
      <c r="B33" s="59"/>
      <c r="C33" s="60">
        <v>79.940847671031946</v>
      </c>
      <c r="D33" s="60">
        <v>953.46794967651385</v>
      </c>
      <c r="E33" s="60">
        <v>18.682094410061836</v>
      </c>
      <c r="F33" s="60">
        <v>0</v>
      </c>
      <c r="G33" s="60">
        <v>2956.9873680114733</v>
      </c>
      <c r="H33" s="61">
        <v>30.427146176497203</v>
      </c>
      <c r="I33" s="59">
        <v>188.72929818232859</v>
      </c>
      <c r="J33" s="60">
        <v>461.50514195760053</v>
      </c>
      <c r="K33" s="60">
        <v>25.17231065779923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294.62580262261037</v>
      </c>
      <c r="V33" s="62">
        <v>184.1223091446291</v>
      </c>
      <c r="W33" s="62">
        <v>48.037431680084133</v>
      </c>
      <c r="X33" s="62">
        <v>30.020326690951133</v>
      </c>
      <c r="Y33" s="66">
        <v>251.3624128505773</v>
      </c>
      <c r="Z33" s="66">
        <v>157.08545373229344</v>
      </c>
      <c r="AA33" s="67">
        <v>0</v>
      </c>
      <c r="AB33" s="68">
        <v>81.701994689304613</v>
      </c>
      <c r="AC33" s="69">
        <v>0</v>
      </c>
      <c r="AD33" s="406">
        <v>12.438146531917933</v>
      </c>
      <c r="AE33" s="406">
        <v>7.564573184281369</v>
      </c>
      <c r="AF33" s="69">
        <v>19.522803401947041</v>
      </c>
      <c r="AG33" s="68">
        <v>11.889820695122129</v>
      </c>
      <c r="AH33" s="68">
        <v>7.4303785419148562</v>
      </c>
      <c r="AI33" s="68">
        <v>0.61540880346250482</v>
      </c>
      <c r="AJ33" s="69">
        <v>254.02911712328594</v>
      </c>
      <c r="AK33" s="69">
        <v>818.13882303237915</v>
      </c>
      <c r="AL33" s="69">
        <v>2861.156513977051</v>
      </c>
      <c r="AM33" s="69">
        <v>473.39021301269531</v>
      </c>
      <c r="AN33" s="69">
        <v>3586.554931640625</v>
      </c>
      <c r="AO33" s="69">
        <v>2436.7770242055258</v>
      </c>
      <c r="AP33" s="69">
        <v>496.05989306767782</v>
      </c>
      <c r="AQ33" s="69">
        <v>2803.9624312082924</v>
      </c>
      <c r="AR33" s="69">
        <v>435.49525365829464</v>
      </c>
      <c r="AS33" s="69">
        <v>812.40725205739341</v>
      </c>
    </row>
    <row r="34" spans="1:45" x14ac:dyDescent="0.25">
      <c r="A34" s="11">
        <v>44009</v>
      </c>
      <c r="B34" s="59"/>
      <c r="C34" s="60">
        <v>80.893303859234109</v>
      </c>
      <c r="D34" s="60">
        <v>975.33890946705992</v>
      </c>
      <c r="E34" s="60">
        <v>19.239931088189305</v>
      </c>
      <c r="F34" s="60">
        <v>0</v>
      </c>
      <c r="G34" s="60">
        <v>2987.7236853281688</v>
      </c>
      <c r="H34" s="61">
        <v>30.670494383573562</v>
      </c>
      <c r="I34" s="59">
        <v>189.08411192893985</v>
      </c>
      <c r="J34" s="60">
        <v>461.23277425765946</v>
      </c>
      <c r="K34" s="60">
        <v>25.168458125491952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290.27161201144946</v>
      </c>
      <c r="V34" s="62">
        <v>176.48139844166778</v>
      </c>
      <c r="W34" s="62">
        <v>46.780026472986592</v>
      </c>
      <c r="X34" s="62">
        <v>28.441653091330448</v>
      </c>
      <c r="Y34" s="66">
        <v>253.87928274792688</v>
      </c>
      <c r="Z34" s="66">
        <v>154.35533135411958</v>
      </c>
      <c r="AA34" s="67">
        <v>0</v>
      </c>
      <c r="AB34" s="68">
        <v>82.098396725126051</v>
      </c>
      <c r="AC34" s="69">
        <v>0</v>
      </c>
      <c r="AD34" s="406">
        <v>12.431908621250908</v>
      </c>
      <c r="AE34" s="406">
        <v>7.6338166656055746</v>
      </c>
      <c r="AF34" s="69">
        <v>19.023463192250997</v>
      </c>
      <c r="AG34" s="68">
        <v>11.685866029395232</v>
      </c>
      <c r="AH34" s="68">
        <v>7.1048559126350366</v>
      </c>
      <c r="AI34" s="68">
        <v>0.62189553256369545</v>
      </c>
      <c r="AJ34" s="69">
        <v>233.89250237147013</v>
      </c>
      <c r="AK34" s="69">
        <v>806.44425859451303</v>
      </c>
      <c r="AL34" s="69">
        <v>2919.9449401855472</v>
      </c>
      <c r="AM34" s="69">
        <v>473.39021301269531</v>
      </c>
      <c r="AN34" s="69">
        <v>3586.554931640625</v>
      </c>
      <c r="AO34" s="69">
        <v>2397.530592600504</v>
      </c>
      <c r="AP34" s="69">
        <v>489.09271245002753</v>
      </c>
      <c r="AQ34" s="69">
        <v>2890.9274995168053</v>
      </c>
      <c r="AR34" s="69">
        <v>439.78539609909058</v>
      </c>
      <c r="AS34" s="69">
        <v>854.86525360743212</v>
      </c>
    </row>
    <row r="35" spans="1:45" x14ac:dyDescent="0.25">
      <c r="A35" s="11">
        <v>44010</v>
      </c>
      <c r="B35" s="65"/>
      <c r="C35" s="66">
        <v>81.305550289154283</v>
      </c>
      <c r="D35" s="66">
        <v>964.5019439697262</v>
      </c>
      <c r="E35" s="66">
        <v>19.439268139004717</v>
      </c>
      <c r="F35" s="66">
        <v>0</v>
      </c>
      <c r="G35" s="66">
        <v>2845.5943149566679</v>
      </c>
      <c r="H35" s="67">
        <v>30.713245948155766</v>
      </c>
      <c r="I35" s="71">
        <v>196.06976207097372</v>
      </c>
      <c r="J35" s="66">
        <v>463.03290691375634</v>
      </c>
      <c r="K35" s="66">
        <v>25.299242623150349</v>
      </c>
      <c r="L35" s="66">
        <v>0</v>
      </c>
      <c r="M35" s="66">
        <v>0</v>
      </c>
      <c r="N35" s="67">
        <v>0</v>
      </c>
      <c r="O35" s="71">
        <v>0</v>
      </c>
      <c r="P35" s="66">
        <v>0</v>
      </c>
      <c r="Q35" s="66">
        <v>0</v>
      </c>
      <c r="R35" s="387">
        <v>0</v>
      </c>
      <c r="S35" s="66">
        <v>0</v>
      </c>
      <c r="T35" s="389">
        <v>0</v>
      </c>
      <c r="U35" s="71">
        <v>299.75327201310722</v>
      </c>
      <c r="V35" s="66">
        <v>188.4560045253186</v>
      </c>
      <c r="W35" s="62">
        <v>46.070637124564094</v>
      </c>
      <c r="X35" s="62">
        <v>28.964782069339726</v>
      </c>
      <c r="Y35" s="66">
        <v>254.87183309738865</v>
      </c>
      <c r="Z35" s="66">
        <v>160.23887582277146</v>
      </c>
      <c r="AA35" s="67">
        <v>0</v>
      </c>
      <c r="AB35" s="68">
        <v>81.957683038712446</v>
      </c>
      <c r="AC35" s="388">
        <v>0</v>
      </c>
      <c r="AD35" s="406">
        <v>12.477349103599156</v>
      </c>
      <c r="AE35" s="406">
        <v>7.6469657942480866</v>
      </c>
      <c r="AF35" s="388">
        <v>19.151497399806996</v>
      </c>
      <c r="AG35" s="68">
        <v>11.627069015505981</v>
      </c>
      <c r="AH35" s="68">
        <v>7.3099818270092909</v>
      </c>
      <c r="AI35" s="68">
        <v>0.61398520351448982</v>
      </c>
      <c r="AJ35" s="388">
        <v>221.16158294677734</v>
      </c>
      <c r="AK35" s="388">
        <v>808.36328665415454</v>
      </c>
      <c r="AL35" s="388">
        <v>2993.9315741221108</v>
      </c>
      <c r="AM35" s="388">
        <v>473.39021301269531</v>
      </c>
      <c r="AN35" s="388">
        <v>3586.554931640625</v>
      </c>
      <c r="AO35" s="388">
        <v>2493.4777999877929</v>
      </c>
      <c r="AP35" s="388">
        <v>501.39142305056242</v>
      </c>
      <c r="AQ35" s="388">
        <v>2892.9228351593019</v>
      </c>
      <c r="AR35" s="388">
        <v>448.3195815722147</v>
      </c>
      <c r="AS35" s="388">
        <v>855.02956705093379</v>
      </c>
    </row>
    <row r="36" spans="1:45" x14ac:dyDescent="0.25">
      <c r="A36" s="11">
        <v>44011</v>
      </c>
      <c r="B36" s="65"/>
      <c r="C36" s="66">
        <v>81.177064577738392</v>
      </c>
      <c r="D36" s="66">
        <v>931.18574625651036</v>
      </c>
      <c r="E36" s="66">
        <v>19.121064355472733</v>
      </c>
      <c r="F36" s="66">
        <v>0</v>
      </c>
      <c r="G36" s="66">
        <v>2758.6651117960614</v>
      </c>
      <c r="H36" s="67">
        <v>30.771710937221876</v>
      </c>
      <c r="I36" s="387">
        <v>188.47662011782359</v>
      </c>
      <c r="J36" s="66">
        <v>503.3556587378186</v>
      </c>
      <c r="K36" s="66">
        <v>27.690879237651764</v>
      </c>
      <c r="L36" s="66">
        <v>0</v>
      </c>
      <c r="M36" s="66">
        <v>0</v>
      </c>
      <c r="N36" s="389">
        <v>0</v>
      </c>
      <c r="O36" s="71">
        <v>0</v>
      </c>
      <c r="P36" s="66">
        <v>0</v>
      </c>
      <c r="Q36" s="66">
        <v>0</v>
      </c>
      <c r="R36" s="66">
        <v>0</v>
      </c>
      <c r="S36" s="66">
        <v>0</v>
      </c>
      <c r="T36" s="389">
        <v>0</v>
      </c>
      <c r="U36" s="71">
        <v>334.57234590620448</v>
      </c>
      <c r="V36" s="66">
        <v>191.20156251817644</v>
      </c>
      <c r="W36" s="62">
        <v>51.917873575725579</v>
      </c>
      <c r="X36" s="62">
        <v>29.670050952396384</v>
      </c>
      <c r="Y36" s="66">
        <v>283.27395895867738</v>
      </c>
      <c r="Z36" s="66">
        <v>161.88553607713004</v>
      </c>
      <c r="AA36" s="389">
        <v>0</v>
      </c>
      <c r="AB36" s="430">
        <v>85.588664955563203</v>
      </c>
      <c r="AC36" s="388">
        <v>0</v>
      </c>
      <c r="AD36" s="406">
        <v>13.570586146518522</v>
      </c>
      <c r="AE36" s="406">
        <v>7.654144582384256</v>
      </c>
      <c r="AF36" s="388">
        <v>20.629607015185901</v>
      </c>
      <c r="AG36" s="68">
        <v>12.974624662833589</v>
      </c>
      <c r="AH36" s="68">
        <v>7.4147446403598449</v>
      </c>
      <c r="AI36" s="68">
        <v>0.63634261903341316</v>
      </c>
      <c r="AJ36" s="388">
        <v>223.9238538424174</v>
      </c>
      <c r="AK36" s="388">
        <v>807.98744322458879</v>
      </c>
      <c r="AL36" s="388">
        <v>3013.8500576019287</v>
      </c>
      <c r="AM36" s="388">
        <v>473.39021301269531</v>
      </c>
      <c r="AN36" s="388">
        <v>3586.554931640625</v>
      </c>
      <c r="AO36" s="388">
        <v>2590.1663714090987</v>
      </c>
      <c r="AP36" s="388">
        <v>509.00464866956082</v>
      </c>
      <c r="AQ36" s="388">
        <v>2951.9357892354337</v>
      </c>
      <c r="AR36" s="388">
        <v>444.83838291168223</v>
      </c>
      <c r="AS36" s="388">
        <v>962.03550408681213</v>
      </c>
    </row>
    <row r="37" spans="1:45" x14ac:dyDescent="0.25">
      <c r="A37" s="11">
        <v>44012</v>
      </c>
      <c r="B37" s="393"/>
      <c r="C37" s="80">
        <v>80.941097352902162</v>
      </c>
      <c r="D37" s="80">
        <v>916.71731955210373</v>
      </c>
      <c r="E37" s="80">
        <v>18.994344620903348</v>
      </c>
      <c r="F37" s="80">
        <v>0</v>
      </c>
      <c r="G37" s="80">
        <v>2859.2417022705113</v>
      </c>
      <c r="H37" s="82">
        <v>30.735807917515494</v>
      </c>
      <c r="I37" s="435">
        <v>210.85963101387006</v>
      </c>
      <c r="J37" s="80">
        <v>575.23147171338417</v>
      </c>
      <c r="K37" s="80">
        <v>31.382591061790766</v>
      </c>
      <c r="L37" s="80">
        <v>0</v>
      </c>
      <c r="M37" s="80">
        <v>0</v>
      </c>
      <c r="N37" s="436">
        <v>0</v>
      </c>
      <c r="O37" s="79">
        <v>0</v>
      </c>
      <c r="P37" s="80">
        <v>0</v>
      </c>
      <c r="Q37" s="80">
        <v>0</v>
      </c>
      <c r="R37" s="80">
        <v>0</v>
      </c>
      <c r="S37" s="80">
        <v>0</v>
      </c>
      <c r="T37" s="436">
        <v>0</v>
      </c>
      <c r="U37" s="79">
        <v>384.19987377771054</v>
      </c>
      <c r="V37" s="80">
        <v>191.21904644255724</v>
      </c>
      <c r="W37" s="81">
        <v>59.886677765764688</v>
      </c>
      <c r="X37" s="81">
        <v>29.806031179509926</v>
      </c>
      <c r="Y37" s="80">
        <v>324.73244032425475</v>
      </c>
      <c r="Z37" s="80">
        <v>161.62167617914267</v>
      </c>
      <c r="AA37" s="436">
        <v>0</v>
      </c>
      <c r="AB37" s="437">
        <v>92.025909418530944</v>
      </c>
      <c r="AC37" s="438">
        <v>0</v>
      </c>
      <c r="AD37" s="439">
        <v>15.5095921200919</v>
      </c>
      <c r="AE37" s="439">
        <v>7.6493193666006025</v>
      </c>
      <c r="AF37" s="438">
        <v>22.835661714606783</v>
      </c>
      <c r="AG37" s="394">
        <v>15.070227967541314</v>
      </c>
      <c r="AH37" s="394">
        <v>7.5005610837147332</v>
      </c>
      <c r="AI37" s="394">
        <v>0.66768724537358026</v>
      </c>
      <c r="AJ37" s="438">
        <v>240.57834870020548</v>
      </c>
      <c r="AK37" s="438">
        <v>805.33382851282749</v>
      </c>
      <c r="AL37" s="438">
        <v>2920.7078299204509</v>
      </c>
      <c r="AM37" s="438">
        <v>473.39021301269531</v>
      </c>
      <c r="AN37" s="438">
        <v>3586.554931640625</v>
      </c>
      <c r="AO37" s="438">
        <v>2503.7934204101557</v>
      </c>
      <c r="AP37" s="438">
        <v>499.42017922401413</v>
      </c>
      <c r="AQ37" s="438">
        <v>3183.3414910634351</v>
      </c>
      <c r="AR37" s="438">
        <v>444.87408536275223</v>
      </c>
      <c r="AS37" s="438">
        <v>892.46235376993798</v>
      </c>
    </row>
    <row r="38" spans="1:45" ht="15.75" thickBot="1" x14ac:dyDescent="0.3">
      <c r="A38" s="11"/>
      <c r="B38" s="423"/>
      <c r="C38" s="424"/>
      <c r="D38" s="424"/>
      <c r="E38" s="424"/>
      <c r="F38" s="424"/>
      <c r="G38" s="424"/>
      <c r="H38" s="425"/>
      <c r="I38" s="426"/>
      <c r="J38" s="424"/>
      <c r="K38" s="424"/>
      <c r="L38" s="424"/>
      <c r="M38" s="424"/>
      <c r="N38" s="428"/>
      <c r="O38" s="429"/>
      <c r="P38" s="424"/>
      <c r="Q38" s="424"/>
      <c r="R38" s="424"/>
      <c r="S38" s="424"/>
      <c r="T38" s="428"/>
      <c r="U38" s="429"/>
      <c r="V38" s="424"/>
      <c r="W38" s="427"/>
      <c r="X38" s="427"/>
      <c r="Y38" s="424"/>
      <c r="Z38" s="424"/>
      <c r="AA38" s="428"/>
      <c r="AB38" s="431"/>
      <c r="AC38" s="432"/>
      <c r="AD38" s="433"/>
      <c r="AE38" s="433"/>
      <c r="AF38" s="432"/>
      <c r="AG38" s="434"/>
      <c r="AH38" s="434"/>
      <c r="AI38" s="434"/>
      <c r="AJ38" s="432"/>
      <c r="AK38" s="432"/>
      <c r="AL38" s="432"/>
      <c r="AM38" s="432"/>
      <c r="AN38" s="432"/>
      <c r="AO38" s="432"/>
      <c r="AP38" s="432"/>
      <c r="AQ38" s="432"/>
      <c r="AR38" s="432"/>
      <c r="AS38" s="432"/>
    </row>
    <row r="39" spans="1:45" ht="15.75" thickTop="1" x14ac:dyDescent="0.25">
      <c r="A39" s="46" t="s">
        <v>171</v>
      </c>
      <c r="B39" s="414">
        <f t="shared" ref="B39" si="0">SUM(B8:B35)</f>
        <v>0</v>
      </c>
      <c r="C39" s="415">
        <f t="shared" ref="C39:AC39" si="1">SUM(C8:C38)</f>
        <v>2202.2705054481826</v>
      </c>
      <c r="D39" s="415">
        <f t="shared" si="1"/>
        <v>26325.79423848194</v>
      </c>
      <c r="E39" s="415">
        <f t="shared" si="1"/>
        <v>521.32767195204883</v>
      </c>
      <c r="F39" s="415">
        <f t="shared" si="1"/>
        <v>0</v>
      </c>
      <c r="G39" s="415">
        <f t="shared" si="1"/>
        <v>82846.998897043901</v>
      </c>
      <c r="H39" s="416">
        <f t="shared" si="1"/>
        <v>834.69698097308583</v>
      </c>
      <c r="I39" s="414">
        <f t="shared" si="1"/>
        <v>7769.0806276361118</v>
      </c>
      <c r="J39" s="415">
        <f t="shared" si="1"/>
        <v>18614.813046709685</v>
      </c>
      <c r="K39" s="415">
        <f t="shared" si="1"/>
        <v>1020.0332151100038</v>
      </c>
      <c r="L39" s="415">
        <f t="shared" si="1"/>
        <v>0</v>
      </c>
      <c r="M39" s="415">
        <f t="shared" si="1"/>
        <v>0</v>
      </c>
      <c r="N39" s="416">
        <f t="shared" si="1"/>
        <v>0</v>
      </c>
      <c r="O39" s="417">
        <f t="shared" si="1"/>
        <v>0</v>
      </c>
      <c r="P39" s="418">
        <f t="shared" si="1"/>
        <v>0</v>
      </c>
      <c r="Q39" s="418">
        <f t="shared" si="1"/>
        <v>0</v>
      </c>
      <c r="R39" s="418">
        <f t="shared" si="1"/>
        <v>0</v>
      </c>
      <c r="S39" s="418">
        <f t="shared" si="1"/>
        <v>0</v>
      </c>
      <c r="T39" s="419">
        <f t="shared" si="1"/>
        <v>0</v>
      </c>
      <c r="U39" s="417">
        <f t="shared" si="1"/>
        <v>12630.022551693792</v>
      </c>
      <c r="V39" s="418">
        <f t="shared" si="1"/>
        <v>5045.3397126214822</v>
      </c>
      <c r="W39" s="418">
        <f t="shared" si="1"/>
        <v>2049.782653124917</v>
      </c>
      <c r="X39" s="418">
        <f t="shared" si="1"/>
        <v>819.60412290912132</v>
      </c>
      <c r="Y39" s="418">
        <f t="shared" si="1"/>
        <v>9913.3615901012345</v>
      </c>
      <c r="Z39" s="418">
        <f t="shared" si="1"/>
        <v>4063.0904228270915</v>
      </c>
      <c r="AA39" s="420">
        <f t="shared" si="1"/>
        <v>0</v>
      </c>
      <c r="AB39" s="421">
        <f t="shared" si="1"/>
        <v>2867.6708072291299</v>
      </c>
      <c r="AC39" s="421">
        <f t="shared" si="1"/>
        <v>0</v>
      </c>
      <c r="AD39" s="422" t="s">
        <v>29</v>
      </c>
      <c r="AE39" s="422" t="s">
        <v>29</v>
      </c>
      <c r="AF39" s="422" t="s">
        <v>29</v>
      </c>
      <c r="AG39" s="422" t="s">
        <v>29</v>
      </c>
      <c r="AH39" s="422" t="s">
        <v>29</v>
      </c>
      <c r="AI39" s="422" t="s">
        <v>159</v>
      </c>
      <c r="AJ39" s="421">
        <f t="shared" ref="AJ39:AS39" si="2">SUM(AJ8:AJ38)</f>
        <v>7066.4661732991517</v>
      </c>
      <c r="AK39" s="421">
        <f t="shared" si="2"/>
        <v>23832.494924132032</v>
      </c>
      <c r="AL39" s="421">
        <f t="shared" si="2"/>
        <v>88277.159008407587</v>
      </c>
      <c r="AM39" s="421">
        <f t="shared" si="2"/>
        <v>14753.551814079285</v>
      </c>
      <c r="AN39" s="421">
        <f t="shared" si="2"/>
        <v>107596.64794921875</v>
      </c>
      <c r="AO39" s="421">
        <f t="shared" si="2"/>
        <v>74278.082604980489</v>
      </c>
      <c r="AP39" s="421">
        <f t="shared" si="2"/>
        <v>14678.260935481387</v>
      </c>
      <c r="AQ39" s="421">
        <f t="shared" si="2"/>
        <v>98515.877312088007</v>
      </c>
      <c r="AR39" s="421">
        <f t="shared" si="2"/>
        <v>13173.416377989453</v>
      </c>
      <c r="AS39" s="421">
        <f t="shared" si="2"/>
        <v>25101.846083180113</v>
      </c>
    </row>
    <row r="40" spans="1:45" ht="15.75" thickBot="1" x14ac:dyDescent="0.3">
      <c r="A40" s="47" t="s">
        <v>172</v>
      </c>
      <c r="B40" s="32">
        <f>Projection!$AB$30</f>
        <v>0.66681052199999991</v>
      </c>
      <c r="C40" s="33">
        <f>Projection!$AB$28</f>
        <v>1.4286753599999999</v>
      </c>
      <c r="D40" s="33">
        <f>Projection!$AB$31</f>
        <v>1.7916822000000003</v>
      </c>
      <c r="E40" s="33">
        <f>Projection!$AB$26</f>
        <v>4.4235360000000004</v>
      </c>
      <c r="F40" s="33">
        <f>Projection!$AB$23</f>
        <v>0</v>
      </c>
      <c r="G40" s="33">
        <f>Projection!$AB$24</f>
        <v>5.9975000000000001E-2</v>
      </c>
      <c r="H40" s="34">
        <f>Projection!$AB$29</f>
        <v>3.7390305000000001</v>
      </c>
      <c r="I40" s="32">
        <f>Projection!$AB$30</f>
        <v>0.66681052199999991</v>
      </c>
      <c r="J40" s="33">
        <f>Projection!$AB$28</f>
        <v>1.4286753599999999</v>
      </c>
      <c r="K40" s="33">
        <f>Projection!$AB$26</f>
        <v>4.4235360000000004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1.4286753599999999</v>
      </c>
      <c r="T40" s="38">
        <f>Projection!$AB$28</f>
        <v>1.4286753599999999</v>
      </c>
      <c r="U40" s="26">
        <f>Projection!$AB$27</f>
        <v>0.26450000000000001</v>
      </c>
      <c r="V40" s="27">
        <f>Projection!$AB$27</f>
        <v>0.26450000000000001</v>
      </c>
      <c r="W40" s="27">
        <f>Projection!$AB$22</f>
        <v>0.85935360000000005</v>
      </c>
      <c r="X40" s="27">
        <f>Projection!$AB$22</f>
        <v>0.85935360000000005</v>
      </c>
      <c r="Y40" s="27">
        <f>Projection!$AB$31</f>
        <v>1.7916822000000003</v>
      </c>
      <c r="Z40" s="27">
        <f>Projection!$AB$31</f>
        <v>1.7916822000000003</v>
      </c>
      <c r="AA40" s="28">
        <v>0</v>
      </c>
      <c r="AB40" s="41">
        <f>Projection!$AB$27</f>
        <v>0.26450000000000001</v>
      </c>
      <c r="AC40" s="41">
        <f>Projection!$AB$30</f>
        <v>0.66681052199999991</v>
      </c>
      <c r="AD40" s="397">
        <f>SUM(AD8:AD38)</f>
        <v>531.23046117482261</v>
      </c>
      <c r="AE40" s="397">
        <f>SUM(AE8:AE38)</f>
        <v>207.89136227173108</v>
      </c>
      <c r="AF40" s="275">
        <f>SUM(AF8:AF38)</f>
        <v>720.96505059401181</v>
      </c>
      <c r="AG40" s="275">
        <f>SUM(AG8:AG38)</f>
        <v>509.0811077112088</v>
      </c>
      <c r="AH40" s="275">
        <f>SUM(AH8:AH38)</f>
        <v>202.76109124201662</v>
      </c>
      <c r="AI40" s="275">
        <f>IF(SUM(AG40:AH40)&gt;0, AG40/(AG40+AH40), 0)</f>
        <v>0.71516005718657893</v>
      </c>
      <c r="AJ40" s="310">
        <v>6.4000000000000001E-2</v>
      </c>
      <c r="AK40" s="310">
        <f t="shared" ref="AK40:AS40" si="3">$AJ$40</f>
        <v>6.4000000000000001E-2</v>
      </c>
      <c r="AL40" s="310">
        <f t="shared" si="3"/>
        <v>6.4000000000000001E-2</v>
      </c>
      <c r="AM40" s="310">
        <f t="shared" si="3"/>
        <v>6.4000000000000001E-2</v>
      </c>
      <c r="AN40" s="310">
        <f t="shared" si="3"/>
        <v>6.4000000000000001E-2</v>
      </c>
      <c r="AO40" s="310">
        <f t="shared" si="3"/>
        <v>6.4000000000000001E-2</v>
      </c>
      <c r="AP40" s="310">
        <f t="shared" si="3"/>
        <v>6.4000000000000001E-2</v>
      </c>
      <c r="AQ40" s="310">
        <f t="shared" si="3"/>
        <v>6.4000000000000001E-2</v>
      </c>
      <c r="AR40" s="310">
        <f t="shared" si="3"/>
        <v>6.4000000000000001E-2</v>
      </c>
      <c r="AS40" s="310">
        <f t="shared" si="3"/>
        <v>6.4000000000000001E-2</v>
      </c>
    </row>
    <row r="41" spans="1:45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3146.3296071885643</v>
      </c>
      <c r="D41" s="36">
        <f t="shared" si="4"/>
        <v>47167.456937950657</v>
      </c>
      <c r="E41" s="36">
        <f t="shared" si="4"/>
        <v>2306.1117246760787</v>
      </c>
      <c r="F41" s="36">
        <f t="shared" si="4"/>
        <v>0</v>
      </c>
      <c r="G41" s="36">
        <f t="shared" si="4"/>
        <v>4968.7487588502081</v>
      </c>
      <c r="H41" s="37">
        <f t="shared" si="4"/>
        <v>3120.9574701162878</v>
      </c>
      <c r="I41" s="35">
        <f t="shared" si="4"/>
        <v>5180.5047087741223</v>
      </c>
      <c r="J41" s="36">
        <f t="shared" si="4"/>
        <v>26594.524730840654</v>
      </c>
      <c r="K41" s="36">
        <f t="shared" si="4"/>
        <v>4512.1536482348456</v>
      </c>
      <c r="L41" s="36">
        <f t="shared" si="4"/>
        <v>0</v>
      </c>
      <c r="M41" s="36">
        <f t="shared" si="4"/>
        <v>0</v>
      </c>
      <c r="N41" s="37">
        <f t="shared" si="4"/>
        <v>0</v>
      </c>
      <c r="O41" s="265">
        <f t="shared" si="4"/>
        <v>0</v>
      </c>
      <c r="P41" s="266">
        <f t="shared" si="4"/>
        <v>0</v>
      </c>
      <c r="Q41" s="266">
        <f t="shared" si="4"/>
        <v>0</v>
      </c>
      <c r="R41" s="266">
        <f t="shared" si="4"/>
        <v>0</v>
      </c>
      <c r="S41" s="266">
        <f t="shared" si="4"/>
        <v>0</v>
      </c>
      <c r="T41" s="267">
        <f t="shared" si="4"/>
        <v>0</v>
      </c>
      <c r="U41" s="265">
        <f t="shared" si="4"/>
        <v>3340.6409649230081</v>
      </c>
      <c r="V41" s="266">
        <f t="shared" si="4"/>
        <v>1334.4923539883821</v>
      </c>
      <c r="W41" s="266">
        <f t="shared" si="4"/>
        <v>1761.4881021804488</v>
      </c>
      <c r="X41" s="266">
        <f t="shared" si="4"/>
        <v>704.32975359679597</v>
      </c>
      <c r="Y41" s="266">
        <f t="shared" si="4"/>
        <v>17761.59350314808</v>
      </c>
      <c r="Z41" s="266">
        <f t="shared" si="4"/>
        <v>7279.7667875697753</v>
      </c>
      <c r="AA41" s="270">
        <f t="shared" si="4"/>
        <v>0</v>
      </c>
      <c r="AB41" s="273">
        <f t="shared" si="4"/>
        <v>758.49892851210484</v>
      </c>
      <c r="AC41" s="273">
        <f t="shared" si="4"/>
        <v>0</v>
      </c>
      <c r="AJ41" s="276">
        <f t="shared" ref="AJ41:AS41" si="5">AJ40*AJ39</f>
        <v>452.25383509114573</v>
      </c>
      <c r="AK41" s="276">
        <f t="shared" si="5"/>
        <v>1525.27967514445</v>
      </c>
      <c r="AL41" s="276">
        <f t="shared" si="5"/>
        <v>5649.738176538086</v>
      </c>
      <c r="AM41" s="276">
        <f t="shared" si="5"/>
        <v>944.22731610107428</v>
      </c>
      <c r="AN41" s="276">
        <f t="shared" si="5"/>
        <v>6886.1854687499999</v>
      </c>
      <c r="AO41" s="276">
        <f t="shared" si="5"/>
        <v>4753.7972867187518</v>
      </c>
      <c r="AP41" s="276">
        <f t="shared" si="5"/>
        <v>939.40869987080873</v>
      </c>
      <c r="AQ41" s="276">
        <f t="shared" si="5"/>
        <v>6305.0161479736325</v>
      </c>
      <c r="AR41" s="276">
        <f t="shared" si="5"/>
        <v>843.09864819132508</v>
      </c>
      <c r="AS41" s="276">
        <f t="shared" si="5"/>
        <v>1606.5181493235273</v>
      </c>
    </row>
    <row r="42" spans="1:45" ht="49.5" customHeight="1" thickTop="1" thickBot="1" x14ac:dyDescent="0.3">
      <c r="A42" s="640">
        <f>MAY!$A$42+31</f>
        <v>43983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446.25</v>
      </c>
      <c r="AK42" s="276" t="s">
        <v>197</v>
      </c>
      <c r="AL42" s="276">
        <v>85.21</v>
      </c>
      <c r="AM42" s="276">
        <v>257.74</v>
      </c>
      <c r="AN42" s="276">
        <v>44.73</v>
      </c>
      <c r="AO42" s="276">
        <v>1296.03</v>
      </c>
      <c r="AP42" s="276">
        <v>347.56</v>
      </c>
      <c r="AQ42" s="276" t="s">
        <v>197</v>
      </c>
      <c r="AR42" s="276">
        <v>46.86</v>
      </c>
      <c r="AS42" s="276">
        <v>163.30000000000001</v>
      </c>
    </row>
    <row r="43" spans="1:4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45" ht="24.75" thickTop="1" thickBot="1" x14ac:dyDescent="0.3">
      <c r="A44" s="280" t="s">
        <v>135</v>
      </c>
      <c r="B44" s="281">
        <f>SUM(B41:AC41)</f>
        <v>129937.59798055001</v>
      </c>
      <c r="C44" s="12"/>
      <c r="D44" s="280" t="s">
        <v>135</v>
      </c>
      <c r="E44" s="281">
        <f>SUM(B41:H41)+P41+R41+T41+V41+X41+Z41</f>
        <v>70028.193393936745</v>
      </c>
      <c r="F44" s="12"/>
      <c r="G44" s="280" t="s">
        <v>135</v>
      </c>
      <c r="H44" s="281">
        <f>SUM(I41:N41)+O41+Q41+S41+U41+W41+Y41</f>
        <v>59150.905658101154</v>
      </c>
      <c r="I44" s="12"/>
      <c r="J44" s="280" t="s">
        <v>198</v>
      </c>
      <c r="K44" s="281">
        <v>150742.55000000002</v>
      </c>
      <c r="L44" s="12"/>
      <c r="M44" s="12"/>
      <c r="N44" s="12"/>
      <c r="O44" s="12"/>
      <c r="P44" s="12"/>
      <c r="Q44" s="12"/>
      <c r="R44" s="317" t="s">
        <v>135</v>
      </c>
      <c r="S44" s="318"/>
      <c r="T44" s="311" t="s">
        <v>167</v>
      </c>
      <c r="U44" s="253" t="s">
        <v>168</v>
      </c>
    </row>
    <row r="45" spans="1:45" ht="24" thickBot="1" x14ac:dyDescent="0.4">
      <c r="A45" s="282" t="s">
        <v>183</v>
      </c>
      <c r="B45" s="283">
        <f>SUM(AJ41:AS41)</f>
        <v>29905.523403702802</v>
      </c>
      <c r="C45" s="12"/>
      <c r="D45" s="282" t="s">
        <v>183</v>
      </c>
      <c r="E45" s="283">
        <f>AJ41*(1-$AI$40)+AK41+AL41*0.5+AN41+AO41*(1-$AI$40)+AP41*(1-$AI$40)+AQ41*(1-$AI$40)+AR41*0.5+AS41*0.5</f>
        <v>16007.535494117132</v>
      </c>
      <c r="F45" s="24"/>
      <c r="G45" s="282" t="s">
        <v>183</v>
      </c>
      <c r="H45" s="283">
        <f>AJ41*AI40+AL41*0.5+AM41+AO41*AI40+AP41*AI40+AQ41*AI40+AR41*0.5+AS41*0.5</f>
        <v>13897.987909585669</v>
      </c>
      <c r="I45" s="12"/>
      <c r="J45" s="12"/>
      <c r="K45" s="286"/>
      <c r="L45" s="12"/>
      <c r="M45" s="12"/>
      <c r="N45" s="12"/>
      <c r="O45" s="12"/>
      <c r="P45" s="12"/>
      <c r="Q45" s="12"/>
      <c r="R45" s="315" t="s">
        <v>141</v>
      </c>
      <c r="S45" s="316"/>
      <c r="T45" s="252">
        <f>$W$39+$X$39</f>
        <v>2869.3867760340381</v>
      </c>
      <c r="U45" s="254">
        <f>(T45*8.34*0.895)/27000</f>
        <v>0.79325791527225453</v>
      </c>
    </row>
    <row r="46" spans="1:45" ht="32.25" thickBot="1" x14ac:dyDescent="0.3">
      <c r="A46" s="284" t="s">
        <v>184</v>
      </c>
      <c r="B46" s="285">
        <f>SUM(AJ42:AS42)</f>
        <v>2687.6800000000003</v>
      </c>
      <c r="C46" s="12"/>
      <c r="D46" s="284" t="s">
        <v>184</v>
      </c>
      <c r="E46" s="285">
        <f>AJ42*(1-$AI$40)+AL42*0.5+AN42+AO42*(1-$AI$40)+AP42*(1-$AI$40)+AR42*0.5+AS42*0.5</f>
        <v>787.68490608919979</v>
      </c>
      <c r="F46" s="23"/>
      <c r="G46" s="284" t="s">
        <v>184</v>
      </c>
      <c r="H46" s="285">
        <f>AJ42*AI40+AL42*0.5+AM42+AO42*AI40+AP42*AI40+AR42*0.5+AS42*0.5</f>
        <v>1899.9950939108003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15" t="s">
        <v>145</v>
      </c>
      <c r="S46" s="316"/>
      <c r="T46" s="252">
        <f>$M$39+$N$39+$F$39</f>
        <v>0</v>
      </c>
      <c r="U46" s="255">
        <f>(((T46*8.34)*0.005)/(8.34*1.055))/400</f>
        <v>0</v>
      </c>
    </row>
    <row r="47" spans="1:45" ht="24.75" thickTop="1" thickBot="1" x14ac:dyDescent="0.4">
      <c r="A47" s="284" t="s">
        <v>185</v>
      </c>
      <c r="B47" s="285">
        <f>K44</f>
        <v>150742.55000000002</v>
      </c>
      <c r="C47" s="12"/>
      <c r="D47" s="284" t="s">
        <v>187</v>
      </c>
      <c r="E47" s="285">
        <f>K44*0.5</f>
        <v>75371.275000000009</v>
      </c>
      <c r="F47" s="24"/>
      <c r="G47" s="284" t="s">
        <v>185</v>
      </c>
      <c r="H47" s="285">
        <f>K44*0.5</f>
        <v>75371.275000000009</v>
      </c>
      <c r="I47" s="12"/>
      <c r="J47" s="280" t="s">
        <v>198</v>
      </c>
      <c r="K47" s="281">
        <v>97286.470000000016</v>
      </c>
      <c r="L47" s="12"/>
      <c r="M47" s="12"/>
      <c r="N47" s="12"/>
      <c r="O47" s="12"/>
      <c r="P47" s="12"/>
      <c r="Q47" s="12"/>
      <c r="R47" s="315" t="s">
        <v>148</v>
      </c>
      <c r="S47" s="316"/>
      <c r="T47" s="252">
        <f>$G$39</f>
        <v>82846.998897043901</v>
      </c>
      <c r="U47" s="254">
        <f>T47/40000</f>
        <v>2.0711749724260975</v>
      </c>
    </row>
    <row r="48" spans="1:45" ht="24" thickBot="1" x14ac:dyDescent="0.3">
      <c r="A48" s="284" t="s">
        <v>186</v>
      </c>
      <c r="B48" s="285">
        <f>K47</f>
        <v>97286.470000000016</v>
      </c>
      <c r="C48" s="12"/>
      <c r="D48" s="284" t="s">
        <v>186</v>
      </c>
      <c r="E48" s="285">
        <f>K47*0.5</f>
        <v>48643.235000000008</v>
      </c>
      <c r="F48" s="23"/>
      <c r="G48" s="284" t="s">
        <v>186</v>
      </c>
      <c r="H48" s="285">
        <f>K47*0.5</f>
        <v>48643.235000000008</v>
      </c>
      <c r="I48" s="12"/>
      <c r="J48" s="12"/>
      <c r="K48" s="86"/>
      <c r="L48" s="12"/>
      <c r="M48" s="12"/>
      <c r="N48" s="12"/>
      <c r="O48" s="12"/>
      <c r="P48" s="12"/>
      <c r="Q48" s="12"/>
      <c r="R48" s="315" t="s">
        <v>150</v>
      </c>
      <c r="S48" s="316"/>
      <c r="T48" s="252">
        <f>$L$39</f>
        <v>0</v>
      </c>
      <c r="U48" s="254">
        <f>T48*9.34*0.107</f>
        <v>0</v>
      </c>
    </row>
    <row r="49" spans="1:25" ht="48" thickTop="1" thickBot="1" x14ac:dyDescent="0.3">
      <c r="A49" s="289" t="s">
        <v>194</v>
      </c>
      <c r="B49" s="290">
        <f>AF40</f>
        <v>720.96505059401181</v>
      </c>
      <c r="C49" s="12"/>
      <c r="D49" s="289" t="s">
        <v>195</v>
      </c>
      <c r="E49" s="290">
        <f>AH40</f>
        <v>202.76109124201662</v>
      </c>
      <c r="F49" s="371">
        <f>E44/E49</f>
        <v>345.37293602523943</v>
      </c>
      <c r="G49" s="289" t="s">
        <v>196</v>
      </c>
      <c r="H49" s="290">
        <f>AG40</f>
        <v>509.0811077112088</v>
      </c>
      <c r="I49" s="370">
        <f>H44/H49</f>
        <v>116.1915159728462</v>
      </c>
      <c r="J49" s="12"/>
      <c r="K49" s="86"/>
      <c r="L49" s="12"/>
      <c r="M49" s="12"/>
      <c r="N49" s="12"/>
      <c r="O49" s="12"/>
      <c r="P49" s="12"/>
      <c r="Q49" s="12"/>
      <c r="R49" s="315" t="s">
        <v>152</v>
      </c>
      <c r="S49" s="316"/>
      <c r="T49" s="252">
        <f>$E$39+$K$39</f>
        <v>1541.3608870620526</v>
      </c>
      <c r="U49" s="254">
        <f>(T49*8.34*1.04)/45000</f>
        <v>0.29709217311158714</v>
      </c>
    </row>
    <row r="50" spans="1:25" ht="48" customHeight="1" thickTop="1" thickBot="1" x14ac:dyDescent="0.3">
      <c r="A50" s="289" t="s">
        <v>223</v>
      </c>
      <c r="B50" s="290">
        <f>SUM(E50+H50)</f>
        <v>739.12182344655366</v>
      </c>
      <c r="C50" s="12"/>
      <c r="D50" s="289" t="s">
        <v>224</v>
      </c>
      <c r="E50" s="290">
        <f>AE40</f>
        <v>207.89136227173108</v>
      </c>
      <c r="F50" s="371"/>
      <c r="G50" s="289" t="s">
        <v>225</v>
      </c>
      <c r="H50" s="290">
        <f>AD40</f>
        <v>531.23046117482261</v>
      </c>
      <c r="I50" s="370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555.46975932843725</v>
      </c>
      <c r="C51" s="12"/>
      <c r="D51" s="289" t="s">
        <v>188</v>
      </c>
      <c r="E51" s="292">
        <f>SUM(E44:E48)/E50</f>
        <v>1014.1735639721319</v>
      </c>
      <c r="F51" s="23"/>
      <c r="G51" s="289" t="s">
        <v>189</v>
      </c>
      <c r="H51" s="292">
        <f>SUM(H44:H48)/H50</f>
        <v>374.53311359741627</v>
      </c>
      <c r="I51" s="12"/>
      <c r="J51" s="12"/>
      <c r="K51" s="86"/>
      <c r="L51" s="12"/>
      <c r="M51" s="12"/>
      <c r="N51" s="12"/>
      <c r="O51" s="12"/>
      <c r="P51" s="12"/>
      <c r="Q51" s="12"/>
      <c r="R51" s="315" t="s">
        <v>153</v>
      </c>
      <c r="S51" s="316"/>
      <c r="T51" s="252">
        <f>$U$39+$V$39+$AB$39</f>
        <v>20543.033071544403</v>
      </c>
      <c r="U51" s="254">
        <f>T51/2000/8</f>
        <v>1.2839395669715252</v>
      </c>
    </row>
    <row r="52" spans="1:25" ht="47.25" customHeight="1" thickTop="1" thickBot="1" x14ac:dyDescent="0.3">
      <c r="A52" s="279" t="s">
        <v>191</v>
      </c>
      <c r="B52" s="292">
        <f>B51/1000</f>
        <v>0.55546975932843723</v>
      </c>
      <c r="C52" s="12"/>
      <c r="D52" s="279" t="s">
        <v>192</v>
      </c>
      <c r="E52" s="292">
        <f>E51/1000</f>
        <v>1.0141735639721319</v>
      </c>
      <c r="F52" s="12"/>
      <c r="G52" s="279" t="s">
        <v>193</v>
      </c>
      <c r="H52" s="292">
        <f>H51/1000</f>
        <v>0.37453311359741626</v>
      </c>
      <c r="I52" s="12"/>
      <c r="J52" s="12"/>
      <c r="K52" s="86"/>
      <c r="L52" s="12"/>
      <c r="M52" s="12"/>
      <c r="N52" s="12"/>
      <c r="O52" s="12"/>
      <c r="P52" s="12"/>
      <c r="Q52" s="12"/>
      <c r="R52" s="315" t="s">
        <v>154</v>
      </c>
      <c r="S52" s="316"/>
      <c r="T52" s="252">
        <f>$C$39+$J$39+$S$39+$T$39</f>
        <v>20817.083552157867</v>
      </c>
      <c r="U52" s="254">
        <f>(T52*8.34*1.4)/45000</f>
        <v>5.4013392789998944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5" t="s">
        <v>155</v>
      </c>
      <c r="S53" s="316"/>
      <c r="T53" s="252">
        <f>$H$39</f>
        <v>834.69698097308583</v>
      </c>
      <c r="U53" s="254">
        <f>(T53*8.34*1.135)/45000</f>
        <v>0.17558129227095851</v>
      </c>
    </row>
    <row r="54" spans="1:25" ht="48" customHeight="1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5" t="s">
        <v>156</v>
      </c>
      <c r="S54" s="316"/>
      <c r="T54" s="252">
        <f>$B$39+$I$39+$AC$39</f>
        <v>7769.0806276361118</v>
      </c>
      <c r="U54" s="254">
        <f>(T54*8.34*1.029*0.03)/3300</f>
        <v>0.6061196570462295</v>
      </c>
    </row>
    <row r="55" spans="1:25" ht="54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40302.246251410259</v>
      </c>
      <c r="U55" s="257">
        <f>(T55*1.54*8.34)/45000</f>
        <v>11.502798443435839</v>
      </c>
    </row>
    <row r="56" spans="1:25" ht="24" thickTop="1" x14ac:dyDescent="0.25">
      <c r="A56" s="668"/>
      <c r="B56" s="66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0"/>
      <c r="B57" s="67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6"/>
      <c r="B58" s="66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7"/>
      <c r="B59" s="66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6"/>
      <c r="B60" s="66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7"/>
      <c r="B61" s="667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PNHH9rzoCmKnBs4eRQMLj7G4oa/H6HlY4Lj+b2JpOZ1P+laz+EHCGlMM/BqLFXem4bpfqOiocnU2c09bS6/bBg==" saltValue="dPMBIWjuOYlv022N+8EF0Q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W63"/>
  <sheetViews>
    <sheetView topLeftCell="D43" zoomScale="75" zoomScaleNormal="75" workbookViewId="0">
      <selection activeCell="AP43" sqref="AP43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  <c r="AV4" t="s">
        <v>169</v>
      </c>
      <c r="AW4" s="335" t="s">
        <v>207</v>
      </c>
    </row>
    <row r="5" spans="1:49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4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44013</v>
      </c>
      <c r="B8" s="49"/>
      <c r="C8" s="50">
        <v>81.151669855912516</v>
      </c>
      <c r="D8" s="50">
        <v>912.3498233159371</v>
      </c>
      <c r="E8" s="50">
        <v>19.220684743920959</v>
      </c>
      <c r="F8" s="50">
        <v>0</v>
      </c>
      <c r="G8" s="50">
        <v>2788.3715480804453</v>
      </c>
      <c r="H8" s="51">
        <v>30.734042233228703</v>
      </c>
      <c r="I8" s="49">
        <v>230.15912655194577</v>
      </c>
      <c r="J8" s="50">
        <v>629.56499455769915</v>
      </c>
      <c r="K8" s="50">
        <v>34.40009289185204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420.9236556527045</v>
      </c>
      <c r="V8" s="54">
        <v>190.75799938337204</v>
      </c>
      <c r="W8" s="54">
        <v>66.069299299324442</v>
      </c>
      <c r="X8" s="54">
        <v>29.9418842009655</v>
      </c>
      <c r="Y8" s="54">
        <v>367.68070939120156</v>
      </c>
      <c r="Z8" s="54">
        <v>166.62887816690937</v>
      </c>
      <c r="AA8" s="55">
        <v>0</v>
      </c>
      <c r="AB8" s="56">
        <v>97.291008922790027</v>
      </c>
      <c r="AC8" s="57">
        <v>0</v>
      </c>
      <c r="AD8" s="405">
        <v>16.9670129631808</v>
      </c>
      <c r="AE8" s="405">
        <v>7.6631407257012158</v>
      </c>
      <c r="AF8" s="57">
        <v>24.268925393952284</v>
      </c>
      <c r="AG8" s="58">
        <v>16.500335033457105</v>
      </c>
      <c r="AH8" s="58">
        <v>7.4777714625158511</v>
      </c>
      <c r="AI8" s="58">
        <v>0.68814170277491604</v>
      </c>
      <c r="AJ8" s="57">
        <v>237.74894456863404</v>
      </c>
      <c r="AK8" s="57">
        <v>809.93475437164318</v>
      </c>
      <c r="AL8" s="57">
        <v>2961.1798628489178</v>
      </c>
      <c r="AM8" s="57">
        <v>473.39021301269531</v>
      </c>
      <c r="AN8" s="57">
        <v>3586.554931640625</v>
      </c>
      <c r="AO8" s="57">
        <v>2468.6412625630696</v>
      </c>
      <c r="AP8" s="57">
        <v>487.29496043523159</v>
      </c>
      <c r="AQ8" s="57">
        <v>3397.398998387654</v>
      </c>
      <c r="AR8" s="57">
        <v>452.37385330200198</v>
      </c>
      <c r="AS8" s="57">
        <v>924.44959777196254</v>
      </c>
    </row>
    <row r="9" spans="1:49" x14ac:dyDescent="0.25">
      <c r="A9" s="11">
        <v>44014</v>
      </c>
      <c r="B9" s="59"/>
      <c r="C9" s="60">
        <v>80.944706320762933</v>
      </c>
      <c r="D9" s="60">
        <v>883.37956517537532</v>
      </c>
      <c r="E9" s="60">
        <v>19.359457704424873</v>
      </c>
      <c r="F9" s="60">
        <v>0</v>
      </c>
      <c r="G9" s="60">
        <v>2724.9424639383919</v>
      </c>
      <c r="H9" s="61">
        <v>30.715083251396901</v>
      </c>
      <c r="I9" s="59">
        <v>229.65898776054371</v>
      </c>
      <c r="J9" s="60">
        <v>629.10667880376207</v>
      </c>
      <c r="K9" s="60">
        <v>34.444872590899436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410.69052841623574</v>
      </c>
      <c r="V9" s="62">
        <v>187.55688170102479</v>
      </c>
      <c r="W9" s="62">
        <v>64.668273166118368</v>
      </c>
      <c r="X9" s="62">
        <v>29.5331370479878</v>
      </c>
      <c r="Y9" s="66">
        <v>357.71498606392873</v>
      </c>
      <c r="Z9" s="66">
        <v>163.3636587203643</v>
      </c>
      <c r="AA9" s="67">
        <v>0</v>
      </c>
      <c r="AB9" s="68">
        <v>97.209522220824098</v>
      </c>
      <c r="AC9" s="69">
        <v>0</v>
      </c>
      <c r="AD9" s="406">
        <v>16.953384053663289</v>
      </c>
      <c r="AE9" s="406">
        <v>7.6448757459201602</v>
      </c>
      <c r="AF9" s="69">
        <v>23.687526726060426</v>
      </c>
      <c r="AG9" s="68">
        <v>16.08551810212284</v>
      </c>
      <c r="AH9" s="68">
        <v>7.3460413791716723</v>
      </c>
      <c r="AI9" s="68">
        <v>0.68648943810009577</v>
      </c>
      <c r="AJ9" s="69">
        <v>228.14558599789939</v>
      </c>
      <c r="AK9" s="69">
        <v>800.94764556884775</v>
      </c>
      <c r="AL9" s="69">
        <v>3023.7280747731529</v>
      </c>
      <c r="AM9" s="69">
        <v>473.39021301269531</v>
      </c>
      <c r="AN9" s="69">
        <v>3586.554931640625</v>
      </c>
      <c r="AO9" s="69">
        <v>2513.8242822011312</v>
      </c>
      <c r="AP9" s="69">
        <v>499.89805402755735</v>
      </c>
      <c r="AQ9" s="69">
        <v>3465.9297711690269</v>
      </c>
      <c r="AR9" s="69">
        <v>458.93722550074261</v>
      </c>
      <c r="AS9" s="69">
        <v>1030.2639534632365</v>
      </c>
    </row>
    <row r="10" spans="1:49" x14ac:dyDescent="0.25">
      <c r="A10" s="11">
        <v>44015</v>
      </c>
      <c r="B10" s="59"/>
      <c r="C10" s="60">
        <v>80.713234710693555</v>
      </c>
      <c r="D10" s="60">
        <v>844.66511236826796</v>
      </c>
      <c r="E10" s="60">
        <v>19.04285189062357</v>
      </c>
      <c r="F10" s="60">
        <v>0</v>
      </c>
      <c r="G10" s="60">
        <v>2457.4855888366656</v>
      </c>
      <c r="H10" s="61">
        <v>30.482757014036189</v>
      </c>
      <c r="I10" s="59">
        <v>237.56200168927447</v>
      </c>
      <c r="J10" s="60">
        <v>648.9057937939973</v>
      </c>
      <c r="K10" s="60">
        <v>35.552864205837281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422.69696846395789</v>
      </c>
      <c r="V10" s="62">
        <v>184.58740316639225</v>
      </c>
      <c r="W10" s="62">
        <v>67.532168472175272</v>
      </c>
      <c r="X10" s="62">
        <v>29.490600923335091</v>
      </c>
      <c r="Y10" s="66">
        <v>377.71262807020452</v>
      </c>
      <c r="Z10" s="66">
        <v>164.94320603242582</v>
      </c>
      <c r="AA10" s="67">
        <v>0</v>
      </c>
      <c r="AB10" s="68">
        <v>99.022793388365642</v>
      </c>
      <c r="AC10" s="69">
        <v>0</v>
      </c>
      <c r="AD10" s="406">
        <v>17.488931259543236</v>
      </c>
      <c r="AE10" s="406">
        <v>7.6536050863157739</v>
      </c>
      <c r="AF10" s="69">
        <v>24.658215618133504</v>
      </c>
      <c r="AG10" s="68">
        <v>16.967541511555247</v>
      </c>
      <c r="AH10" s="68">
        <v>7.4095502438007204</v>
      </c>
      <c r="AI10" s="68">
        <v>0.69604453565824786</v>
      </c>
      <c r="AJ10" s="69">
        <v>217.30726337432861</v>
      </c>
      <c r="AK10" s="69">
        <v>781.36133724848435</v>
      </c>
      <c r="AL10" s="69">
        <v>3104.2048423767092</v>
      </c>
      <c r="AM10" s="69">
        <v>527.79339199066158</v>
      </c>
      <c r="AN10" s="69">
        <v>4349.8033737182614</v>
      </c>
      <c r="AO10" s="69">
        <v>2437.2797359466549</v>
      </c>
      <c r="AP10" s="69">
        <v>503.72601772944137</v>
      </c>
      <c r="AQ10" s="69">
        <v>3448.4672700246178</v>
      </c>
      <c r="AR10" s="69">
        <v>449.54347378412876</v>
      </c>
      <c r="AS10" s="69">
        <v>909.09423392613735</v>
      </c>
    </row>
    <row r="11" spans="1:49" x14ac:dyDescent="0.25">
      <c r="A11" s="11">
        <v>44016</v>
      </c>
      <c r="B11" s="59"/>
      <c r="C11" s="60">
        <v>81.149279177189314</v>
      </c>
      <c r="D11" s="60">
        <v>915.70919780731276</v>
      </c>
      <c r="E11" s="60">
        <v>18.929690789679675</v>
      </c>
      <c r="F11" s="60">
        <v>0</v>
      </c>
      <c r="G11" s="60">
        <v>2671.9805341084798</v>
      </c>
      <c r="H11" s="61">
        <v>31.186476467053144</v>
      </c>
      <c r="I11" s="59">
        <v>265.44955941836059</v>
      </c>
      <c r="J11" s="60">
        <v>683.85361766815367</v>
      </c>
      <c r="K11" s="60">
        <v>37.498763963580167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443.96070426556537</v>
      </c>
      <c r="V11" s="62">
        <v>184.98753906634201</v>
      </c>
      <c r="W11" s="62">
        <v>71.582552632974611</v>
      </c>
      <c r="X11" s="62">
        <v>29.826694399826739</v>
      </c>
      <c r="Y11" s="66">
        <v>397.33488839388997</v>
      </c>
      <c r="Z11" s="66">
        <v>165.55970490851919</v>
      </c>
      <c r="AA11" s="67">
        <v>0</v>
      </c>
      <c r="AB11" s="68">
        <v>102.08666148715385</v>
      </c>
      <c r="AC11" s="69">
        <v>0</v>
      </c>
      <c r="AD11" s="406">
        <v>18.435068322105423</v>
      </c>
      <c r="AE11" s="406">
        <v>7.6674490662277117</v>
      </c>
      <c r="AF11" s="69">
        <v>25.552911553117973</v>
      </c>
      <c r="AG11" s="68">
        <v>17.841928474297525</v>
      </c>
      <c r="AH11" s="68">
        <v>7.4342940916764162</v>
      </c>
      <c r="AI11" s="68">
        <v>0.70587796209374143</v>
      </c>
      <c r="AJ11" s="69">
        <v>218.84767975807188</v>
      </c>
      <c r="AK11" s="69">
        <v>779.05961510340387</v>
      </c>
      <c r="AL11" s="69">
        <v>2961.4180219014484</v>
      </c>
      <c r="AM11" s="69">
        <v>532.52650451660156</v>
      </c>
      <c r="AN11" s="69">
        <v>4487.19873046875</v>
      </c>
      <c r="AO11" s="69">
        <v>2531.7955582936606</v>
      </c>
      <c r="AP11" s="69">
        <v>495.92875935236606</v>
      </c>
      <c r="AQ11" s="69">
        <v>3550.4345687866212</v>
      </c>
      <c r="AR11" s="69">
        <v>432.33106676737475</v>
      </c>
      <c r="AS11" s="69">
        <v>868.41565198898331</v>
      </c>
    </row>
    <row r="12" spans="1:49" x14ac:dyDescent="0.25">
      <c r="A12" s="11">
        <v>44017</v>
      </c>
      <c r="B12" s="59"/>
      <c r="C12" s="60">
        <v>81.334559551874904</v>
      </c>
      <c r="D12" s="60">
        <v>938.06976146697832</v>
      </c>
      <c r="E12" s="60">
        <v>19.139665000637411</v>
      </c>
      <c r="F12" s="60">
        <v>0</v>
      </c>
      <c r="G12" s="60">
        <v>2767.7742651621525</v>
      </c>
      <c r="H12" s="61">
        <v>30.969809973239958</v>
      </c>
      <c r="I12" s="59">
        <v>268.65862644513442</v>
      </c>
      <c r="J12" s="60">
        <v>684.60249611536756</v>
      </c>
      <c r="K12" s="60">
        <v>37.556798954804748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437.29464322851476</v>
      </c>
      <c r="V12" s="62">
        <v>178.26270947331028</v>
      </c>
      <c r="W12" s="62">
        <v>73.052744182267475</v>
      </c>
      <c r="X12" s="62">
        <v>29.779875683467871</v>
      </c>
      <c r="Y12" s="66">
        <v>394.73018062295063</v>
      </c>
      <c r="Z12" s="66">
        <v>160.9113502722825</v>
      </c>
      <c r="AA12" s="67">
        <v>0</v>
      </c>
      <c r="AB12" s="68">
        <v>102.24752335548175</v>
      </c>
      <c r="AC12" s="69">
        <v>0</v>
      </c>
      <c r="AD12" s="406">
        <v>18.451066099091733</v>
      </c>
      <c r="AE12" s="406">
        <v>7.6530194452889422</v>
      </c>
      <c r="AF12" s="69">
        <v>25.040320205026177</v>
      </c>
      <c r="AG12" s="68">
        <v>17.604456063289081</v>
      </c>
      <c r="AH12" s="68">
        <v>7.1764383242303653</v>
      </c>
      <c r="AI12" s="68">
        <v>0.71040438605619183</v>
      </c>
      <c r="AJ12" s="69">
        <v>217.32589845657347</v>
      </c>
      <c r="AK12" s="69">
        <v>774.45143308639524</v>
      </c>
      <c r="AL12" s="69">
        <v>3030.1834424336757</v>
      </c>
      <c r="AM12" s="69">
        <v>532.52650451660156</v>
      </c>
      <c r="AN12" s="69">
        <v>4487.19873046875</v>
      </c>
      <c r="AO12" s="69">
        <v>2555.7536128997799</v>
      </c>
      <c r="AP12" s="69">
        <v>480.03875829378757</v>
      </c>
      <c r="AQ12" s="69">
        <v>3331.8265313466377</v>
      </c>
      <c r="AR12" s="69">
        <v>424.88622058232625</v>
      </c>
      <c r="AS12" s="69">
        <v>855.85566164652516</v>
      </c>
    </row>
    <row r="13" spans="1:49" x14ac:dyDescent="0.25">
      <c r="A13" s="11">
        <v>44018</v>
      </c>
      <c r="B13" s="59"/>
      <c r="C13" s="60">
        <v>81.120777300993282</v>
      </c>
      <c r="D13" s="60">
        <v>939.32913303375256</v>
      </c>
      <c r="E13" s="60">
        <v>19.262815800805882</v>
      </c>
      <c r="F13" s="60">
        <v>0</v>
      </c>
      <c r="G13" s="60">
        <v>2765.6162609100311</v>
      </c>
      <c r="H13" s="61">
        <v>30.699441057443675</v>
      </c>
      <c r="I13" s="59">
        <v>263.54648005167655</v>
      </c>
      <c r="J13" s="60">
        <v>631.45467936198042</v>
      </c>
      <c r="K13" s="60">
        <v>34.692980832358202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396.86640197978301</v>
      </c>
      <c r="V13" s="62">
        <v>181.62124382642165</v>
      </c>
      <c r="W13" s="62">
        <v>66.099173342208232</v>
      </c>
      <c r="X13" s="62">
        <v>30.249509705086261</v>
      </c>
      <c r="Y13" s="66">
        <v>364.61345097147574</v>
      </c>
      <c r="Z13" s="66">
        <v>166.86105992075605</v>
      </c>
      <c r="AA13" s="67">
        <v>0</v>
      </c>
      <c r="AB13" s="68">
        <v>105.33888893657341</v>
      </c>
      <c r="AC13" s="69">
        <v>0</v>
      </c>
      <c r="AD13" s="406">
        <v>17.023776321067672</v>
      </c>
      <c r="AE13" s="406">
        <v>7.637639378409963</v>
      </c>
      <c r="AF13" s="69">
        <v>23.762715307871524</v>
      </c>
      <c r="AG13" s="68">
        <v>16.105864650200058</v>
      </c>
      <c r="AH13" s="68">
        <v>7.3706596377950442</v>
      </c>
      <c r="AI13" s="68">
        <v>0.68604127479108623</v>
      </c>
      <c r="AJ13" s="69">
        <v>216.24742126464844</v>
      </c>
      <c r="AK13" s="69">
        <v>792.44644206364933</v>
      </c>
      <c r="AL13" s="69">
        <v>3020.2227554321289</v>
      </c>
      <c r="AM13" s="69">
        <v>532.52650451660156</v>
      </c>
      <c r="AN13" s="69">
        <v>4487.19873046875</v>
      </c>
      <c r="AO13" s="69">
        <v>2580.1967769622797</v>
      </c>
      <c r="AP13" s="69">
        <v>486.42973340352376</v>
      </c>
      <c r="AQ13" s="69">
        <v>3187.3710971832274</v>
      </c>
      <c r="AR13" s="69">
        <v>437.83726495107015</v>
      </c>
      <c r="AS13" s="69">
        <v>966.70654277801509</v>
      </c>
    </row>
    <row r="14" spans="1:49" x14ac:dyDescent="0.25">
      <c r="A14" s="11">
        <v>44019</v>
      </c>
      <c r="B14" s="59"/>
      <c r="C14" s="60">
        <v>79.727253254254563</v>
      </c>
      <c r="D14" s="60">
        <v>919.68628152211545</v>
      </c>
      <c r="E14" s="60">
        <v>18.487699587146455</v>
      </c>
      <c r="F14" s="60">
        <v>0</v>
      </c>
      <c r="G14" s="60">
        <v>2726.8879651387583</v>
      </c>
      <c r="H14" s="61">
        <v>29.921530129512284</v>
      </c>
      <c r="I14" s="59">
        <v>210.1628911495209</v>
      </c>
      <c r="J14" s="60">
        <v>471.8446738560985</v>
      </c>
      <c r="K14" s="60">
        <v>25.848436211546254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309.45476904875397</v>
      </c>
      <c r="V14" s="62">
        <v>190.11293273601734</v>
      </c>
      <c r="W14" s="62">
        <v>50.913162635328902</v>
      </c>
      <c r="X14" s="62">
        <v>31.27840198818603</v>
      </c>
      <c r="Y14" s="66">
        <v>276.0249010619425</v>
      </c>
      <c r="Z14" s="66">
        <v>169.57535865536281</v>
      </c>
      <c r="AA14" s="67">
        <v>0</v>
      </c>
      <c r="AB14" s="68">
        <v>92.025011963315336</v>
      </c>
      <c r="AC14" s="69">
        <v>0</v>
      </c>
      <c r="AD14" s="406">
        <v>12.715792005204005</v>
      </c>
      <c r="AE14" s="406">
        <v>7.478846505208038</v>
      </c>
      <c r="AF14" s="69">
        <v>19.71615114675626</v>
      </c>
      <c r="AG14" s="68">
        <v>12.035177820122385</v>
      </c>
      <c r="AH14" s="68">
        <v>7.3937879788256184</v>
      </c>
      <c r="AI14" s="68">
        <v>0.61944510812685871</v>
      </c>
      <c r="AJ14" s="69">
        <v>216.24742126464844</v>
      </c>
      <c r="AK14" s="69">
        <v>805.0309637705484</v>
      </c>
      <c r="AL14" s="69">
        <v>3049.3752314249673</v>
      </c>
      <c r="AM14" s="69">
        <v>532.52650451660156</v>
      </c>
      <c r="AN14" s="69">
        <v>4487.19873046875</v>
      </c>
      <c r="AO14" s="69">
        <v>2597.0727958679195</v>
      </c>
      <c r="AP14" s="69">
        <v>486.95160791079189</v>
      </c>
      <c r="AQ14" s="69">
        <v>2889.3899195353192</v>
      </c>
      <c r="AR14" s="69">
        <v>488.19058163960779</v>
      </c>
      <c r="AS14" s="69">
        <v>1027.2145364761354</v>
      </c>
    </row>
    <row r="15" spans="1:49" x14ac:dyDescent="0.25">
      <c r="A15" s="11">
        <v>44020</v>
      </c>
      <c r="B15" s="59"/>
      <c r="C15" s="60">
        <v>79.626973843574248</v>
      </c>
      <c r="D15" s="60">
        <v>913.5961579640707</v>
      </c>
      <c r="E15" s="60">
        <v>18.432218544185162</v>
      </c>
      <c r="F15" s="60">
        <v>0</v>
      </c>
      <c r="G15" s="60">
        <v>2753.2665019989035</v>
      </c>
      <c r="H15" s="61">
        <v>30.637188027302432</v>
      </c>
      <c r="I15" s="59">
        <v>279.34496971766174</v>
      </c>
      <c r="J15" s="60">
        <v>683.03047256469631</v>
      </c>
      <c r="K15" s="60">
        <v>37.277014793952283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430.07438003227139</v>
      </c>
      <c r="V15" s="62">
        <v>180.68377778259571</v>
      </c>
      <c r="W15" s="62">
        <v>73.541205433420885</v>
      </c>
      <c r="X15" s="62">
        <v>30.896290124046388</v>
      </c>
      <c r="Y15" s="66">
        <v>406.92189770545031</v>
      </c>
      <c r="Z15" s="66">
        <v>170.95690688286689</v>
      </c>
      <c r="AA15" s="67">
        <v>0</v>
      </c>
      <c r="AB15" s="68">
        <v>116.21846798790817</v>
      </c>
      <c r="AC15" s="69">
        <v>0</v>
      </c>
      <c r="AD15" s="406">
        <v>18.408491801986031</v>
      </c>
      <c r="AE15" s="406">
        <v>7.47357537933431</v>
      </c>
      <c r="AF15" s="69">
        <v>25.603027645746899</v>
      </c>
      <c r="AG15" s="68">
        <v>17.761905841660941</v>
      </c>
      <c r="AH15" s="68">
        <v>7.4621702595937913</v>
      </c>
      <c r="AI15" s="68">
        <v>0.70416477378045184</v>
      </c>
      <c r="AJ15" s="69">
        <v>217.33536287943522</v>
      </c>
      <c r="AK15" s="69">
        <v>801.39272003173835</v>
      </c>
      <c r="AL15" s="69">
        <v>3004.4377951304118</v>
      </c>
      <c r="AM15" s="69">
        <v>532.52650451660156</v>
      </c>
      <c r="AN15" s="69">
        <v>4487.19873046875</v>
      </c>
      <c r="AO15" s="69">
        <v>2564.9918814341227</v>
      </c>
      <c r="AP15" s="69">
        <v>491.98662673632305</v>
      </c>
      <c r="AQ15" s="69">
        <v>3385.8393482208257</v>
      </c>
      <c r="AR15" s="69">
        <v>484.86521794001254</v>
      </c>
      <c r="AS15" s="69">
        <v>939.67241570154829</v>
      </c>
    </row>
    <row r="16" spans="1:49" x14ac:dyDescent="0.25">
      <c r="A16" s="11">
        <v>44021</v>
      </c>
      <c r="B16" s="59"/>
      <c r="C16" s="60">
        <v>79.37303630510894</v>
      </c>
      <c r="D16" s="60">
        <v>900.02410074869931</v>
      </c>
      <c r="E16" s="60">
        <v>18.467284931242517</v>
      </c>
      <c r="F16" s="60">
        <v>0</v>
      </c>
      <c r="G16" s="60">
        <v>2751.4288674672425</v>
      </c>
      <c r="H16" s="61">
        <v>31.337418800592449</v>
      </c>
      <c r="I16" s="59">
        <v>305.56616147359205</v>
      </c>
      <c r="J16" s="60">
        <v>745.21757183074931</v>
      </c>
      <c r="K16" s="60">
        <v>40.868389162421209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457.29298284529705</v>
      </c>
      <c r="V16" s="62">
        <v>175.86473212561302</v>
      </c>
      <c r="W16" s="62">
        <v>77.705976844234286</v>
      </c>
      <c r="X16" s="62">
        <v>29.88399410207764</v>
      </c>
      <c r="Y16" s="66">
        <v>454.39684513021655</v>
      </c>
      <c r="Z16" s="66">
        <v>174.75094183674295</v>
      </c>
      <c r="AA16" s="67">
        <v>0</v>
      </c>
      <c r="AB16" s="68">
        <v>123.47754376199143</v>
      </c>
      <c r="AC16" s="69">
        <v>0</v>
      </c>
      <c r="AD16" s="406">
        <v>20.082934249626177</v>
      </c>
      <c r="AE16" s="406">
        <v>7.4776845883086693</v>
      </c>
      <c r="AF16" s="69">
        <v>27.163657616244411</v>
      </c>
      <c r="AG16" s="68">
        <v>19.328330016507415</v>
      </c>
      <c r="AH16" s="68">
        <v>7.4332467549331884</v>
      </c>
      <c r="AI16" s="68">
        <v>0.72224182385001345</v>
      </c>
      <c r="AJ16" s="69">
        <v>219.15314944585165</v>
      </c>
      <c r="AK16" s="69">
        <v>807.72720444997151</v>
      </c>
      <c r="AL16" s="69">
        <v>3044.1957717895511</v>
      </c>
      <c r="AM16" s="69">
        <v>538.00203921000161</v>
      </c>
      <c r="AN16" s="69">
        <v>4487.19873046875</v>
      </c>
      <c r="AO16" s="69">
        <v>2514.4731773376466</v>
      </c>
      <c r="AP16" s="69">
        <v>498.87726418177289</v>
      </c>
      <c r="AQ16" s="69">
        <v>3544.0758462270101</v>
      </c>
      <c r="AR16" s="69">
        <v>478.17112007141122</v>
      </c>
      <c r="AS16" s="69">
        <v>1018.100680541992</v>
      </c>
    </row>
    <row r="17" spans="1:45" x14ac:dyDescent="0.25">
      <c r="A17" s="11">
        <v>44022</v>
      </c>
      <c r="B17" s="49"/>
      <c r="C17" s="50">
        <v>78.86197926600731</v>
      </c>
      <c r="D17" s="50">
        <v>914.81553090413513</v>
      </c>
      <c r="E17" s="50">
        <v>18.825090750058504</v>
      </c>
      <c r="F17" s="50">
        <v>0</v>
      </c>
      <c r="G17" s="50">
        <v>2758.2926937103339</v>
      </c>
      <c r="H17" s="51">
        <v>31.477820338805582</v>
      </c>
      <c r="I17" s="49">
        <v>305.62959898312874</v>
      </c>
      <c r="J17" s="50">
        <v>744.33111826578715</v>
      </c>
      <c r="K17" s="50">
        <v>40.648953143755605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453.10920906249186</v>
      </c>
      <c r="V17" s="66">
        <v>175.10913876245178</v>
      </c>
      <c r="W17" s="62">
        <v>76.492165322693097</v>
      </c>
      <c r="X17" s="62">
        <v>29.561255705761941</v>
      </c>
      <c r="Y17" s="66">
        <v>453.96566821221728</v>
      </c>
      <c r="Z17" s="66">
        <v>175.44012701229104</v>
      </c>
      <c r="AA17" s="67">
        <v>0</v>
      </c>
      <c r="AB17" s="68">
        <v>123.89199907514775</v>
      </c>
      <c r="AC17" s="69">
        <v>0</v>
      </c>
      <c r="AD17" s="406">
        <v>20.094625979525524</v>
      </c>
      <c r="AE17" s="406">
        <v>7.4730354951758677</v>
      </c>
      <c r="AF17" s="69">
        <v>26.95201994048228</v>
      </c>
      <c r="AG17" s="68">
        <v>19.149012069229389</v>
      </c>
      <c r="AH17" s="68">
        <v>7.4003506098064991</v>
      </c>
      <c r="AI17" s="68">
        <v>0.72126070598108849</v>
      </c>
      <c r="AJ17" s="69">
        <v>217.49809238115947</v>
      </c>
      <c r="AK17" s="69">
        <v>812.56881780624383</v>
      </c>
      <c r="AL17" s="69">
        <v>3000.071632130941</v>
      </c>
      <c r="AM17" s="69">
        <v>543.83894348144531</v>
      </c>
      <c r="AN17" s="69">
        <v>4487.19873046875</v>
      </c>
      <c r="AO17" s="69">
        <v>2515.4624827067064</v>
      </c>
      <c r="AP17" s="69">
        <v>526.56681736310327</v>
      </c>
      <c r="AQ17" s="69">
        <v>3493.5306349436441</v>
      </c>
      <c r="AR17" s="69">
        <v>484.46311788558961</v>
      </c>
      <c r="AS17" s="69">
        <v>1015.0465706189474</v>
      </c>
    </row>
    <row r="18" spans="1:45" x14ac:dyDescent="0.25">
      <c r="A18" s="11">
        <v>44023</v>
      </c>
      <c r="B18" s="59"/>
      <c r="C18" s="60">
        <v>79.420160182316167</v>
      </c>
      <c r="D18" s="60">
        <v>922.80700187682942</v>
      </c>
      <c r="E18" s="60">
        <v>18.785873884956064</v>
      </c>
      <c r="F18" s="60">
        <v>0</v>
      </c>
      <c r="G18" s="60">
        <v>2812.7962262471501</v>
      </c>
      <c r="H18" s="61">
        <v>31.616652127107063</v>
      </c>
      <c r="I18" s="59">
        <v>304.71797353426621</v>
      </c>
      <c r="J18" s="60">
        <v>745.6589803059893</v>
      </c>
      <c r="K18" s="60">
        <v>40.753533691167846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457.69376528956946</v>
      </c>
      <c r="V18" s="62">
        <v>176.05397763883425</v>
      </c>
      <c r="W18" s="62">
        <v>77.138429787499732</v>
      </c>
      <c r="X18" s="62">
        <v>29.671646028018891</v>
      </c>
      <c r="Y18" s="66">
        <v>457.57166572162794</v>
      </c>
      <c r="Z18" s="66">
        <v>176.00701148759012</v>
      </c>
      <c r="AA18" s="67">
        <v>0</v>
      </c>
      <c r="AB18" s="68">
        <v>123.43364142841453</v>
      </c>
      <c r="AC18" s="69">
        <v>0</v>
      </c>
      <c r="AD18" s="406">
        <v>20.096104250688313</v>
      </c>
      <c r="AE18" s="406">
        <v>7.4707551542769126</v>
      </c>
      <c r="AF18" s="69">
        <v>27.171452960703107</v>
      </c>
      <c r="AG18" s="68">
        <v>19.31687465632346</v>
      </c>
      <c r="AH18" s="68">
        <v>7.4303232351110138</v>
      </c>
      <c r="AI18" s="68">
        <v>0.72220180725957461</v>
      </c>
      <c r="AJ18" s="69">
        <v>228.20761871337891</v>
      </c>
      <c r="AK18" s="69">
        <v>812.43739986419666</v>
      </c>
      <c r="AL18" s="69">
        <v>3040.1526641845708</v>
      </c>
      <c r="AM18" s="69">
        <v>543.83894348144531</v>
      </c>
      <c r="AN18" s="69">
        <v>4487.19873046875</v>
      </c>
      <c r="AO18" s="69">
        <v>2487.2520342508947</v>
      </c>
      <c r="AP18" s="69">
        <v>525.09565750757849</v>
      </c>
      <c r="AQ18" s="69">
        <v>3640.8148777008059</v>
      </c>
      <c r="AR18" s="69">
        <v>461.32010793685913</v>
      </c>
      <c r="AS18" s="69">
        <v>886.50822668075568</v>
      </c>
    </row>
    <row r="19" spans="1:45" x14ac:dyDescent="0.25">
      <c r="A19" s="11">
        <v>44024</v>
      </c>
      <c r="B19" s="59"/>
      <c r="C19" s="60">
        <v>79.216443447272141</v>
      </c>
      <c r="D19" s="60">
        <v>934.04953066507926</v>
      </c>
      <c r="E19" s="60">
        <v>18.837787766257964</v>
      </c>
      <c r="F19" s="60">
        <v>0</v>
      </c>
      <c r="G19" s="60">
        <v>2799.0505989074722</v>
      </c>
      <c r="H19" s="61">
        <v>30.948800601561917</v>
      </c>
      <c r="I19" s="59">
        <v>302.66982436180115</v>
      </c>
      <c r="J19" s="60">
        <v>743.78389323552392</v>
      </c>
      <c r="K19" s="60">
        <v>40.789573946595226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460.51460031934488</v>
      </c>
      <c r="V19" s="62">
        <v>177.0710329797457</v>
      </c>
      <c r="W19" s="62">
        <v>77.697825534116561</v>
      </c>
      <c r="X19" s="62">
        <v>29.875348616668266</v>
      </c>
      <c r="Y19" s="66">
        <v>461.92726499700444</v>
      </c>
      <c r="Z19" s="66">
        <v>177.61421226994347</v>
      </c>
      <c r="AA19" s="67">
        <v>0</v>
      </c>
      <c r="AB19" s="68">
        <v>123.5043521033364</v>
      </c>
      <c r="AC19" s="69">
        <v>0</v>
      </c>
      <c r="AD19" s="406">
        <v>20.092444984032429</v>
      </c>
      <c r="AE19" s="406">
        <v>7.4765969909718075</v>
      </c>
      <c r="AF19" s="69">
        <v>27.422935324245056</v>
      </c>
      <c r="AG19" s="68">
        <v>19.500274836320287</v>
      </c>
      <c r="AH19" s="68">
        <v>7.4979898710306472</v>
      </c>
      <c r="AI19" s="68">
        <v>0.72227882227596885</v>
      </c>
      <c r="AJ19" s="69">
        <v>228.20761871337891</v>
      </c>
      <c r="AK19" s="69">
        <v>820.85789082845065</v>
      </c>
      <c r="AL19" s="69">
        <v>3120.8633944193525</v>
      </c>
      <c r="AM19" s="69">
        <v>543.83894348144531</v>
      </c>
      <c r="AN19" s="69">
        <v>4487.19873046875</v>
      </c>
      <c r="AO19" s="69">
        <v>2420.3574268341067</v>
      </c>
      <c r="AP19" s="69">
        <v>548.90316710472121</v>
      </c>
      <c r="AQ19" s="69">
        <v>3812.9918688456214</v>
      </c>
      <c r="AR19" s="69">
        <v>460.53451428413382</v>
      </c>
      <c r="AS19" s="69">
        <v>933.71139621734596</v>
      </c>
    </row>
    <row r="20" spans="1:45" x14ac:dyDescent="0.25">
      <c r="A20" s="11">
        <v>44025</v>
      </c>
      <c r="B20" s="59"/>
      <c r="C20" s="60">
        <v>79.282083872953336</v>
      </c>
      <c r="D20" s="60">
        <v>939.99132461547686</v>
      </c>
      <c r="E20" s="60">
        <v>18.873143169283889</v>
      </c>
      <c r="F20" s="60">
        <v>0</v>
      </c>
      <c r="G20" s="60">
        <v>2845.4607443491627</v>
      </c>
      <c r="H20" s="61">
        <v>30.58174479405092</v>
      </c>
      <c r="I20" s="59">
        <v>297.65137785275755</v>
      </c>
      <c r="J20" s="60">
        <v>745.22823057174674</v>
      </c>
      <c r="K20" s="60">
        <v>40.891725165645305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450.29763373990932</v>
      </c>
      <c r="V20" s="62">
        <v>166.28920451607439</v>
      </c>
      <c r="W20" s="62">
        <v>75.034419629958975</v>
      </c>
      <c r="X20" s="62">
        <v>27.709259424618949</v>
      </c>
      <c r="Y20" s="66">
        <v>451.54493059401017</v>
      </c>
      <c r="Z20" s="66">
        <v>166.74981542344511</v>
      </c>
      <c r="AA20" s="67">
        <v>0</v>
      </c>
      <c r="AB20" s="68">
        <v>123.4724177466461</v>
      </c>
      <c r="AC20" s="69">
        <v>0</v>
      </c>
      <c r="AD20" s="406">
        <v>20.084794521201108</v>
      </c>
      <c r="AE20" s="406">
        <v>7.4838954197654965</v>
      </c>
      <c r="AF20" s="69">
        <v>26.52353902525374</v>
      </c>
      <c r="AG20" s="68">
        <v>19.046388938082579</v>
      </c>
      <c r="AH20" s="68">
        <v>7.0335898483687824</v>
      </c>
      <c r="AI20" s="68">
        <v>0.73030691834677575</v>
      </c>
      <c r="AJ20" s="69">
        <v>228.73333535194396</v>
      </c>
      <c r="AK20" s="69">
        <v>820.62191359202063</v>
      </c>
      <c r="AL20" s="69">
        <v>3043.4598504384362</v>
      </c>
      <c r="AM20" s="69">
        <v>543.83894348144531</v>
      </c>
      <c r="AN20" s="69">
        <v>4487.19873046875</v>
      </c>
      <c r="AO20" s="69">
        <v>2473.7016260782871</v>
      </c>
      <c r="AP20" s="69">
        <v>730.35695018768297</v>
      </c>
      <c r="AQ20" s="69">
        <v>3741.266787338257</v>
      </c>
      <c r="AR20" s="69">
        <v>479.91753228505456</v>
      </c>
      <c r="AS20" s="69">
        <v>1006.1152578353882</v>
      </c>
    </row>
    <row r="21" spans="1:45" x14ac:dyDescent="0.25">
      <c r="A21" s="11">
        <v>44026</v>
      </c>
      <c r="B21" s="59"/>
      <c r="C21" s="60">
        <v>78.966177841027786</v>
      </c>
      <c r="D21" s="60">
        <v>935.09990475972461</v>
      </c>
      <c r="E21" s="60">
        <v>18.651360168556362</v>
      </c>
      <c r="F21" s="60">
        <v>0</v>
      </c>
      <c r="G21" s="60">
        <v>2945.762559254963</v>
      </c>
      <c r="H21" s="61">
        <v>29.340595166881958</v>
      </c>
      <c r="I21" s="59">
        <v>285.50255149205532</v>
      </c>
      <c r="J21" s="60">
        <v>744.58567972183096</v>
      </c>
      <c r="K21" s="60">
        <v>40.869710842768342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447.09476016711028</v>
      </c>
      <c r="V21" s="62">
        <v>172.82063660803203</v>
      </c>
      <c r="W21" s="62">
        <v>74.783752292729957</v>
      </c>
      <c r="X21" s="62">
        <v>28.907016656460723</v>
      </c>
      <c r="Y21" s="66">
        <v>450.15011034334202</v>
      </c>
      <c r="Z21" s="66">
        <v>174.00165595685974</v>
      </c>
      <c r="AA21" s="67">
        <v>0</v>
      </c>
      <c r="AB21" s="68">
        <v>123.52142746183307</v>
      </c>
      <c r="AC21" s="69">
        <v>0</v>
      </c>
      <c r="AD21" s="406">
        <v>20.064776265789277</v>
      </c>
      <c r="AE21" s="406">
        <v>7.477113495689097</v>
      </c>
      <c r="AF21" s="69">
        <v>26.616184445222228</v>
      </c>
      <c r="AG21" s="68">
        <v>18.902296157364841</v>
      </c>
      <c r="AH21" s="68">
        <v>7.3065201078365458</v>
      </c>
      <c r="AI21" s="68">
        <v>0.72121899616131313</v>
      </c>
      <c r="AJ21" s="69">
        <v>228.61001861890156</v>
      </c>
      <c r="AK21" s="69">
        <v>805.43888584772765</v>
      </c>
      <c r="AL21" s="69">
        <v>2928.2885112762451</v>
      </c>
      <c r="AM21" s="69">
        <v>543.83894348144531</v>
      </c>
      <c r="AN21" s="69">
        <v>4487.19873046875</v>
      </c>
      <c r="AO21" s="69">
        <v>2422.2621512095134</v>
      </c>
      <c r="AP21" s="69">
        <v>553.13560177485158</v>
      </c>
      <c r="AQ21" s="69">
        <v>3611.6986082712815</v>
      </c>
      <c r="AR21" s="69">
        <v>448.89603961308796</v>
      </c>
      <c r="AS21" s="69">
        <v>875.36744168599455</v>
      </c>
    </row>
    <row r="22" spans="1:45" x14ac:dyDescent="0.25">
      <c r="A22" s="11">
        <v>44027</v>
      </c>
      <c r="B22" s="59"/>
      <c r="C22" s="60">
        <v>79.463396354515922</v>
      </c>
      <c r="D22" s="60">
        <v>922.24503116607639</v>
      </c>
      <c r="E22" s="60">
        <v>18.728678963085073</v>
      </c>
      <c r="F22" s="60">
        <v>0</v>
      </c>
      <c r="G22" s="60">
        <v>2897.0768816630025</v>
      </c>
      <c r="H22" s="61">
        <v>30.74604545036955</v>
      </c>
      <c r="I22" s="59">
        <v>241.90288581848097</v>
      </c>
      <c r="J22" s="60">
        <v>629.56567955017044</v>
      </c>
      <c r="K22" s="60">
        <v>34.587423063317928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386.74754537896592</v>
      </c>
      <c r="V22" s="62">
        <v>176.29954905089554</v>
      </c>
      <c r="W22" s="62">
        <v>64.622724485752656</v>
      </c>
      <c r="X22" s="62">
        <v>29.458382661781954</v>
      </c>
      <c r="Y22" s="66">
        <v>395.57539215675149</v>
      </c>
      <c r="Z22" s="66">
        <v>180.32373853731869</v>
      </c>
      <c r="AA22" s="67">
        <v>0</v>
      </c>
      <c r="AB22" s="68">
        <v>109.89018587536115</v>
      </c>
      <c r="AC22" s="69">
        <v>0</v>
      </c>
      <c r="AD22" s="406">
        <v>16.96949774438497</v>
      </c>
      <c r="AE22" s="406">
        <v>7.4860241509291523</v>
      </c>
      <c r="AF22" s="69">
        <v>24.022393562396328</v>
      </c>
      <c r="AG22" s="68">
        <v>16.31478544194637</v>
      </c>
      <c r="AH22" s="68">
        <v>7.4371236498963302</v>
      </c>
      <c r="AI22" s="68">
        <v>0.68688312079930802</v>
      </c>
      <c r="AJ22" s="69">
        <v>229.85885146458943</v>
      </c>
      <c r="AK22" s="69">
        <v>804.69028507868438</v>
      </c>
      <c r="AL22" s="69">
        <v>3041.1116029103591</v>
      </c>
      <c r="AM22" s="69">
        <v>543.83894348144531</v>
      </c>
      <c r="AN22" s="69">
        <v>4487.19873046875</v>
      </c>
      <c r="AO22" s="69">
        <v>2332.0346492767326</v>
      </c>
      <c r="AP22" s="69">
        <v>522.46592040061955</v>
      </c>
      <c r="AQ22" s="69">
        <v>3221.8347134908045</v>
      </c>
      <c r="AR22" s="69">
        <v>466.18526728947955</v>
      </c>
      <c r="AS22" s="69">
        <v>848.96511259078966</v>
      </c>
    </row>
    <row r="23" spans="1:45" x14ac:dyDescent="0.25">
      <c r="A23" s="11">
        <v>44028</v>
      </c>
      <c r="B23" s="59"/>
      <c r="C23" s="60">
        <v>79.377505218982222</v>
      </c>
      <c r="D23" s="60">
        <v>920.0134843190516</v>
      </c>
      <c r="E23" s="60">
        <v>18.797392080724247</v>
      </c>
      <c r="F23" s="60">
        <v>0</v>
      </c>
      <c r="G23" s="60">
        <v>2820.702189000448</v>
      </c>
      <c r="H23" s="61">
        <v>31.303214086095537</v>
      </c>
      <c r="I23" s="59">
        <v>241.22750544547998</v>
      </c>
      <c r="J23" s="60">
        <v>628.19269940058382</v>
      </c>
      <c r="K23" s="60">
        <v>34.420179216066956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396.38453432429554</v>
      </c>
      <c r="V23" s="62">
        <v>180.22116513011969</v>
      </c>
      <c r="W23" s="62">
        <v>66.377329075031156</v>
      </c>
      <c r="X23" s="62">
        <v>30.179279331671601</v>
      </c>
      <c r="Y23" s="66">
        <v>394.93697491254636</v>
      </c>
      <c r="Z23" s="66">
        <v>179.56301421556591</v>
      </c>
      <c r="AA23" s="67">
        <v>0</v>
      </c>
      <c r="AB23" s="68">
        <v>109.61369848251189</v>
      </c>
      <c r="AC23" s="69">
        <v>0</v>
      </c>
      <c r="AD23" s="406">
        <v>16.934856602866297</v>
      </c>
      <c r="AE23" s="406">
        <v>7.4817176260147544</v>
      </c>
      <c r="AF23" s="69">
        <v>24.267921559015878</v>
      </c>
      <c r="AG23" s="68">
        <v>16.499016140120808</v>
      </c>
      <c r="AH23" s="68">
        <v>7.5014831679596368</v>
      </c>
      <c r="AI23" s="68">
        <v>0.68744470389272061</v>
      </c>
      <c r="AJ23" s="69">
        <v>224.38300323486328</v>
      </c>
      <c r="AK23" s="69">
        <v>803.03296235402411</v>
      </c>
      <c r="AL23" s="69">
        <v>2889.969160334269</v>
      </c>
      <c r="AM23" s="69">
        <v>543.83894348144531</v>
      </c>
      <c r="AN23" s="69">
        <v>4487.19873046875</v>
      </c>
      <c r="AO23" s="69">
        <v>2388.072097269694</v>
      </c>
      <c r="AP23" s="69">
        <v>532.99915218353271</v>
      </c>
      <c r="AQ23" s="69">
        <v>3235.0880340576173</v>
      </c>
      <c r="AR23" s="69">
        <v>464.40262788136801</v>
      </c>
      <c r="AS23" s="69">
        <v>855.5910744031271</v>
      </c>
    </row>
    <row r="24" spans="1:45" x14ac:dyDescent="0.25">
      <c r="A24" s="11">
        <v>44029</v>
      </c>
      <c r="B24" s="59"/>
      <c r="C24" s="60">
        <v>79.279616538682134</v>
      </c>
      <c r="D24" s="60">
        <v>919.92014967600437</v>
      </c>
      <c r="E24" s="60">
        <v>18.895721141497305</v>
      </c>
      <c r="F24" s="60">
        <v>0</v>
      </c>
      <c r="G24" s="60">
        <v>2726.4397872924819</v>
      </c>
      <c r="H24" s="61">
        <v>30.481073716282907</v>
      </c>
      <c r="I24" s="59">
        <v>241.32921072641966</v>
      </c>
      <c r="J24" s="60">
        <v>628.29200916290222</v>
      </c>
      <c r="K24" s="60">
        <v>34.617627489566843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394.04515971068292</v>
      </c>
      <c r="V24" s="62">
        <v>179.09512266592046</v>
      </c>
      <c r="W24" s="62">
        <v>66.043760702695678</v>
      </c>
      <c r="X24" s="62">
        <v>30.017157000614997</v>
      </c>
      <c r="Y24" s="66">
        <v>385.94342248105789</v>
      </c>
      <c r="Z24" s="66">
        <v>175.41285024818006</v>
      </c>
      <c r="AA24" s="67">
        <v>0</v>
      </c>
      <c r="AB24" s="68">
        <v>109.99634339014429</v>
      </c>
      <c r="AC24" s="69">
        <v>0</v>
      </c>
      <c r="AD24" s="406">
        <v>16.933209799324487</v>
      </c>
      <c r="AE24" s="406">
        <v>7.4797947424791476</v>
      </c>
      <c r="AF24" s="69">
        <v>24.136888151698649</v>
      </c>
      <c r="AG24" s="68">
        <v>16.411910739024645</v>
      </c>
      <c r="AH24" s="68">
        <v>7.4592799697015781</v>
      </c>
      <c r="AI24" s="68">
        <v>0.68751956864159258</v>
      </c>
      <c r="AJ24" s="69">
        <v>224.38300323486328</v>
      </c>
      <c r="AK24" s="69">
        <v>817.26340290705366</v>
      </c>
      <c r="AL24" s="69">
        <v>3019.5914071400962</v>
      </c>
      <c r="AM24" s="69">
        <v>543.83894348144531</v>
      </c>
      <c r="AN24" s="69">
        <v>4487.19873046875</v>
      </c>
      <c r="AO24" s="69">
        <v>2414.5870250701905</v>
      </c>
      <c r="AP24" s="69">
        <v>529.27209626833599</v>
      </c>
      <c r="AQ24" s="69">
        <v>3224.67048479716</v>
      </c>
      <c r="AR24" s="69">
        <v>470.27737515767421</v>
      </c>
      <c r="AS24" s="69">
        <v>868.57751534779857</v>
      </c>
    </row>
    <row r="25" spans="1:45" x14ac:dyDescent="0.25">
      <c r="A25" s="11">
        <v>44030</v>
      </c>
      <c r="B25" s="59"/>
      <c r="C25" s="60">
        <v>79.273467361927203</v>
      </c>
      <c r="D25" s="60">
        <v>922.63096853891932</v>
      </c>
      <c r="E25" s="60">
        <v>19.042750228444731</v>
      </c>
      <c r="F25" s="60">
        <v>0</v>
      </c>
      <c r="G25" s="60">
        <v>2725.9678512573319</v>
      </c>
      <c r="H25" s="61">
        <v>29.344607361157795</v>
      </c>
      <c r="I25" s="59">
        <v>241.0887299219763</v>
      </c>
      <c r="J25" s="60">
        <v>628.35818659464462</v>
      </c>
      <c r="K25" s="60">
        <v>34.330810757478069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388.82510477226378</v>
      </c>
      <c r="V25" s="62">
        <v>176.78644098120768</v>
      </c>
      <c r="W25" s="62">
        <v>64.470656737878542</v>
      </c>
      <c r="X25" s="62">
        <v>29.312762505616096</v>
      </c>
      <c r="Y25" s="66">
        <v>380.02171113767656</v>
      </c>
      <c r="Z25" s="66">
        <v>172.78381715338969</v>
      </c>
      <c r="AA25" s="67">
        <v>0</v>
      </c>
      <c r="AB25" s="68">
        <v>110.19407906002309</v>
      </c>
      <c r="AC25" s="69">
        <v>0</v>
      </c>
      <c r="AD25" s="406">
        <v>16.932689296485663</v>
      </c>
      <c r="AE25" s="406">
        <v>7.4740676996217577</v>
      </c>
      <c r="AF25" s="69">
        <v>23.825672909948537</v>
      </c>
      <c r="AG25" s="68">
        <v>16.19981818319005</v>
      </c>
      <c r="AH25" s="68">
        <v>7.3655434435650013</v>
      </c>
      <c r="AI25" s="68">
        <v>0.68744195144442444</v>
      </c>
      <c r="AJ25" s="69">
        <v>223.49171950022381</v>
      </c>
      <c r="AK25" s="69">
        <v>818.8418540954591</v>
      </c>
      <c r="AL25" s="69">
        <v>3161.6800352732344</v>
      </c>
      <c r="AM25" s="69">
        <v>543.83894348144531</v>
      </c>
      <c r="AN25" s="69">
        <v>4487.19873046875</v>
      </c>
      <c r="AO25" s="69">
        <v>2400.4800244649255</v>
      </c>
      <c r="AP25" s="69">
        <v>547.86666210492456</v>
      </c>
      <c r="AQ25" s="69">
        <v>3328.7138444264729</v>
      </c>
      <c r="AR25" s="69">
        <v>473.92970369656888</v>
      </c>
      <c r="AS25" s="69">
        <v>847.67503369649251</v>
      </c>
    </row>
    <row r="26" spans="1:45" x14ac:dyDescent="0.25">
      <c r="A26" s="11">
        <v>44031</v>
      </c>
      <c r="B26" s="59"/>
      <c r="C26" s="60">
        <v>78.924662168820518</v>
      </c>
      <c r="D26" s="60">
        <v>929.47571595509828</v>
      </c>
      <c r="E26" s="60">
        <v>18.781472161412243</v>
      </c>
      <c r="F26" s="60">
        <v>0</v>
      </c>
      <c r="G26" s="60">
        <v>2730.506086095178</v>
      </c>
      <c r="H26" s="61">
        <v>30.153684641917639</v>
      </c>
      <c r="I26" s="59">
        <v>240.99297518730137</v>
      </c>
      <c r="J26" s="60">
        <v>628.41503044764113</v>
      </c>
      <c r="K26" s="60">
        <v>34.389198921124112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387.29716871073845</v>
      </c>
      <c r="V26" s="62">
        <v>176.90082480089279</v>
      </c>
      <c r="W26" s="62">
        <v>65.00048432318421</v>
      </c>
      <c r="X26" s="62">
        <v>29.689448356945785</v>
      </c>
      <c r="Y26" s="66">
        <v>379.21238819733622</v>
      </c>
      <c r="Z26" s="66">
        <v>173.20804195428431</v>
      </c>
      <c r="AA26" s="67">
        <v>0</v>
      </c>
      <c r="AB26" s="68">
        <v>110.19577311409624</v>
      </c>
      <c r="AC26" s="69">
        <v>0</v>
      </c>
      <c r="AD26" s="406">
        <v>16.937682339662345</v>
      </c>
      <c r="AE26" s="406">
        <v>7.4787940663706047</v>
      </c>
      <c r="AF26" s="69">
        <v>23.763244173924079</v>
      </c>
      <c r="AG26" s="68">
        <v>16.11497371895824</v>
      </c>
      <c r="AH26" s="68">
        <v>7.3606325396547678</v>
      </c>
      <c r="AI26" s="68">
        <v>0.6864561256238394</v>
      </c>
      <c r="AJ26" s="69">
        <v>229.45000050862629</v>
      </c>
      <c r="AK26" s="69">
        <v>812.63545211156213</v>
      </c>
      <c r="AL26" s="69">
        <v>2979.4861067454017</v>
      </c>
      <c r="AM26" s="69">
        <v>543.83894348144531</v>
      </c>
      <c r="AN26" s="69">
        <v>4487.19873046875</v>
      </c>
      <c r="AO26" s="69">
        <v>2369.3126605987545</v>
      </c>
      <c r="AP26" s="69">
        <v>538.50088947614029</v>
      </c>
      <c r="AQ26" s="69">
        <v>3344.2848171234118</v>
      </c>
      <c r="AR26" s="69">
        <v>445.22359285354622</v>
      </c>
      <c r="AS26" s="69">
        <v>827.34263792037962</v>
      </c>
    </row>
    <row r="27" spans="1:45" x14ac:dyDescent="0.25">
      <c r="A27" s="11">
        <v>44032</v>
      </c>
      <c r="B27" s="59"/>
      <c r="C27" s="60">
        <v>78.960750722885521</v>
      </c>
      <c r="D27" s="60">
        <v>928.84932200114008</v>
      </c>
      <c r="E27" s="60">
        <v>18.712371907631574</v>
      </c>
      <c r="F27" s="60">
        <v>0</v>
      </c>
      <c r="G27" s="60">
        <v>2751.1277285257984</v>
      </c>
      <c r="H27" s="61">
        <v>30.110169534881987</v>
      </c>
      <c r="I27" s="59">
        <v>213.90176148414616</v>
      </c>
      <c r="J27" s="60">
        <v>627.94725335439068</v>
      </c>
      <c r="K27" s="60">
        <v>34.560737471779206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396.33789550997687</v>
      </c>
      <c r="V27" s="62">
        <v>180.15719094801599</v>
      </c>
      <c r="W27" s="62">
        <v>66.666165607891031</v>
      </c>
      <c r="X27" s="62">
        <v>30.303408438243949</v>
      </c>
      <c r="Y27" s="62">
        <v>387.69933959064713</v>
      </c>
      <c r="Z27" s="62">
        <v>176.23049611034148</v>
      </c>
      <c r="AA27" s="72">
        <v>0</v>
      </c>
      <c r="AB27" s="69">
        <v>118.84388889736559</v>
      </c>
      <c r="AC27" s="69">
        <v>0</v>
      </c>
      <c r="AD27" s="406">
        <v>16.926674300465237</v>
      </c>
      <c r="AE27" s="406">
        <v>7.4742791421033603</v>
      </c>
      <c r="AF27" s="69">
        <v>24.276715816391867</v>
      </c>
      <c r="AG27" s="69">
        <v>16.49945265061859</v>
      </c>
      <c r="AH27" s="69">
        <v>7.4999011585568081</v>
      </c>
      <c r="AI27" s="69">
        <v>0.68749570433477858</v>
      </c>
      <c r="AJ27" s="69">
        <v>237.07674407958984</v>
      </c>
      <c r="AK27" s="69">
        <v>812.83766142527259</v>
      </c>
      <c r="AL27" s="69">
        <v>2999.6456253051751</v>
      </c>
      <c r="AM27" s="69">
        <v>543.83894348144531</v>
      </c>
      <c r="AN27" s="69">
        <v>4487.19873046875</v>
      </c>
      <c r="AO27" s="69">
        <v>2366.5023283640548</v>
      </c>
      <c r="AP27" s="69">
        <v>534.21803599993382</v>
      </c>
      <c r="AQ27" s="69">
        <v>3363.7400327046712</v>
      </c>
      <c r="AR27" s="69">
        <v>453.99760944048563</v>
      </c>
      <c r="AS27" s="69">
        <v>875.2936575253807</v>
      </c>
    </row>
    <row r="28" spans="1:45" x14ac:dyDescent="0.25">
      <c r="A28" s="11">
        <v>44033</v>
      </c>
      <c r="B28" s="59"/>
      <c r="C28" s="60">
        <v>79.444596672058111</v>
      </c>
      <c r="D28" s="60">
        <v>929.85281600951998</v>
      </c>
      <c r="E28" s="60">
        <v>18.896638031800617</v>
      </c>
      <c r="F28" s="60">
        <v>0</v>
      </c>
      <c r="G28" s="60">
        <v>2750.8567816416426</v>
      </c>
      <c r="H28" s="61">
        <v>30.603201260169413</v>
      </c>
      <c r="I28" s="59">
        <v>213.982278108597</v>
      </c>
      <c r="J28" s="60">
        <v>628.31696475346928</v>
      </c>
      <c r="K28" s="60">
        <v>34.521251365542398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390.33920767552189</v>
      </c>
      <c r="V28" s="62">
        <v>177.43762380302135</v>
      </c>
      <c r="W28" s="62">
        <v>65.784557671211047</v>
      </c>
      <c r="X28" s="62">
        <v>29.90387685014635</v>
      </c>
      <c r="Y28" s="66">
        <v>382.78461309879543</v>
      </c>
      <c r="Z28" s="66">
        <v>174.00350987305757</v>
      </c>
      <c r="AA28" s="67">
        <v>0</v>
      </c>
      <c r="AB28" s="68">
        <v>124.06696521971119</v>
      </c>
      <c r="AC28" s="69">
        <v>0</v>
      </c>
      <c r="AD28" s="406">
        <v>16.935449026196018</v>
      </c>
      <c r="AE28" s="406">
        <v>7.4815061947917298</v>
      </c>
      <c r="AF28" s="69">
        <v>23.89414031638039</v>
      </c>
      <c r="AG28" s="68">
        <v>16.227615672104179</v>
      </c>
      <c r="AH28" s="68">
        <v>7.3766342407509091</v>
      </c>
      <c r="AI28" s="68">
        <v>0.68748703017529367</v>
      </c>
      <c r="AJ28" s="69">
        <v>226.57971283594765</v>
      </c>
      <c r="AK28" s="69">
        <v>815.97884794871015</v>
      </c>
      <c r="AL28" s="69">
        <v>3012.9705148061116</v>
      </c>
      <c r="AM28" s="69">
        <v>543.83894348144531</v>
      </c>
      <c r="AN28" s="69">
        <v>4487.19873046875</v>
      </c>
      <c r="AO28" s="69">
        <v>2415.1630438486736</v>
      </c>
      <c r="AP28" s="69">
        <v>544.16501655578622</v>
      </c>
      <c r="AQ28" s="69">
        <v>3472.1069185892738</v>
      </c>
      <c r="AR28" s="69">
        <v>447.48364930152894</v>
      </c>
      <c r="AS28" s="69">
        <v>846.02615569432555</v>
      </c>
    </row>
    <row r="29" spans="1:45" x14ac:dyDescent="0.25">
      <c r="A29" s="11">
        <v>44034</v>
      </c>
      <c r="B29" s="59"/>
      <c r="C29" s="60">
        <v>79.148130277792305</v>
      </c>
      <c r="D29" s="60">
        <v>927.35878601074194</v>
      </c>
      <c r="E29" s="60">
        <v>18.849313169221116</v>
      </c>
      <c r="F29" s="60">
        <v>0</v>
      </c>
      <c r="G29" s="60">
        <v>2730.2884058634418</v>
      </c>
      <c r="H29" s="61">
        <v>31.104004466533713</v>
      </c>
      <c r="I29" s="59">
        <v>223.88185734748825</v>
      </c>
      <c r="J29" s="60">
        <v>628.31777667999302</v>
      </c>
      <c r="K29" s="60">
        <v>34.530661460757273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377.94760705389098</v>
      </c>
      <c r="V29" s="62">
        <v>166.70572671601272</v>
      </c>
      <c r="W29" s="62">
        <v>62.216985735007782</v>
      </c>
      <c r="X29" s="62">
        <v>27.442766212713053</v>
      </c>
      <c r="Y29" s="66">
        <v>374.74588568555828</v>
      </c>
      <c r="Z29" s="66">
        <v>165.29350640428581</v>
      </c>
      <c r="AA29" s="67">
        <v>0</v>
      </c>
      <c r="AB29" s="68">
        <v>124.01554083294128</v>
      </c>
      <c r="AC29" s="69">
        <v>0</v>
      </c>
      <c r="AD29" s="406">
        <v>16.932812376640314</v>
      </c>
      <c r="AE29" s="406">
        <v>7.461089084868906</v>
      </c>
      <c r="AF29" s="69">
        <v>22.804464138216396</v>
      </c>
      <c r="AG29" s="68">
        <v>15.635363427453772</v>
      </c>
      <c r="AH29" s="68">
        <v>6.8964707647189591</v>
      </c>
      <c r="AI29" s="68">
        <v>0.69392324184976006</v>
      </c>
      <c r="AJ29" s="69">
        <v>229.94620480537412</v>
      </c>
      <c r="AK29" s="69">
        <v>819.9800336519877</v>
      </c>
      <c r="AL29" s="69">
        <v>2991.64965502421</v>
      </c>
      <c r="AM29" s="69">
        <v>543.83894348144531</v>
      </c>
      <c r="AN29" s="69">
        <v>4487.19873046875</v>
      </c>
      <c r="AO29" s="69">
        <v>2423.9436892191566</v>
      </c>
      <c r="AP29" s="69">
        <v>549.09671988487241</v>
      </c>
      <c r="AQ29" s="69">
        <v>3337.9562335968026</v>
      </c>
      <c r="AR29" s="69">
        <v>438.44111698468521</v>
      </c>
      <c r="AS29" s="69">
        <v>821.71285009384155</v>
      </c>
    </row>
    <row r="30" spans="1:45" x14ac:dyDescent="0.25">
      <c r="A30" s="11">
        <v>44035</v>
      </c>
      <c r="B30" s="59"/>
      <c r="C30" s="60">
        <v>79.573654592036988</v>
      </c>
      <c r="D30" s="60">
        <v>930.48085047404004</v>
      </c>
      <c r="E30" s="60">
        <v>18.79810735384622</v>
      </c>
      <c r="F30" s="60">
        <v>0</v>
      </c>
      <c r="G30" s="60">
        <v>2704.1743920644103</v>
      </c>
      <c r="H30" s="61">
        <v>30.001133352518153</v>
      </c>
      <c r="I30" s="59">
        <v>224.66258397102388</v>
      </c>
      <c r="J30" s="60">
        <v>627.7458981831868</v>
      </c>
      <c r="K30" s="60">
        <v>34.446211948990779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398.0643675477512</v>
      </c>
      <c r="V30" s="62">
        <v>181.75580005733022</v>
      </c>
      <c r="W30" s="62">
        <v>65.917303110073377</v>
      </c>
      <c r="X30" s="62">
        <v>30.097775990853343</v>
      </c>
      <c r="Y30" s="66">
        <v>397.6884371855528</v>
      </c>
      <c r="Z30" s="66">
        <v>181.58415062242062</v>
      </c>
      <c r="AA30" s="67">
        <v>0</v>
      </c>
      <c r="AB30" s="68">
        <v>124.37413108084115</v>
      </c>
      <c r="AC30" s="69">
        <v>0</v>
      </c>
      <c r="AD30" s="406">
        <v>16.919296678136007</v>
      </c>
      <c r="AE30" s="406">
        <v>7.4865049391162133</v>
      </c>
      <c r="AF30" s="69">
        <v>24.041656251748428</v>
      </c>
      <c r="AG30" s="68">
        <v>16.309694651601479</v>
      </c>
      <c r="AH30" s="68">
        <v>7.4469905918845729</v>
      </c>
      <c r="AI30" s="68">
        <v>0.68653073795610875</v>
      </c>
      <c r="AJ30" s="69">
        <v>227.6836174329122</v>
      </c>
      <c r="AK30" s="69">
        <v>808.54130846659336</v>
      </c>
      <c r="AL30" s="69">
        <v>2966.1054304758709</v>
      </c>
      <c r="AM30" s="69">
        <v>543.83894348144531</v>
      </c>
      <c r="AN30" s="69">
        <v>4487.19873046875</v>
      </c>
      <c r="AO30" s="69">
        <v>2458.2867037455239</v>
      </c>
      <c r="AP30" s="69">
        <v>568.5248126506807</v>
      </c>
      <c r="AQ30" s="69">
        <v>3448.2920856475826</v>
      </c>
      <c r="AR30" s="69">
        <v>450.99214719136558</v>
      </c>
      <c r="AS30" s="69">
        <v>836.35390135447187</v>
      </c>
    </row>
    <row r="31" spans="1:45" x14ac:dyDescent="0.25">
      <c r="A31" s="11">
        <v>44036</v>
      </c>
      <c r="B31" s="59"/>
      <c r="C31" s="60">
        <v>79.249548490841121</v>
      </c>
      <c r="D31" s="60">
        <v>937.18132661183597</v>
      </c>
      <c r="E31" s="60">
        <v>18.672705703973762</v>
      </c>
      <c r="F31" s="60">
        <v>0</v>
      </c>
      <c r="G31" s="60">
        <v>2702.6257433573396</v>
      </c>
      <c r="H31" s="61">
        <v>30.422740938266198</v>
      </c>
      <c r="I31" s="59">
        <v>238.86388085683163</v>
      </c>
      <c r="J31" s="60">
        <v>675.29311628341804</v>
      </c>
      <c r="K31" s="60">
        <v>36.936550413568803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430.63515941125979</v>
      </c>
      <c r="V31" s="62">
        <v>181.61222682175449</v>
      </c>
      <c r="W31" s="62">
        <v>72.690356156301704</v>
      </c>
      <c r="X31" s="62">
        <v>30.655781724977295</v>
      </c>
      <c r="Y31" s="66">
        <v>438.75303490295306</v>
      </c>
      <c r="Z31" s="66">
        <v>185.03578714396264</v>
      </c>
      <c r="AA31" s="67">
        <v>0</v>
      </c>
      <c r="AB31" s="68">
        <v>130.658105479347</v>
      </c>
      <c r="AC31" s="69">
        <v>0</v>
      </c>
      <c r="AD31" s="406">
        <v>18.196705311406056</v>
      </c>
      <c r="AE31" s="406">
        <v>7.4805438174025651</v>
      </c>
      <c r="AF31" s="69">
        <v>25.321679235167029</v>
      </c>
      <c r="AG31" s="68">
        <v>17.611418495855926</v>
      </c>
      <c r="AH31" s="68">
        <v>7.4272823772563514</v>
      </c>
      <c r="AI31" s="68">
        <v>0.70336790175755037</v>
      </c>
      <c r="AJ31" s="69">
        <v>234.90534210205078</v>
      </c>
      <c r="AK31" s="69">
        <v>802.84914182027171</v>
      </c>
      <c r="AL31" s="69">
        <v>2997.9815593719486</v>
      </c>
      <c r="AM31" s="69">
        <v>543.83894348144531</v>
      </c>
      <c r="AN31" s="69">
        <v>4487.19873046875</v>
      </c>
      <c r="AO31" s="69">
        <v>2402.9460215250651</v>
      </c>
      <c r="AP31" s="69">
        <v>561.61231678326931</v>
      </c>
      <c r="AQ31" s="69">
        <v>3627.9567253112787</v>
      </c>
      <c r="AR31" s="69">
        <v>463.02650378545133</v>
      </c>
      <c r="AS31" s="69">
        <v>849.54348163604732</v>
      </c>
    </row>
    <row r="32" spans="1:45" x14ac:dyDescent="0.25">
      <c r="A32" s="11">
        <v>44037</v>
      </c>
      <c r="B32" s="59"/>
      <c r="C32" s="60">
        <v>79.477807537714355</v>
      </c>
      <c r="D32" s="60">
        <v>938.85944836934425</v>
      </c>
      <c r="E32" s="60">
        <v>18.759040328363543</v>
      </c>
      <c r="F32" s="60">
        <v>0</v>
      </c>
      <c r="G32" s="60">
        <v>2704.4344539642379</v>
      </c>
      <c r="H32" s="61">
        <v>30.804307360450526</v>
      </c>
      <c r="I32" s="59">
        <v>238.54677941004405</v>
      </c>
      <c r="J32" s="60">
        <v>683.43386891683019</v>
      </c>
      <c r="K32" s="60">
        <v>37.41002508997925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437.36346635131446</v>
      </c>
      <c r="V32" s="62">
        <v>182.41668243036082</v>
      </c>
      <c r="W32" s="62">
        <v>74.699216728033988</v>
      </c>
      <c r="X32" s="62">
        <v>31.155741949257852</v>
      </c>
      <c r="Y32" s="66">
        <v>449.22085141779468</v>
      </c>
      <c r="Z32" s="66">
        <v>187.36219117202879</v>
      </c>
      <c r="AA32" s="67">
        <v>0</v>
      </c>
      <c r="AB32" s="68">
        <v>132.78196491665511</v>
      </c>
      <c r="AC32" s="69">
        <v>0</v>
      </c>
      <c r="AD32" s="406">
        <v>18.420116562190834</v>
      </c>
      <c r="AE32" s="406">
        <v>7.4756335122283151</v>
      </c>
      <c r="AF32" s="69">
        <v>25.748373998536053</v>
      </c>
      <c r="AG32" s="68">
        <v>17.980996784139567</v>
      </c>
      <c r="AH32" s="68">
        <v>7.4995605086022987</v>
      </c>
      <c r="AI32" s="68">
        <v>0.70567517725608986</v>
      </c>
      <c r="AJ32" s="69">
        <v>226.07059648831685</v>
      </c>
      <c r="AK32" s="69">
        <v>793.29339952468888</v>
      </c>
      <c r="AL32" s="69">
        <v>2920.3571561177569</v>
      </c>
      <c r="AM32" s="69">
        <v>543.83894348144531</v>
      </c>
      <c r="AN32" s="69">
        <v>4487.19873046875</v>
      </c>
      <c r="AO32" s="69">
        <v>2351.4254741668701</v>
      </c>
      <c r="AP32" s="69">
        <v>540.00016662279779</v>
      </c>
      <c r="AQ32" s="69">
        <v>3580.5160280863442</v>
      </c>
      <c r="AR32" s="69">
        <v>435.15800647735597</v>
      </c>
      <c r="AS32" s="69">
        <v>808.55897461573284</v>
      </c>
    </row>
    <row r="33" spans="1:45" x14ac:dyDescent="0.25">
      <c r="A33" s="11">
        <v>44038</v>
      </c>
      <c r="B33" s="59"/>
      <c r="C33" s="60">
        <v>78.856952365239366</v>
      </c>
      <c r="D33" s="60">
        <v>940.50700365702073</v>
      </c>
      <c r="E33" s="60">
        <v>18.664215951164557</v>
      </c>
      <c r="F33" s="60">
        <v>0</v>
      </c>
      <c r="G33" s="60">
        <v>2703.2356900533055</v>
      </c>
      <c r="H33" s="61">
        <v>30.022814838091556</v>
      </c>
      <c r="I33" s="59">
        <v>238.59416513442906</v>
      </c>
      <c r="J33" s="60">
        <v>683.54657573700058</v>
      </c>
      <c r="K33" s="60">
        <v>37.520323604345378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422.7507287292089</v>
      </c>
      <c r="V33" s="62">
        <v>176.13090318556323</v>
      </c>
      <c r="W33" s="62">
        <v>72.280342850995936</v>
      </c>
      <c r="X33" s="62">
        <v>30.114204905517127</v>
      </c>
      <c r="Y33" s="66">
        <v>437.78932637821418</v>
      </c>
      <c r="Z33" s="66">
        <v>182.3964436247856</v>
      </c>
      <c r="AA33" s="67">
        <v>0</v>
      </c>
      <c r="AB33" s="68">
        <v>132.77910535600623</v>
      </c>
      <c r="AC33" s="69">
        <v>0</v>
      </c>
      <c r="AD33" s="406">
        <v>18.424703549999215</v>
      </c>
      <c r="AE33" s="406">
        <v>7.4891653717663713</v>
      </c>
      <c r="AF33" s="69">
        <v>25.473726379209097</v>
      </c>
      <c r="AG33" s="68">
        <v>17.793529203360649</v>
      </c>
      <c r="AH33" s="68">
        <v>7.413329313156714</v>
      </c>
      <c r="AI33" s="68">
        <v>0.70590030850933039</v>
      </c>
      <c r="AJ33" s="69">
        <v>227.32256612777709</v>
      </c>
      <c r="AK33" s="69">
        <v>796.39832251866665</v>
      </c>
      <c r="AL33" s="69">
        <v>3034.9210680643719</v>
      </c>
      <c r="AM33" s="69">
        <v>543.83894348144531</v>
      </c>
      <c r="AN33" s="69">
        <v>4487.19873046875</v>
      </c>
      <c r="AO33" s="69">
        <v>2357.2157521565764</v>
      </c>
      <c r="AP33" s="69">
        <v>519.51477112770067</v>
      </c>
      <c r="AQ33" s="69">
        <v>3573.3221401214596</v>
      </c>
      <c r="AR33" s="69">
        <v>434.42970507939657</v>
      </c>
      <c r="AS33" s="69">
        <v>777.93813349405934</v>
      </c>
    </row>
    <row r="34" spans="1:45" x14ac:dyDescent="0.25">
      <c r="A34" s="11">
        <v>44039</v>
      </c>
      <c r="B34" s="59"/>
      <c r="C34" s="60">
        <v>79.235989431539849</v>
      </c>
      <c r="D34" s="60">
        <v>964.3760950724286</v>
      </c>
      <c r="E34" s="60">
        <v>18.856162022054242</v>
      </c>
      <c r="F34" s="60">
        <v>0</v>
      </c>
      <c r="G34" s="60">
        <v>2852.489615758258</v>
      </c>
      <c r="H34" s="61">
        <v>30.028254095713329</v>
      </c>
      <c r="I34" s="59">
        <v>225.92465381622296</v>
      </c>
      <c r="J34" s="60">
        <v>647.27080227534054</v>
      </c>
      <c r="K34" s="60">
        <v>35.722792235016811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396.966155733991</v>
      </c>
      <c r="V34" s="62">
        <v>175.61782647934723</v>
      </c>
      <c r="W34" s="62">
        <v>68.514984576970633</v>
      </c>
      <c r="X34" s="62">
        <v>30.31102903577651</v>
      </c>
      <c r="Y34" s="66">
        <v>412.31156523260353</v>
      </c>
      <c r="Z34" s="66">
        <v>182.40663560993656</v>
      </c>
      <c r="AA34" s="67">
        <v>0</v>
      </c>
      <c r="AB34" s="68">
        <v>127.30472515954072</v>
      </c>
      <c r="AC34" s="69">
        <v>0</v>
      </c>
      <c r="AD34" s="406">
        <v>17.445596250112814</v>
      </c>
      <c r="AE34" s="406">
        <v>7.4861694320162213</v>
      </c>
      <c r="AF34" s="69">
        <v>24.402291131681839</v>
      </c>
      <c r="AG34" s="68">
        <v>16.737185449315533</v>
      </c>
      <c r="AH34" s="68">
        <v>7.4045308083146057</v>
      </c>
      <c r="AI34" s="68">
        <v>0.69328896382938976</v>
      </c>
      <c r="AJ34" s="69">
        <v>232.5714059670766</v>
      </c>
      <c r="AK34" s="69">
        <v>806.05679286321003</v>
      </c>
      <c r="AL34" s="69">
        <v>3008.9618633270265</v>
      </c>
      <c r="AM34" s="69">
        <v>543.83894348144531</v>
      </c>
      <c r="AN34" s="69">
        <v>4487.19873046875</v>
      </c>
      <c r="AO34" s="69">
        <v>2469.7290673573812</v>
      </c>
      <c r="AP34" s="69">
        <v>498.58027548789977</v>
      </c>
      <c r="AQ34" s="69">
        <v>3326.5619411468501</v>
      </c>
      <c r="AR34" s="69">
        <v>452.19539537429807</v>
      </c>
      <c r="AS34" s="69">
        <v>841.88895009358725</v>
      </c>
    </row>
    <row r="35" spans="1:45" x14ac:dyDescent="0.25">
      <c r="A35" s="11">
        <v>44040</v>
      </c>
      <c r="B35" s="59"/>
      <c r="C35" s="60">
        <v>78.854601864020722</v>
      </c>
      <c r="D35" s="60">
        <v>955.26158771514713</v>
      </c>
      <c r="E35" s="60">
        <v>18.970765968163807</v>
      </c>
      <c r="F35" s="60">
        <v>0</v>
      </c>
      <c r="G35" s="60">
        <v>2943.8086836496918</v>
      </c>
      <c r="H35" s="61">
        <v>29.988944703340625</v>
      </c>
      <c r="I35" s="59">
        <v>214.24283307393412</v>
      </c>
      <c r="J35" s="60">
        <v>627.75891224543193</v>
      </c>
      <c r="K35" s="60">
        <v>34.339466309547376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394.74754842707267</v>
      </c>
      <c r="V35" s="62">
        <v>179.41062589696489</v>
      </c>
      <c r="W35" s="62">
        <v>67.549258390102167</v>
      </c>
      <c r="X35" s="62">
        <v>30.700772620207829</v>
      </c>
      <c r="Y35" s="66">
        <v>404.14108817682694</v>
      </c>
      <c r="Z35" s="66">
        <v>183.67993891133762</v>
      </c>
      <c r="AA35" s="67">
        <v>0</v>
      </c>
      <c r="AB35" s="68">
        <v>124.90595894389895</v>
      </c>
      <c r="AC35" s="69">
        <v>0</v>
      </c>
      <c r="AD35" s="406">
        <v>16.917687910723679</v>
      </c>
      <c r="AE35" s="406">
        <v>7.4822619788372533</v>
      </c>
      <c r="AF35" s="69">
        <v>24.157767740885429</v>
      </c>
      <c r="AG35" s="68">
        <v>16.417257231046761</v>
      </c>
      <c r="AH35" s="68">
        <v>7.461554624139036</v>
      </c>
      <c r="AI35" s="68">
        <v>0.68752404142258028</v>
      </c>
      <c r="AJ35" s="69">
        <v>227.83239107131959</v>
      </c>
      <c r="AK35" s="69">
        <v>806.78377215067542</v>
      </c>
      <c r="AL35" s="69">
        <v>2960.8144681294757</v>
      </c>
      <c r="AM35" s="69">
        <v>543.83894348144531</v>
      </c>
      <c r="AN35" s="69">
        <v>4487.19873046875</v>
      </c>
      <c r="AO35" s="69">
        <v>2519.418902460734</v>
      </c>
      <c r="AP35" s="69">
        <v>509.52687228520716</v>
      </c>
      <c r="AQ35" s="69">
        <v>3091.2472625732421</v>
      </c>
      <c r="AR35" s="69">
        <v>446.22727152506508</v>
      </c>
      <c r="AS35" s="69">
        <v>845.28838685353605</v>
      </c>
    </row>
    <row r="36" spans="1:45" x14ac:dyDescent="0.25">
      <c r="A36" s="11">
        <v>44041</v>
      </c>
      <c r="B36" s="59"/>
      <c r="C36" s="60">
        <v>79.45521853367481</v>
      </c>
      <c r="D36" s="60">
        <v>954.27622934977137</v>
      </c>
      <c r="E36" s="60">
        <v>18.970685714483281</v>
      </c>
      <c r="F36" s="60">
        <v>0</v>
      </c>
      <c r="G36" s="60">
        <v>2898.6872123718299</v>
      </c>
      <c r="H36" s="61">
        <v>30.049817852179267</v>
      </c>
      <c r="I36" s="59">
        <v>213.59390540122996</v>
      </c>
      <c r="J36" s="60">
        <v>627.56115258534737</v>
      </c>
      <c r="K36" s="60">
        <v>34.344875889023108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391.28185492812815</v>
      </c>
      <c r="V36" s="62">
        <v>177.85774480840064</v>
      </c>
      <c r="W36" s="62">
        <v>66.509124351657206</v>
      </c>
      <c r="X36" s="62">
        <v>30.231820661707012</v>
      </c>
      <c r="Y36" s="66">
        <v>407.57857856682824</v>
      </c>
      <c r="Z36" s="66">
        <v>185.2654445972839</v>
      </c>
      <c r="AA36" s="67">
        <v>0</v>
      </c>
      <c r="AB36" s="68">
        <v>124.89974612660161</v>
      </c>
      <c r="AC36" s="69">
        <v>0</v>
      </c>
      <c r="AD36" s="406">
        <v>16.9147019477338</v>
      </c>
      <c r="AE36" s="406">
        <v>7.4889937492374195</v>
      </c>
      <c r="AF36" s="69">
        <v>23.927464924255997</v>
      </c>
      <c r="AG36" s="68">
        <v>16.273821966283784</v>
      </c>
      <c r="AH36" s="68">
        <v>7.3972897998766207</v>
      </c>
      <c r="AI36" s="68">
        <v>0.68749715379014897</v>
      </c>
      <c r="AJ36" s="69">
        <v>233.25540448824566</v>
      </c>
      <c r="AK36" s="69">
        <v>817.28729406992602</v>
      </c>
      <c r="AL36" s="69">
        <v>2992.4568064371742</v>
      </c>
      <c r="AM36" s="69">
        <v>543.83894348144531</v>
      </c>
      <c r="AN36" s="69">
        <v>4487.19873046875</v>
      </c>
      <c r="AO36" s="69">
        <v>2515.4668960571294</v>
      </c>
      <c r="AP36" s="69">
        <v>517.48476327260335</v>
      </c>
      <c r="AQ36" s="69">
        <v>3092.6222674051919</v>
      </c>
      <c r="AR36" s="69">
        <v>453.40041939417523</v>
      </c>
      <c r="AS36" s="69">
        <v>853.39997466405225</v>
      </c>
    </row>
    <row r="37" spans="1:45" s="368" customFormat="1" ht="15" customHeight="1" x14ac:dyDescent="0.25">
      <c r="A37" s="11">
        <v>44042</v>
      </c>
      <c r="B37" s="362"/>
      <c r="C37" s="363">
        <v>78.458930150668365</v>
      </c>
      <c r="D37" s="363">
        <v>959.21170730590654</v>
      </c>
      <c r="E37" s="363">
        <v>18.823546129961791</v>
      </c>
      <c r="F37" s="363">
        <v>0</v>
      </c>
      <c r="G37" s="363">
        <v>2871.4046220143719</v>
      </c>
      <c r="H37" s="364">
        <v>30.07319976091383</v>
      </c>
      <c r="I37" s="362">
        <v>214.13740448951745</v>
      </c>
      <c r="J37" s="363">
        <v>628.87715606689596</v>
      </c>
      <c r="K37" s="363">
        <v>34.576892889539394</v>
      </c>
      <c r="L37" s="365">
        <v>0</v>
      </c>
      <c r="M37" s="363">
        <v>0</v>
      </c>
      <c r="N37" s="364">
        <v>0</v>
      </c>
      <c r="O37" s="362">
        <v>0</v>
      </c>
      <c r="P37" s="363">
        <v>0</v>
      </c>
      <c r="Q37" s="363">
        <v>0</v>
      </c>
      <c r="R37" s="363">
        <v>0</v>
      </c>
      <c r="S37" s="363">
        <v>0</v>
      </c>
      <c r="T37" s="364">
        <v>0</v>
      </c>
      <c r="U37" s="362">
        <v>386.12466473734196</v>
      </c>
      <c r="V37" s="363">
        <v>170.04761373046827</v>
      </c>
      <c r="W37" s="363">
        <v>65.482237746168337</v>
      </c>
      <c r="X37" s="363">
        <v>28.838091133187984</v>
      </c>
      <c r="Y37" s="363">
        <v>400.87737916006222</v>
      </c>
      <c r="Z37" s="363">
        <v>176.54464464491954</v>
      </c>
      <c r="AA37" s="364">
        <v>0</v>
      </c>
      <c r="AB37" s="366">
        <v>124.89974626435416</v>
      </c>
      <c r="AC37" s="367">
        <v>0</v>
      </c>
      <c r="AD37" s="406">
        <v>16.951671874178693</v>
      </c>
      <c r="AE37" s="406">
        <v>7.4817885918440341</v>
      </c>
      <c r="AF37" s="367">
        <v>23.246792079342747</v>
      </c>
      <c r="AG37" s="367">
        <v>15.926305078499677</v>
      </c>
      <c r="AH37" s="367">
        <v>7.0138751068506826</v>
      </c>
      <c r="AI37" s="367">
        <v>0.69425370462740499</v>
      </c>
      <c r="AJ37" s="367">
        <v>235.36397212346392</v>
      </c>
      <c r="AK37" s="367">
        <v>815.22468798955299</v>
      </c>
      <c r="AL37" s="367">
        <v>2976.1302811940509</v>
      </c>
      <c r="AM37" s="367">
        <v>543.83894348144531</v>
      </c>
      <c r="AN37" s="367">
        <v>4487.19873046875</v>
      </c>
      <c r="AO37" s="367">
        <v>2512.3834829966227</v>
      </c>
      <c r="AP37" s="367">
        <v>526.71792333920791</v>
      </c>
      <c r="AQ37" s="367">
        <v>3175.4805082956955</v>
      </c>
      <c r="AR37" s="367">
        <v>447.2524552663167</v>
      </c>
      <c r="AS37" s="367">
        <v>778.06265735626243</v>
      </c>
    </row>
    <row r="38" spans="1:45" s="368" customFormat="1" ht="15" customHeight="1" thickBot="1" x14ac:dyDescent="0.3">
      <c r="A38" s="11">
        <v>44043</v>
      </c>
      <c r="B38" s="362"/>
      <c r="C38" s="363">
        <v>78.940096688270643</v>
      </c>
      <c r="D38" s="363">
        <v>959.55074450174914</v>
      </c>
      <c r="E38" s="363">
        <v>18.646360856791347</v>
      </c>
      <c r="F38" s="363">
        <v>0</v>
      </c>
      <c r="G38" s="363">
        <v>2879.3991449991904</v>
      </c>
      <c r="H38" s="364">
        <v>29.994509726762846</v>
      </c>
      <c r="I38" s="362">
        <v>215.24460611343414</v>
      </c>
      <c r="J38" s="363">
        <v>631.9541266123465</v>
      </c>
      <c r="K38" s="363">
        <v>34.738256421685179</v>
      </c>
      <c r="L38" s="365">
        <v>0</v>
      </c>
      <c r="M38" s="363">
        <v>0</v>
      </c>
      <c r="N38" s="364">
        <v>0</v>
      </c>
      <c r="O38" s="362">
        <v>0</v>
      </c>
      <c r="P38" s="363">
        <v>0</v>
      </c>
      <c r="Q38" s="363">
        <v>0</v>
      </c>
      <c r="R38" s="363">
        <v>0</v>
      </c>
      <c r="S38" s="363">
        <v>0</v>
      </c>
      <c r="T38" s="369">
        <v>0</v>
      </c>
      <c r="U38" s="362">
        <v>381.27161846943818</v>
      </c>
      <c r="V38" s="363">
        <v>174.08716633331221</v>
      </c>
      <c r="W38" s="363">
        <v>65.295952468683083</v>
      </c>
      <c r="X38" s="363">
        <v>29.813882774541867</v>
      </c>
      <c r="Y38" s="363">
        <v>407.25481252320731</v>
      </c>
      <c r="Z38" s="363">
        <v>185.95099360497636</v>
      </c>
      <c r="AA38" s="364">
        <v>0</v>
      </c>
      <c r="AB38" s="366">
        <v>124.89881723722087</v>
      </c>
      <c r="AC38" s="367">
        <v>0</v>
      </c>
      <c r="AD38" s="406">
        <v>17.028610022842702</v>
      </c>
      <c r="AE38" s="406">
        <v>7.4840778336463085</v>
      </c>
      <c r="AF38" s="367">
        <v>23.951726392904902</v>
      </c>
      <c r="AG38" s="367">
        <v>16.181546744814835</v>
      </c>
      <c r="AH38" s="367">
        <v>7.3884325064721583</v>
      </c>
      <c r="AI38" s="367">
        <v>0.68653207422451479</v>
      </c>
      <c r="AJ38" s="367">
        <v>218.94064761797588</v>
      </c>
      <c r="AK38" s="367">
        <v>804.32461544672651</v>
      </c>
      <c r="AL38" s="367">
        <v>2989.0008650461837</v>
      </c>
      <c r="AM38" s="367">
        <v>543.83894348144531</v>
      </c>
      <c r="AN38" s="367">
        <v>4487.19873046875</v>
      </c>
      <c r="AO38" s="367">
        <v>2494.9735596974692</v>
      </c>
      <c r="AP38" s="367">
        <v>515.10078514417023</v>
      </c>
      <c r="AQ38" s="367">
        <v>3153.5253292083739</v>
      </c>
      <c r="AR38" s="367">
        <v>446.88093261718763</v>
      </c>
      <c r="AS38" s="367">
        <v>793.95160376230876</v>
      </c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2387.923163211341</v>
      </c>
      <c r="D39" s="30">
        <f t="shared" si="0"/>
        <v>27794.072948455807</v>
      </c>
      <c r="E39" s="30">
        <f t="shared" si="0"/>
        <v>565.5351915876073</v>
      </c>
      <c r="F39" s="30">
        <f t="shared" si="0"/>
        <v>0</v>
      </c>
      <c r="G39" s="30">
        <f t="shared" si="0"/>
        <v>83082.942942682916</v>
      </c>
      <c r="H39" s="31">
        <f t="shared" si="0"/>
        <v>915.88657340109501</v>
      </c>
      <c r="I39" s="29">
        <f t="shared" si="0"/>
        <v>7453.1535406748417</v>
      </c>
      <c r="J39" s="30">
        <f t="shared" si="0"/>
        <v>19760.061962890628</v>
      </c>
      <c r="K39" s="30">
        <f t="shared" si="0"/>
        <v>1083.3487385228277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12373.823171513915</v>
      </c>
      <c r="V39" s="260">
        <f t="shared" si="0"/>
        <v>5360.2322772725038</v>
      </c>
      <c r="W39" s="260">
        <f t="shared" si="0"/>
        <v>2067.136636824006</v>
      </c>
      <c r="X39" s="260">
        <f t="shared" si="0"/>
        <v>895.01721398572704</v>
      </c>
      <c r="Y39" s="260">
        <f t="shared" si="0"/>
        <v>12101.570115560662</v>
      </c>
      <c r="Z39" s="260">
        <f t="shared" si="0"/>
        <v>5234.4580983694568</v>
      </c>
      <c r="AA39" s="268">
        <f t="shared" si="0"/>
        <v>0</v>
      </c>
      <c r="AB39" s="271">
        <f t="shared" si="0"/>
        <v>3492.1612180391817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SUM(AJ8:AJ37)</f>
        <v>6789.7899462540936</v>
      </c>
      <c r="AK39" s="271">
        <f t="shared" si="1"/>
        <v>24175.972242609663</v>
      </c>
      <c r="AL39" s="271">
        <f t="shared" si="1"/>
        <v>90285.614591217047</v>
      </c>
      <c r="AM39" s="271">
        <f t="shared" si="1"/>
        <v>16095.826192919412</v>
      </c>
      <c r="AN39" s="271">
        <f t="shared" si="1"/>
        <v>132677.27895965576</v>
      </c>
      <c r="AO39" s="271">
        <f t="shared" si="1"/>
        <v>73780.032623163861</v>
      </c>
      <c r="AP39" s="271">
        <f t="shared" si="1"/>
        <v>15855.736370452247</v>
      </c>
      <c r="AQ39" s="271">
        <f t="shared" si="1"/>
        <v>101945.43016535442</v>
      </c>
      <c r="AR39" s="271">
        <f t="shared" si="1"/>
        <v>13684.89018324216</v>
      </c>
      <c r="AS39" s="271">
        <f t="shared" si="1"/>
        <v>26638.740664672852</v>
      </c>
    </row>
    <row r="40" spans="1:45" ht="15.75" thickBot="1" x14ac:dyDescent="0.3">
      <c r="A40" s="47" t="s">
        <v>172</v>
      </c>
      <c r="B40" s="32">
        <f>Projection!$AC$30</f>
        <v>0.66681052199999991</v>
      </c>
      <c r="C40" s="33">
        <f>Projection!$AC$28</f>
        <v>1.4286753599999999</v>
      </c>
      <c r="D40" s="33">
        <f>Projection!$AC$31</f>
        <v>2.1930447000000002</v>
      </c>
      <c r="E40" s="33">
        <f>Projection!$AC$26</f>
        <v>4.4235360000000004</v>
      </c>
      <c r="F40" s="33">
        <f>Projection!$AC$23</f>
        <v>0</v>
      </c>
      <c r="G40" s="33">
        <f>Projection!$AC$24</f>
        <v>5.9975000000000001E-2</v>
      </c>
      <c r="H40" s="34">
        <f>Projection!$AC$29</f>
        <v>3.7390305000000001</v>
      </c>
      <c r="I40" s="32">
        <f>Projection!$AC$30</f>
        <v>0.66681052199999991</v>
      </c>
      <c r="J40" s="33">
        <f>Projection!$AC$28</f>
        <v>1.4286753599999999</v>
      </c>
      <c r="K40" s="33">
        <f>Projection!$AC$26</f>
        <v>4.4235360000000004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1.4286753599999999</v>
      </c>
      <c r="T40" s="38">
        <f>Projection!$AC$28</f>
        <v>1.4286753599999999</v>
      </c>
      <c r="U40" s="26">
        <f>Projection!$AC$27</f>
        <v>0.26450000000000001</v>
      </c>
      <c r="V40" s="27">
        <f>Projection!$AC$27</f>
        <v>0.26450000000000001</v>
      </c>
      <c r="W40" s="27">
        <f>Projection!$AC$22</f>
        <v>0.85935360000000005</v>
      </c>
      <c r="X40" s="27">
        <f>Projection!$AC$22</f>
        <v>0.85935360000000005</v>
      </c>
      <c r="Y40" s="27">
        <f>Projection!$AC$31</f>
        <v>2.1930447000000002</v>
      </c>
      <c r="Z40" s="27">
        <f>Projection!$AC$31</f>
        <v>2.1930447000000002</v>
      </c>
      <c r="AA40" s="28">
        <v>0</v>
      </c>
      <c r="AB40" s="41">
        <f>Projection!$AC$27</f>
        <v>0.26450000000000001</v>
      </c>
      <c r="AC40" s="41">
        <f>Projection!$AC$30</f>
        <v>0.66681052199999991</v>
      </c>
      <c r="AD40" s="397">
        <f>SUM(AD8:AD38)</f>
        <v>549.68116467005416</v>
      </c>
      <c r="AE40" s="397">
        <f>SUM(AE8:AE38)</f>
        <v>232.90364440986809</v>
      </c>
      <c r="AF40" s="275">
        <f>SUM(AF8:AF37)</f>
        <v>741.45077527761464</v>
      </c>
      <c r="AG40" s="275">
        <f>SUM(AG8:AG37)</f>
        <v>511.09904900405331</v>
      </c>
      <c r="AH40" s="275">
        <f>SUM(AH8:AH37)</f>
        <v>221.13421586958106</v>
      </c>
      <c r="AI40" s="275">
        <f>IF(SUM(AG40:AH40)&gt;0, AG40/(AG40+AH40), 0)</f>
        <v>0.69800031427451814</v>
      </c>
      <c r="AJ40" s="310">
        <v>6.5000000000000002E-2</v>
      </c>
      <c r="AK40" s="310">
        <f t="shared" ref="AK40:AS40" si="2">$AJ$40</f>
        <v>6.5000000000000002E-2</v>
      </c>
      <c r="AL40" s="310">
        <f t="shared" si="2"/>
        <v>6.5000000000000002E-2</v>
      </c>
      <c r="AM40" s="310">
        <f t="shared" si="2"/>
        <v>6.5000000000000002E-2</v>
      </c>
      <c r="AN40" s="310">
        <f t="shared" si="2"/>
        <v>6.5000000000000002E-2</v>
      </c>
      <c r="AO40" s="310">
        <f t="shared" si="2"/>
        <v>6.5000000000000002E-2</v>
      </c>
      <c r="AP40" s="310">
        <f t="shared" si="2"/>
        <v>6.5000000000000002E-2</v>
      </c>
      <c r="AQ40" s="310">
        <f t="shared" si="2"/>
        <v>6.5000000000000002E-2</v>
      </c>
      <c r="AR40" s="310">
        <f t="shared" si="2"/>
        <v>6.5000000000000002E-2</v>
      </c>
      <c r="AS40" s="310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3411.5669848533012</v>
      </c>
      <c r="D41" s="36">
        <f t="shared" si="3"/>
        <v>60953.644371024384</v>
      </c>
      <c r="E41" s="36">
        <f t="shared" si="3"/>
        <v>2501.6652792546784</v>
      </c>
      <c r="F41" s="36">
        <f t="shared" si="3"/>
        <v>0</v>
      </c>
      <c r="G41" s="36">
        <f t="shared" si="3"/>
        <v>4982.8995029874077</v>
      </c>
      <c r="H41" s="37">
        <f t="shared" si="3"/>
        <v>3424.5278324871829</v>
      </c>
      <c r="I41" s="35">
        <f t="shared" si="3"/>
        <v>4969.8412030035388</v>
      </c>
      <c r="J41" s="36">
        <f t="shared" si="3"/>
        <v>28230.713638455072</v>
      </c>
      <c r="K41" s="36">
        <f t="shared" si="3"/>
        <v>4792.2321454103158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3272.8762288654307</v>
      </c>
      <c r="V41" s="266">
        <f t="shared" si="3"/>
        <v>1417.7814373385772</v>
      </c>
      <c r="W41" s="266">
        <f t="shared" si="3"/>
        <v>1776.4013105466022</v>
      </c>
      <c r="X41" s="266">
        <f t="shared" si="3"/>
        <v>769.13626490060494</v>
      </c>
      <c r="Y41" s="266">
        <f t="shared" si="3"/>
        <v>26539.284203608699</v>
      </c>
      <c r="Z41" s="266">
        <f t="shared" si="3"/>
        <v>11479.400590001216</v>
      </c>
      <c r="AA41" s="270">
        <f t="shared" si="3"/>
        <v>0</v>
      </c>
      <c r="AB41" s="273">
        <f t="shared" si="3"/>
        <v>923.6766421713636</v>
      </c>
      <c r="AC41" s="273">
        <f t="shared" si="3"/>
        <v>0</v>
      </c>
      <c r="AJ41" s="276">
        <f t="shared" ref="AJ41:AS41" si="4">AJ40*AJ39</f>
        <v>441.33634650651612</v>
      </c>
      <c r="AK41" s="276">
        <f t="shared" si="4"/>
        <v>1571.4381957696282</v>
      </c>
      <c r="AL41" s="276">
        <f t="shared" si="4"/>
        <v>5868.564948429108</v>
      </c>
      <c r="AM41" s="276">
        <f t="shared" si="4"/>
        <v>1046.2287025397618</v>
      </c>
      <c r="AN41" s="276">
        <f t="shared" si="4"/>
        <v>8624.0231323776243</v>
      </c>
      <c r="AO41" s="276">
        <f t="shared" si="4"/>
        <v>4795.7021205056508</v>
      </c>
      <c r="AP41" s="276">
        <f t="shared" si="4"/>
        <v>1030.6228640793961</v>
      </c>
      <c r="AQ41" s="276">
        <f t="shared" si="4"/>
        <v>6626.4529607480381</v>
      </c>
      <c r="AR41" s="276">
        <f t="shared" si="4"/>
        <v>889.51786191074041</v>
      </c>
      <c r="AS41" s="276">
        <f t="shared" si="4"/>
        <v>1731.5181432037355</v>
      </c>
    </row>
    <row r="42" spans="1:45" ht="49.5" customHeight="1" thickTop="1" thickBot="1" x14ac:dyDescent="0.3">
      <c r="A42" s="640">
        <f>JUNE!$A$42+30</f>
        <v>44013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93.21</v>
      </c>
      <c r="AK42" s="276" t="s">
        <v>197</v>
      </c>
      <c r="AL42" s="276">
        <v>67.400000000000006</v>
      </c>
      <c r="AM42" s="276">
        <v>261.14</v>
      </c>
      <c r="AN42" s="276">
        <v>44.59</v>
      </c>
      <c r="AO42" s="276">
        <v>1154.17</v>
      </c>
      <c r="AP42" s="276">
        <v>90.42</v>
      </c>
      <c r="AQ42" s="276" t="s">
        <v>197</v>
      </c>
      <c r="AR42" s="276">
        <v>74.94</v>
      </c>
      <c r="AS42" s="276">
        <v>101.45</v>
      </c>
    </row>
    <row r="43" spans="1:4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45" ht="24.75" thickTop="1" thickBot="1" x14ac:dyDescent="0.3">
      <c r="A44" s="280" t="s">
        <v>135</v>
      </c>
      <c r="B44" s="281">
        <f>SUM(B41:AC41)</f>
        <v>159445.64763490838</v>
      </c>
      <c r="C44" s="12"/>
      <c r="D44" s="280" t="s">
        <v>135</v>
      </c>
      <c r="E44" s="281">
        <f>SUM(B41:H41)+P41+R41+T41+V41+X41+Z41</f>
        <v>88940.622262847333</v>
      </c>
      <c r="F44" s="12"/>
      <c r="G44" s="280" t="s">
        <v>135</v>
      </c>
      <c r="H44" s="281">
        <f>SUM(I41:N41)+O41+Q41+S41+U41+W41+Y41</f>
        <v>69581.348729889651</v>
      </c>
      <c r="I44" s="12"/>
      <c r="J44" s="280" t="s">
        <v>198</v>
      </c>
      <c r="K44" s="281">
        <v>224541.34</v>
      </c>
      <c r="L44" s="12"/>
      <c r="M44" s="12"/>
      <c r="N44" s="12"/>
      <c r="O44" s="12"/>
      <c r="P44" s="12"/>
      <c r="Q44" s="12"/>
      <c r="R44" s="317" t="s">
        <v>135</v>
      </c>
      <c r="S44" s="318"/>
      <c r="T44" s="311" t="s">
        <v>167</v>
      </c>
      <c r="U44" s="253" t="s">
        <v>168</v>
      </c>
    </row>
    <row r="45" spans="1:45" ht="24" thickBot="1" x14ac:dyDescent="0.4">
      <c r="A45" s="282" t="s">
        <v>183</v>
      </c>
      <c r="B45" s="283">
        <f>SUM(AJ41:AS41)</f>
        <v>32625.405276070196</v>
      </c>
      <c r="C45" s="12"/>
      <c r="D45" s="282" t="s">
        <v>183</v>
      </c>
      <c r="E45" s="283">
        <f>AJ41*(1-$AI$40)+AK41+AL41*0.5+AN41+AO41*(1-$AI$40)+AP41*(1-$AI$40)+AQ41*(1-$AI$40)+AR41*0.5+AS41*0.5</f>
        <v>18334.280268763046</v>
      </c>
      <c r="F45" s="24"/>
      <c r="G45" s="282" t="s">
        <v>183</v>
      </c>
      <c r="H45" s="283">
        <f>AJ41*AI40+AL41*0.5+AM41+AO41*AI40+AP41*AI40+AQ41*AI40+AR41*0.5+AS41*0.5</f>
        <v>14291.12500730715</v>
      </c>
      <c r="I45" s="12"/>
      <c r="J45" s="12"/>
      <c r="K45" s="286"/>
      <c r="L45" s="12"/>
      <c r="M45" s="12"/>
      <c r="N45" s="12"/>
      <c r="O45" s="12"/>
      <c r="P45" s="12"/>
      <c r="Q45" s="12"/>
      <c r="R45" s="315" t="s">
        <v>141</v>
      </c>
      <c r="S45" s="316"/>
      <c r="T45" s="252">
        <f>$W$39+$X$39</f>
        <v>2962.1538508097328</v>
      </c>
      <c r="U45" s="254">
        <f>(T45*8.34*0.895)/27000</f>
        <v>0.81890388846663298</v>
      </c>
    </row>
    <row r="46" spans="1:45" ht="32.25" thickBot="1" x14ac:dyDescent="0.3">
      <c r="A46" s="284" t="s">
        <v>184</v>
      </c>
      <c r="B46" s="285">
        <f>SUM(AJ42:AS42)</f>
        <v>1887.3200000000004</v>
      </c>
      <c r="C46" s="12"/>
      <c r="D46" s="284" t="s">
        <v>184</v>
      </c>
      <c r="E46" s="285">
        <f>AJ42*(1-$AI$40)+AL42*0.5+AN42+AO42*(1-$AI$40)+AP42*(1-$AI$40)+AR42*0.5+AS42*0.5</f>
        <v>570.50017956354975</v>
      </c>
      <c r="F46" s="23"/>
      <c r="G46" s="284" t="s">
        <v>184</v>
      </c>
      <c r="H46" s="285">
        <f>AJ42*AI40+AL42*0.5+AM42+AO42*AI40+AP42*AI40+AR42*0.5+AS42*0.5</f>
        <v>1316.8198204364503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15" t="s">
        <v>145</v>
      </c>
      <c r="S46" s="316"/>
      <c r="T46" s="252">
        <f>$M$39+$N$39+$F$39</f>
        <v>0</v>
      </c>
      <c r="U46" s="255">
        <f>(((T46*8.34)*0.005)/(8.34*1.055))/400</f>
        <v>0</v>
      </c>
    </row>
    <row r="47" spans="1:45" ht="24.75" thickTop="1" thickBot="1" x14ac:dyDescent="0.4">
      <c r="A47" s="284" t="s">
        <v>185</v>
      </c>
      <c r="B47" s="285">
        <f>K44</f>
        <v>224541.34</v>
      </c>
      <c r="C47" s="12"/>
      <c r="D47" s="284" t="s">
        <v>187</v>
      </c>
      <c r="E47" s="285">
        <f>K44*0.5</f>
        <v>112270.67</v>
      </c>
      <c r="F47" s="24"/>
      <c r="G47" s="284" t="s">
        <v>185</v>
      </c>
      <c r="H47" s="285">
        <f>K44*0.5</f>
        <v>112270.67</v>
      </c>
      <c r="I47" s="12"/>
      <c r="J47" s="280" t="s">
        <v>198</v>
      </c>
      <c r="K47" s="281">
        <v>29795.08</v>
      </c>
      <c r="L47" s="12"/>
      <c r="M47" s="12"/>
      <c r="N47" s="12"/>
      <c r="O47" s="12"/>
      <c r="P47" s="12"/>
      <c r="Q47" s="12"/>
      <c r="R47" s="315" t="s">
        <v>148</v>
      </c>
      <c r="S47" s="316"/>
      <c r="T47" s="252">
        <f>$G$39</f>
        <v>83082.942942682916</v>
      </c>
      <c r="U47" s="254">
        <f>T47/40000</f>
        <v>2.0770735735670729</v>
      </c>
    </row>
    <row r="48" spans="1:45" ht="24" thickBot="1" x14ac:dyDescent="0.3">
      <c r="A48" s="284" t="s">
        <v>186</v>
      </c>
      <c r="B48" s="285">
        <f>K47</f>
        <v>29795.08</v>
      </c>
      <c r="C48" s="12"/>
      <c r="D48" s="284" t="s">
        <v>186</v>
      </c>
      <c r="E48" s="285">
        <f>K47*0.5</f>
        <v>14897.54</v>
      </c>
      <c r="F48" s="23"/>
      <c r="G48" s="284" t="s">
        <v>186</v>
      </c>
      <c r="H48" s="285">
        <f>K47*0.5</f>
        <v>14897.54</v>
      </c>
      <c r="I48" s="12"/>
      <c r="J48" s="12"/>
      <c r="K48" s="86"/>
      <c r="L48" s="12"/>
      <c r="M48" s="12"/>
      <c r="N48" s="12"/>
      <c r="O48" s="12"/>
      <c r="P48" s="12"/>
      <c r="Q48" s="12"/>
      <c r="R48" s="315" t="s">
        <v>150</v>
      </c>
      <c r="S48" s="316"/>
      <c r="T48" s="252">
        <f>$L$39</f>
        <v>0</v>
      </c>
      <c r="U48" s="254">
        <f>T48*9.34*0.107</f>
        <v>0</v>
      </c>
    </row>
    <row r="49" spans="1:25" ht="48" thickTop="1" thickBot="1" x14ac:dyDescent="0.3">
      <c r="A49" s="289" t="s">
        <v>194</v>
      </c>
      <c r="B49" s="290">
        <f>AF40</f>
        <v>741.45077527761464</v>
      </c>
      <c r="C49" s="12"/>
      <c r="D49" s="289" t="s">
        <v>195</v>
      </c>
      <c r="E49" s="290">
        <f>AH40</f>
        <v>221.13421586958106</v>
      </c>
      <c r="F49" s="371">
        <f>E44/E49</f>
        <v>402.20199263646333</v>
      </c>
      <c r="G49" s="289" t="s">
        <v>196</v>
      </c>
      <c r="H49" s="290">
        <f>AG40</f>
        <v>511.09904900405331</v>
      </c>
      <c r="I49" s="370">
        <f>H44/H49</f>
        <v>136.1406343163394</v>
      </c>
      <c r="J49" s="12"/>
      <c r="K49" s="86"/>
      <c r="L49" s="12"/>
      <c r="M49" s="12"/>
      <c r="N49" s="12"/>
      <c r="O49" s="12"/>
      <c r="P49" s="12"/>
      <c r="Q49" s="12"/>
      <c r="R49" s="315" t="s">
        <v>152</v>
      </c>
      <c r="S49" s="316"/>
      <c r="T49" s="252">
        <f>$E$39+$K$39</f>
        <v>1648.8839301104349</v>
      </c>
      <c r="U49" s="254">
        <f>(T49*8.34*1.04)/45000</f>
        <v>0.3178168812490193</v>
      </c>
    </row>
    <row r="50" spans="1:25" ht="48" customHeight="1" thickTop="1" thickBot="1" x14ac:dyDescent="0.3">
      <c r="A50" s="289" t="s">
        <v>223</v>
      </c>
      <c r="B50" s="290">
        <f>SUM(E50+H50)</f>
        <v>782.58480907992225</v>
      </c>
      <c r="C50" s="12"/>
      <c r="D50" s="289" t="s">
        <v>224</v>
      </c>
      <c r="E50" s="290">
        <f>AE40</f>
        <v>232.90364440986809</v>
      </c>
      <c r="F50" s="371"/>
      <c r="G50" s="289" t="s">
        <v>225</v>
      </c>
      <c r="H50" s="290">
        <f>AD40</f>
        <v>549.68116467005416</v>
      </c>
      <c r="I50" s="370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572.83860830116885</v>
      </c>
      <c r="C51" s="12"/>
      <c r="D51" s="289" t="s">
        <v>188</v>
      </c>
      <c r="E51" s="292">
        <f>SUM(E44:E48)/E50</f>
        <v>1009.0594044015587</v>
      </c>
      <c r="F51" s="23"/>
      <c r="G51" s="289" t="s">
        <v>189</v>
      </c>
      <c r="H51" s="292">
        <f>SUM(H44:H48)/H50</f>
        <v>386.32850679011483</v>
      </c>
      <c r="I51" s="12"/>
      <c r="J51" s="12"/>
      <c r="K51" s="86"/>
      <c r="L51" s="12"/>
      <c r="M51" s="12"/>
      <c r="N51" s="12"/>
      <c r="O51" s="12"/>
      <c r="P51" s="12"/>
      <c r="Q51" s="12"/>
      <c r="R51" s="315" t="s">
        <v>153</v>
      </c>
      <c r="S51" s="316"/>
      <c r="T51" s="252">
        <f>$U$39+$V$39+$AB$39</f>
        <v>21226.216666825603</v>
      </c>
      <c r="U51" s="254">
        <f>T51/2000/8</f>
        <v>1.3266385416766002</v>
      </c>
    </row>
    <row r="52" spans="1:25" ht="47.25" customHeight="1" thickTop="1" thickBot="1" x14ac:dyDescent="0.3">
      <c r="A52" s="279" t="s">
        <v>191</v>
      </c>
      <c r="B52" s="292">
        <f>B51/1000</f>
        <v>0.57283860830116884</v>
      </c>
      <c r="C52" s="12"/>
      <c r="D52" s="279" t="s">
        <v>192</v>
      </c>
      <c r="E52" s="292">
        <f>E51/1000</f>
        <v>1.0090594044015586</v>
      </c>
      <c r="F52" s="12"/>
      <c r="G52" s="279" t="s">
        <v>193</v>
      </c>
      <c r="H52" s="292">
        <f>H51/1000</f>
        <v>0.38632850679011482</v>
      </c>
      <c r="I52" s="12"/>
      <c r="J52" s="12"/>
      <c r="K52" s="86"/>
      <c r="L52" s="12"/>
      <c r="M52" s="12"/>
      <c r="N52" s="12"/>
      <c r="O52" s="12"/>
      <c r="P52" s="12"/>
      <c r="Q52" s="12"/>
      <c r="R52" s="315" t="s">
        <v>154</v>
      </c>
      <c r="S52" s="316"/>
      <c r="T52" s="252">
        <f>$C$39+$J$39+$S$39+$T$39</f>
        <v>22147.985126101968</v>
      </c>
      <c r="U52" s="254">
        <f>(T52*8.34*1.4)/45000</f>
        <v>5.7466638740525902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5" t="s">
        <v>155</v>
      </c>
      <c r="S53" s="316"/>
      <c r="T53" s="252">
        <f>$H$39</f>
        <v>915.88657340109501</v>
      </c>
      <c r="U53" s="254">
        <f>(T53*8.34*1.135)/45000</f>
        <v>0.192659793670165</v>
      </c>
    </row>
    <row r="54" spans="1:25" ht="48" customHeight="1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5" t="s">
        <v>156</v>
      </c>
      <c r="S54" s="316"/>
      <c r="T54" s="252">
        <f>$B$39+$I$39+$AC$39</f>
        <v>7453.1535406748417</v>
      </c>
      <c r="U54" s="254">
        <f>(T54*8.34*1.029*0.03)/3300</f>
        <v>0.58147200222341633</v>
      </c>
    </row>
    <row r="55" spans="1:25" ht="51.75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45130.101162385923</v>
      </c>
      <c r="U55" s="257">
        <f>(T55*1.54*8.34)/45000</f>
        <v>12.880732606427108</v>
      </c>
    </row>
    <row r="56" spans="1:25" ht="24" thickTop="1" x14ac:dyDescent="0.25">
      <c r="A56" s="668"/>
      <c r="B56" s="66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0"/>
      <c r="B57" s="67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6"/>
      <c r="B58" s="66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7"/>
      <c r="B59" s="66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6"/>
      <c r="B60" s="66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7"/>
      <c r="B61" s="667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  <row r="63" spans="1:25" x14ac:dyDescent="0.25">
      <c r="A63" s="12"/>
      <c r="B63" s="12"/>
    </row>
  </sheetData>
  <sheetProtection algorithmName="SHA-512" hashValue="dWczRqD7mCGmPhCoZEHmfvIRwUiqG5HYW4fkFbXccK03kUAz5xfA6i2zGe7KTYu5TM6zyUy6wKs/c+INvO7xyQ==" saltValue="xB2XK7M+/INTjC525cd97A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W62"/>
  <sheetViews>
    <sheetView topLeftCell="B33" zoomScale="75" zoomScaleNormal="75" workbookViewId="0">
      <selection activeCell="K48" sqref="K48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  <c r="AV4" t="s">
        <v>169</v>
      </c>
      <c r="AW4" s="335" t="s">
        <v>207</v>
      </c>
    </row>
    <row r="5" spans="1:49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4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44044</v>
      </c>
      <c r="B8" s="49"/>
      <c r="C8" s="50">
        <v>78.494927394390331</v>
      </c>
      <c r="D8" s="50">
        <v>959.92543525695703</v>
      </c>
      <c r="E8" s="50">
        <v>18.763761500517585</v>
      </c>
      <c r="F8" s="50">
        <v>0</v>
      </c>
      <c r="G8" s="50">
        <v>2944.4263724009202</v>
      </c>
      <c r="H8" s="51">
        <v>30.004104868571051</v>
      </c>
      <c r="I8" s="49">
        <v>215.25397971471165</v>
      </c>
      <c r="J8" s="50">
        <v>632.35722344716385</v>
      </c>
      <c r="K8" s="50">
        <v>34.623900363842651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389.11274930956171</v>
      </c>
      <c r="V8" s="54">
        <v>176.8435857581882</v>
      </c>
      <c r="W8" s="54">
        <v>68.577487715992632</v>
      </c>
      <c r="X8" s="54">
        <v>31.167030254092552</v>
      </c>
      <c r="Y8" s="54">
        <v>416.42723997144799</v>
      </c>
      <c r="Z8" s="54">
        <v>189.25744904171597</v>
      </c>
      <c r="AA8" s="55">
        <v>0</v>
      </c>
      <c r="AB8" s="56">
        <v>124.89805178112725</v>
      </c>
      <c r="AC8" s="57">
        <v>0</v>
      </c>
      <c r="AD8" s="405">
        <v>17.043300789595996</v>
      </c>
      <c r="AE8" s="405">
        <v>7.4877853853847247</v>
      </c>
      <c r="AF8" s="57">
        <v>24.388566695319273</v>
      </c>
      <c r="AG8" s="58">
        <v>16.499374829636764</v>
      </c>
      <c r="AH8" s="58">
        <v>7.4986199059750538</v>
      </c>
      <c r="AI8" s="58">
        <v>0.68753139632756566</v>
      </c>
      <c r="AJ8" s="57">
        <v>229.97859644889834</v>
      </c>
      <c r="AK8" s="57">
        <v>807.2231544812521</v>
      </c>
      <c r="AL8" s="57">
        <v>2925.7070695241291</v>
      </c>
      <c r="AM8" s="57">
        <v>543.83894348144531</v>
      </c>
      <c r="AN8" s="57">
        <v>4487.19873046875</v>
      </c>
      <c r="AO8" s="57">
        <v>2439.573797607422</v>
      </c>
      <c r="AP8" s="57">
        <v>524.59520022074378</v>
      </c>
      <c r="AQ8" s="57">
        <v>3089.6738356272385</v>
      </c>
      <c r="AR8" s="57">
        <v>452.4886433919271</v>
      </c>
      <c r="AS8" s="57">
        <v>773.45824448267626</v>
      </c>
    </row>
    <row r="9" spans="1:49" x14ac:dyDescent="0.25">
      <c r="A9" s="11">
        <v>44045</v>
      </c>
      <c r="B9" s="59"/>
      <c r="C9" s="60">
        <v>78.78389041821174</v>
      </c>
      <c r="D9" s="60">
        <v>959.52016703287541</v>
      </c>
      <c r="E9" s="60">
        <v>18.786023760338669</v>
      </c>
      <c r="F9" s="60">
        <v>0</v>
      </c>
      <c r="G9" s="60">
        <v>2944.0514041900647</v>
      </c>
      <c r="H9" s="61">
        <v>30.104340449969076</v>
      </c>
      <c r="I9" s="59">
        <v>211.43116796016727</v>
      </c>
      <c r="J9" s="60">
        <v>621.81762102444895</v>
      </c>
      <c r="K9" s="60">
        <v>34.019658993681226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380.62923505671887</v>
      </c>
      <c r="V9" s="62">
        <v>176.04773356019115</v>
      </c>
      <c r="W9" s="62">
        <v>66.978314491890501</v>
      </c>
      <c r="X9" s="62">
        <v>30.978651606259184</v>
      </c>
      <c r="Y9" s="66">
        <v>408.90564524856575</v>
      </c>
      <c r="Z9" s="66">
        <v>189.12607192469207</v>
      </c>
      <c r="AA9" s="67">
        <v>0</v>
      </c>
      <c r="AB9" s="68">
        <v>123.27552397516141</v>
      </c>
      <c r="AC9" s="69">
        <v>0</v>
      </c>
      <c r="AD9" s="406">
        <v>16.750266708719508</v>
      </c>
      <c r="AE9" s="406">
        <v>7.4838679114045705</v>
      </c>
      <c r="AF9" s="69">
        <v>23.970899989869896</v>
      </c>
      <c r="AG9" s="68">
        <v>16.122821501830106</v>
      </c>
      <c r="AH9" s="68">
        <v>7.4570892684313899</v>
      </c>
      <c r="AI9" s="68">
        <v>0.68375243905349636</v>
      </c>
      <c r="AJ9" s="69">
        <v>226.61148277918497</v>
      </c>
      <c r="AK9" s="69">
        <v>804.715883286794</v>
      </c>
      <c r="AL9" s="69">
        <v>2998.5311122894291</v>
      </c>
      <c r="AM9" s="69">
        <v>543.83894348144531</v>
      </c>
      <c r="AN9" s="69">
        <v>4487.19873046875</v>
      </c>
      <c r="AO9" s="69">
        <v>2473.923581822713</v>
      </c>
      <c r="AP9" s="69">
        <v>526.35663293202731</v>
      </c>
      <c r="AQ9" s="69">
        <v>3225.0811466217033</v>
      </c>
      <c r="AR9" s="69">
        <v>455.79358151753746</v>
      </c>
      <c r="AS9" s="69">
        <v>793.16614955266323</v>
      </c>
    </row>
    <row r="10" spans="1:49" x14ac:dyDescent="0.25">
      <c r="A10" s="11">
        <v>44046</v>
      </c>
      <c r="B10" s="59"/>
      <c r="C10" s="60">
        <v>78.213905743758488</v>
      </c>
      <c r="D10" s="60">
        <v>958.61917158762526</v>
      </c>
      <c r="E10" s="60">
        <v>18.790644959608723</v>
      </c>
      <c r="F10" s="60">
        <v>0</v>
      </c>
      <c r="G10" s="60">
        <v>2945.5756916046125</v>
      </c>
      <c r="H10" s="61">
        <v>29.973677410682097</v>
      </c>
      <c r="I10" s="59">
        <v>212.26287482579554</v>
      </c>
      <c r="J10" s="60">
        <v>624.48631731669207</v>
      </c>
      <c r="K10" s="60">
        <v>34.122750179966225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378.79469491848596</v>
      </c>
      <c r="V10" s="62">
        <v>174.98615547078074</v>
      </c>
      <c r="W10" s="62">
        <v>66.791139307046066</v>
      </c>
      <c r="X10" s="62">
        <v>30.854509959196797</v>
      </c>
      <c r="Y10" s="66">
        <v>412.88472381319207</v>
      </c>
      <c r="Z10" s="66">
        <v>190.734219464803</v>
      </c>
      <c r="AA10" s="67">
        <v>0</v>
      </c>
      <c r="AB10" s="68">
        <v>123.52924842304837</v>
      </c>
      <c r="AC10" s="69">
        <v>0</v>
      </c>
      <c r="AD10" s="406">
        <v>16.825137193271111</v>
      </c>
      <c r="AE10" s="406">
        <v>7.4768864368905232</v>
      </c>
      <c r="AF10" s="69">
        <v>23.869063836336121</v>
      </c>
      <c r="AG10" s="68">
        <v>16.060256802389507</v>
      </c>
      <c r="AH10" s="68">
        <v>7.4191181434796896</v>
      </c>
      <c r="AI10" s="68">
        <v>0.68401551742394395</v>
      </c>
      <c r="AJ10" s="69">
        <v>233.70564656257631</v>
      </c>
      <c r="AK10" s="69">
        <v>814.37140315373733</v>
      </c>
      <c r="AL10" s="69">
        <v>2985.5636005401611</v>
      </c>
      <c r="AM10" s="69">
        <v>543.83894348144531</v>
      </c>
      <c r="AN10" s="69">
        <v>4487.19873046875</v>
      </c>
      <c r="AO10" s="69">
        <v>2522.5296155293777</v>
      </c>
      <c r="AP10" s="69">
        <v>532.91830131212862</v>
      </c>
      <c r="AQ10" s="69">
        <v>3221.6821416219077</v>
      </c>
      <c r="AR10" s="69">
        <v>469.0735459009806</v>
      </c>
      <c r="AS10" s="69">
        <v>845.30462392171216</v>
      </c>
    </row>
    <row r="11" spans="1:49" x14ac:dyDescent="0.25">
      <c r="A11" s="11">
        <v>44047</v>
      </c>
      <c r="B11" s="59"/>
      <c r="C11" s="60">
        <v>78.58094048500061</v>
      </c>
      <c r="D11" s="60">
        <v>958.38800245920629</v>
      </c>
      <c r="E11" s="60">
        <v>18.950911520918226</v>
      </c>
      <c r="F11" s="60">
        <v>0</v>
      </c>
      <c r="G11" s="60">
        <v>2944.4783845265733</v>
      </c>
      <c r="H11" s="61">
        <v>30.006762824455983</v>
      </c>
      <c r="I11" s="59">
        <v>215.27221453189861</v>
      </c>
      <c r="J11" s="60">
        <v>632.9632186571763</v>
      </c>
      <c r="K11" s="60">
        <v>34.642966388662614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380.29745638938613</v>
      </c>
      <c r="V11" s="62">
        <v>173.83091976604095</v>
      </c>
      <c r="W11" s="62">
        <v>66.741842569968853</v>
      </c>
      <c r="X11" s="62">
        <v>30.507161396680303</v>
      </c>
      <c r="Y11" s="66">
        <v>414.68307011630583</v>
      </c>
      <c r="Z11" s="66">
        <v>189.54830824825609</v>
      </c>
      <c r="AA11" s="67">
        <v>0</v>
      </c>
      <c r="AB11" s="68">
        <v>124.79689407348853</v>
      </c>
      <c r="AC11" s="69">
        <v>0</v>
      </c>
      <c r="AD11" s="406">
        <v>17.055134931630548</v>
      </c>
      <c r="AE11" s="406">
        <v>7.4746659433078264</v>
      </c>
      <c r="AF11" s="69">
        <v>23.884816986322424</v>
      </c>
      <c r="AG11" s="68">
        <v>16.114877876688833</v>
      </c>
      <c r="AH11" s="68">
        <v>7.3659815393401784</v>
      </c>
      <c r="AI11" s="68">
        <v>0.68629846936897665</v>
      </c>
      <c r="AJ11" s="69">
        <v>227.13397118250529</v>
      </c>
      <c r="AK11" s="69">
        <v>812.42322905858327</v>
      </c>
      <c r="AL11" s="69">
        <v>2992.1890970865888</v>
      </c>
      <c r="AM11" s="69">
        <v>543.83894348144531</v>
      </c>
      <c r="AN11" s="69">
        <v>4487.19873046875</v>
      </c>
      <c r="AO11" s="69">
        <v>2542.4661357879636</v>
      </c>
      <c r="AP11" s="69">
        <v>544.78636018435168</v>
      </c>
      <c r="AQ11" s="69">
        <v>3389.0814155260723</v>
      </c>
      <c r="AR11" s="69">
        <v>464.57644883791602</v>
      </c>
      <c r="AS11" s="69">
        <v>890.8679838498432</v>
      </c>
    </row>
    <row r="12" spans="1:49" x14ac:dyDescent="0.25">
      <c r="A12" s="11">
        <v>44048</v>
      </c>
      <c r="B12" s="59"/>
      <c r="C12" s="60">
        <v>78.542865188916466</v>
      </c>
      <c r="D12" s="60">
        <v>957.48924026489112</v>
      </c>
      <c r="E12" s="60">
        <v>18.647158065438266</v>
      </c>
      <c r="F12" s="60">
        <v>0</v>
      </c>
      <c r="G12" s="60">
        <v>2943.6295421600316</v>
      </c>
      <c r="H12" s="61">
        <v>30.034300688902615</v>
      </c>
      <c r="I12" s="59">
        <v>225.05994564692176</v>
      </c>
      <c r="J12" s="60">
        <v>631.97767089208014</v>
      </c>
      <c r="K12" s="60">
        <v>34.629595167438211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387.38353268591118</v>
      </c>
      <c r="V12" s="62">
        <v>176.10261396545991</v>
      </c>
      <c r="W12" s="62">
        <v>67.764512632559757</v>
      </c>
      <c r="X12" s="62">
        <v>30.805408082136612</v>
      </c>
      <c r="Y12" s="66">
        <v>424.76198913272196</v>
      </c>
      <c r="Z12" s="66">
        <v>193.09467307710645</v>
      </c>
      <c r="AA12" s="67">
        <v>0</v>
      </c>
      <c r="AB12" s="68">
        <v>124.59562792248528</v>
      </c>
      <c r="AC12" s="69">
        <v>0</v>
      </c>
      <c r="AD12" s="406">
        <v>17.032409895955702</v>
      </c>
      <c r="AE12" s="406">
        <v>7.4684235282141413</v>
      </c>
      <c r="AF12" s="69">
        <v>24.229621899127924</v>
      </c>
      <c r="AG12" s="68">
        <v>16.407679252877248</v>
      </c>
      <c r="AH12" s="68">
        <v>7.4588488196819362</v>
      </c>
      <c r="AI12" s="68">
        <v>0.6874765865816137</v>
      </c>
      <c r="AJ12" s="69">
        <v>219.52482768694557</v>
      </c>
      <c r="AK12" s="69">
        <v>808.51252918243404</v>
      </c>
      <c r="AL12" s="69">
        <v>3198.6554870605464</v>
      </c>
      <c r="AM12" s="69">
        <v>543.83894348144531</v>
      </c>
      <c r="AN12" s="69">
        <v>4487.19873046875</v>
      </c>
      <c r="AO12" s="69">
        <v>2524.0604756673179</v>
      </c>
      <c r="AP12" s="69">
        <v>555.61427515347793</v>
      </c>
      <c r="AQ12" s="69">
        <v>3294.4223862965905</v>
      </c>
      <c r="AR12" s="69">
        <v>460.51958614985148</v>
      </c>
      <c r="AS12" s="69">
        <v>875.95829022725411</v>
      </c>
    </row>
    <row r="13" spans="1:49" x14ac:dyDescent="0.25">
      <c r="A13" s="11">
        <v>44049</v>
      </c>
      <c r="B13" s="59"/>
      <c r="C13" s="60">
        <v>79.229570110638562</v>
      </c>
      <c r="D13" s="60">
        <v>957.79831434885568</v>
      </c>
      <c r="E13" s="60">
        <v>18.440651250382285</v>
      </c>
      <c r="F13" s="60">
        <v>0</v>
      </c>
      <c r="G13" s="60">
        <v>2944.5618644714332</v>
      </c>
      <c r="H13" s="61">
        <v>30.003481034437925</v>
      </c>
      <c r="I13" s="59">
        <v>233.51035254796307</v>
      </c>
      <c r="J13" s="60">
        <v>631.77250410715772</v>
      </c>
      <c r="K13" s="60">
        <v>34.590533601244289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387.05213020202558</v>
      </c>
      <c r="V13" s="62">
        <v>175.92121809763418</v>
      </c>
      <c r="W13" s="62">
        <v>67.156220332555264</v>
      </c>
      <c r="X13" s="62">
        <v>30.523547506558597</v>
      </c>
      <c r="Y13" s="66">
        <v>425.08091220841629</v>
      </c>
      <c r="Z13" s="66">
        <v>193.20589148217724</v>
      </c>
      <c r="AA13" s="67">
        <v>0</v>
      </c>
      <c r="AB13" s="68">
        <v>124.60396499104182</v>
      </c>
      <c r="AC13" s="69">
        <v>0</v>
      </c>
      <c r="AD13" s="406">
        <v>17.033960417419628</v>
      </c>
      <c r="AE13" s="406">
        <v>7.4710958853594462</v>
      </c>
      <c r="AF13" s="69">
        <v>24.225677591562278</v>
      </c>
      <c r="AG13" s="68">
        <v>16.410192589416223</v>
      </c>
      <c r="AH13" s="68">
        <v>7.4586879758032225</v>
      </c>
      <c r="AI13" s="68">
        <v>0.68751412721585048</v>
      </c>
      <c r="AJ13" s="69">
        <v>211.32551933924356</v>
      </c>
      <c r="AK13" s="69">
        <v>808.66539004643766</v>
      </c>
      <c r="AL13" s="69">
        <v>3011.7540883382162</v>
      </c>
      <c r="AM13" s="69">
        <v>543.83894348144531</v>
      </c>
      <c r="AN13" s="69">
        <v>4487.19873046875</v>
      </c>
      <c r="AO13" s="69">
        <v>2569.0553763071698</v>
      </c>
      <c r="AP13" s="69">
        <v>533.45143917401629</v>
      </c>
      <c r="AQ13" s="69">
        <v>3319.6471092224115</v>
      </c>
      <c r="AR13" s="69">
        <v>444.270799255371</v>
      </c>
      <c r="AS13" s="69">
        <v>848.58379716873151</v>
      </c>
    </row>
    <row r="14" spans="1:49" x14ac:dyDescent="0.25">
      <c r="A14" s="11">
        <v>44050</v>
      </c>
      <c r="B14" s="59"/>
      <c r="C14" s="60">
        <v>79.424156065781432</v>
      </c>
      <c r="D14" s="60">
        <v>960.04858563740856</v>
      </c>
      <c r="E14" s="60">
        <v>18.563848334550894</v>
      </c>
      <c r="F14" s="60">
        <v>0</v>
      </c>
      <c r="G14" s="60">
        <v>2942.8308105468786</v>
      </c>
      <c r="H14" s="61">
        <v>30.058716875314786</v>
      </c>
      <c r="I14" s="59">
        <v>254.07290058135965</v>
      </c>
      <c r="J14" s="60">
        <v>675.38702783584461</v>
      </c>
      <c r="K14" s="60">
        <v>36.936263404289882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403.77498766701564</v>
      </c>
      <c r="V14" s="62">
        <v>165.89573720176037</v>
      </c>
      <c r="W14" s="62">
        <v>69.991218378259845</v>
      </c>
      <c r="X14" s="62">
        <v>28.756721256063422</v>
      </c>
      <c r="Y14" s="66">
        <v>442.46427616684224</v>
      </c>
      <c r="Z14" s="66">
        <v>181.79168973357847</v>
      </c>
      <c r="AA14" s="67">
        <v>0</v>
      </c>
      <c r="AB14" s="68">
        <v>130.66496502558354</v>
      </c>
      <c r="AC14" s="69">
        <v>0</v>
      </c>
      <c r="AD14" s="406">
        <v>18.208879859679904</v>
      </c>
      <c r="AE14" s="406">
        <v>7.488482813545132</v>
      </c>
      <c r="AF14" s="69">
        <v>24.415468573570262</v>
      </c>
      <c r="AG14" s="68">
        <v>17.075035605999826</v>
      </c>
      <c r="AH14" s="68">
        <v>7.0154806665233398</v>
      </c>
      <c r="AI14" s="68">
        <v>0.70878662013047178</v>
      </c>
      <c r="AJ14" s="69">
        <v>222.9555277188619</v>
      </c>
      <c r="AK14" s="69">
        <v>813.36462688446045</v>
      </c>
      <c r="AL14" s="69">
        <v>2908.4509571075441</v>
      </c>
      <c r="AM14" s="69">
        <v>543.83894348144531</v>
      </c>
      <c r="AN14" s="69">
        <v>4487.19873046875</v>
      </c>
      <c r="AO14" s="69">
        <v>2642.956176884969</v>
      </c>
      <c r="AP14" s="69">
        <v>542.91985640525832</v>
      </c>
      <c r="AQ14" s="69">
        <v>3336.7460933685297</v>
      </c>
      <c r="AR14" s="69">
        <v>464.40742994944247</v>
      </c>
      <c r="AS14" s="69">
        <v>905.78475929896024</v>
      </c>
    </row>
    <row r="15" spans="1:49" x14ac:dyDescent="0.25">
      <c r="A15" s="11">
        <v>44051</v>
      </c>
      <c r="B15" s="59"/>
      <c r="C15" s="60">
        <v>79.161009911695757</v>
      </c>
      <c r="D15" s="60">
        <v>958.65737622578854</v>
      </c>
      <c r="E15" s="60">
        <v>18.874673479795451</v>
      </c>
      <c r="F15" s="60">
        <v>0</v>
      </c>
      <c r="G15" s="60">
        <v>2939.5626279195153</v>
      </c>
      <c r="H15" s="61">
        <v>30.014217968781839</v>
      </c>
      <c r="I15" s="59">
        <v>270.31994501749682</v>
      </c>
      <c r="J15" s="60">
        <v>703.97693414688024</v>
      </c>
      <c r="K15" s="60">
        <v>38.483294560511865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433.86447635948059</v>
      </c>
      <c r="V15" s="62">
        <v>175.83052651425874</v>
      </c>
      <c r="W15" s="62">
        <v>76.487948453537896</v>
      </c>
      <c r="X15" s="62">
        <v>30.99796591191274</v>
      </c>
      <c r="Y15" s="66">
        <v>481.5852371102626</v>
      </c>
      <c r="Z15" s="66">
        <v>195.17012896080416</v>
      </c>
      <c r="AA15" s="67">
        <v>0</v>
      </c>
      <c r="AB15" s="68">
        <v>134.71241581175144</v>
      </c>
      <c r="AC15" s="69">
        <v>0</v>
      </c>
      <c r="AD15" s="406">
        <v>18.972552829461129</v>
      </c>
      <c r="AE15" s="406">
        <v>7.477217540891127</v>
      </c>
      <c r="AF15" s="69">
        <v>26.126595833566455</v>
      </c>
      <c r="AG15" s="68">
        <v>18.373956132766804</v>
      </c>
      <c r="AH15" s="68">
        <v>7.4463399448667129</v>
      </c>
      <c r="AI15" s="68">
        <v>0.7116090411017012</v>
      </c>
      <c r="AJ15" s="69">
        <v>227.24622526168824</v>
      </c>
      <c r="AK15" s="69">
        <v>817.30629336039215</v>
      </c>
      <c r="AL15" s="69">
        <v>3012.1299868265792</v>
      </c>
      <c r="AM15" s="69">
        <v>543.83894348144531</v>
      </c>
      <c r="AN15" s="69">
        <v>4487.19873046875</v>
      </c>
      <c r="AO15" s="69">
        <v>2627.3115207672122</v>
      </c>
      <c r="AP15" s="69">
        <v>553.98315631548564</v>
      </c>
      <c r="AQ15" s="69">
        <v>3557.740073776245</v>
      </c>
      <c r="AR15" s="69">
        <v>473.75258668263757</v>
      </c>
      <c r="AS15" s="69">
        <v>837.76979347864767</v>
      </c>
    </row>
    <row r="16" spans="1:49" x14ac:dyDescent="0.25">
      <c r="A16" s="11">
        <v>44052</v>
      </c>
      <c r="B16" s="59"/>
      <c r="C16" s="60">
        <v>78.492599411805728</v>
      </c>
      <c r="D16" s="60">
        <v>961.33521957397375</v>
      </c>
      <c r="E16" s="60">
        <v>18.864309252301855</v>
      </c>
      <c r="F16" s="60">
        <v>0</v>
      </c>
      <c r="G16" s="60">
        <v>2943.0760710398299</v>
      </c>
      <c r="H16" s="61">
        <v>30.000733778874096</v>
      </c>
      <c r="I16" s="59">
        <v>275.05588094393426</v>
      </c>
      <c r="J16" s="60">
        <v>703.94153620401914</v>
      </c>
      <c r="K16" s="60">
        <v>38.652693005402867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429.23257041411466</v>
      </c>
      <c r="V16" s="62">
        <v>174.81349707805256</v>
      </c>
      <c r="W16" s="62">
        <v>74.895150684535921</v>
      </c>
      <c r="X16" s="62">
        <v>30.502538967907018</v>
      </c>
      <c r="Y16" s="66">
        <v>478.07087056661743</v>
      </c>
      <c r="Z16" s="66">
        <v>194.70386567885492</v>
      </c>
      <c r="AA16" s="67">
        <v>0</v>
      </c>
      <c r="AB16" s="68">
        <v>134.63877082400845</v>
      </c>
      <c r="AC16" s="69">
        <v>0</v>
      </c>
      <c r="AD16" s="406">
        <v>18.970569557203895</v>
      </c>
      <c r="AE16" s="406">
        <v>7.4651102295376406</v>
      </c>
      <c r="AF16" s="69">
        <v>26.049588394165006</v>
      </c>
      <c r="AG16" s="68">
        <v>18.297364362188588</v>
      </c>
      <c r="AH16" s="68">
        <v>7.4519653724775576</v>
      </c>
      <c r="AI16" s="68">
        <v>0.71059575339372705</v>
      </c>
      <c r="AJ16" s="69">
        <v>214.33781433105469</v>
      </c>
      <c r="AK16" s="69">
        <v>826.52171484629309</v>
      </c>
      <c r="AL16" s="69">
        <v>2992.2165392557781</v>
      </c>
      <c r="AM16" s="69">
        <v>543.83894348144531</v>
      </c>
      <c r="AN16" s="69">
        <v>4487.19873046875</v>
      </c>
      <c r="AO16" s="69">
        <v>2558.416963577271</v>
      </c>
      <c r="AP16" s="69">
        <v>554.95684970219929</v>
      </c>
      <c r="AQ16" s="69">
        <v>3609.270771789551</v>
      </c>
      <c r="AR16" s="69">
        <v>475.84004739125572</v>
      </c>
      <c r="AS16" s="69">
        <v>874.32910003662107</v>
      </c>
    </row>
    <row r="17" spans="1:45" s="378" customFormat="1" ht="15" customHeight="1" x14ac:dyDescent="0.25">
      <c r="A17" s="11">
        <v>44053</v>
      </c>
      <c r="B17" s="372"/>
      <c r="C17" s="373">
        <v>79.122767674922557</v>
      </c>
      <c r="D17" s="373">
        <v>963.84438292185462</v>
      </c>
      <c r="E17" s="373">
        <v>18.804908016820768</v>
      </c>
      <c r="F17" s="373">
        <v>0</v>
      </c>
      <c r="G17" s="373">
        <v>2944.4006778717071</v>
      </c>
      <c r="H17" s="374">
        <v>30.000662757953066</v>
      </c>
      <c r="I17" s="372">
        <v>297.599798901876</v>
      </c>
      <c r="J17" s="373">
        <v>759.79987475077291</v>
      </c>
      <c r="K17" s="373">
        <v>41.707661710182833</v>
      </c>
      <c r="L17" s="375">
        <v>0</v>
      </c>
      <c r="M17" s="60">
        <v>0</v>
      </c>
      <c r="N17" s="374">
        <v>0</v>
      </c>
      <c r="O17" s="372">
        <v>0</v>
      </c>
      <c r="P17" s="373">
        <v>0</v>
      </c>
      <c r="Q17" s="373">
        <v>0</v>
      </c>
      <c r="R17" s="373">
        <v>0</v>
      </c>
      <c r="S17" s="373">
        <v>0</v>
      </c>
      <c r="T17" s="374">
        <v>0</v>
      </c>
      <c r="U17" s="372">
        <v>470.41133778867015</v>
      </c>
      <c r="V17" s="373">
        <v>176.31733182294295</v>
      </c>
      <c r="W17" s="373">
        <v>83.890345716465959</v>
      </c>
      <c r="X17" s="373">
        <v>31.443378877650375</v>
      </c>
      <c r="Y17" s="373">
        <v>522.32304249022604</v>
      </c>
      <c r="Z17" s="373">
        <v>195.77462914571868</v>
      </c>
      <c r="AA17" s="374">
        <v>0</v>
      </c>
      <c r="AB17" s="376">
        <v>142.04359467824304</v>
      </c>
      <c r="AC17" s="377">
        <v>0</v>
      </c>
      <c r="AD17" s="406">
        <v>20.482565124731366</v>
      </c>
      <c r="AE17" s="406">
        <v>7.479164196262607</v>
      </c>
      <c r="AF17" s="377">
        <v>27.691026943922047</v>
      </c>
      <c r="AG17" s="377">
        <v>19.908518844529041</v>
      </c>
      <c r="AH17" s="377">
        <v>7.4620159873593126</v>
      </c>
      <c r="AI17" s="377">
        <v>0.7273704721814348</v>
      </c>
      <c r="AJ17" s="377">
        <v>217.90824616750081</v>
      </c>
      <c r="AK17" s="377">
        <v>815.6447175661724</v>
      </c>
      <c r="AL17" s="377">
        <v>2922.8666041056313</v>
      </c>
      <c r="AM17" s="377">
        <v>543.83894348144531</v>
      </c>
      <c r="AN17" s="377">
        <v>4487.19873046875</v>
      </c>
      <c r="AO17" s="377">
        <v>2544.4474519093833</v>
      </c>
      <c r="AP17" s="377">
        <v>544.23075132370002</v>
      </c>
      <c r="AQ17" s="377">
        <v>3841.6490798950194</v>
      </c>
      <c r="AR17" s="377">
        <v>465.88924665451054</v>
      </c>
      <c r="AS17" s="377">
        <v>910.37342058817535</v>
      </c>
    </row>
    <row r="18" spans="1:45" x14ac:dyDescent="0.25">
      <c r="A18" s="11">
        <v>44054</v>
      </c>
      <c r="B18" s="59"/>
      <c r="C18" s="60">
        <v>79.181374601522919</v>
      </c>
      <c r="D18" s="60">
        <v>963.24122257232432</v>
      </c>
      <c r="E18" s="60">
        <v>18.755619555215027</v>
      </c>
      <c r="F18" s="60">
        <v>0</v>
      </c>
      <c r="G18" s="60">
        <v>2944.6157840728711</v>
      </c>
      <c r="H18" s="61">
        <v>29.757264577349083</v>
      </c>
      <c r="I18" s="59">
        <v>325.21006609598828</v>
      </c>
      <c r="J18" s="60">
        <v>815.715528933207</v>
      </c>
      <c r="K18" s="60">
        <v>44.732583164175381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503.94033728507668</v>
      </c>
      <c r="V18" s="62">
        <v>175.80737641849908</v>
      </c>
      <c r="W18" s="62">
        <v>90.650306402095737</v>
      </c>
      <c r="X18" s="62">
        <v>31.624760633261314</v>
      </c>
      <c r="Y18" s="66">
        <v>570.19921447365289</v>
      </c>
      <c r="Z18" s="66">
        <v>198.92280993532319</v>
      </c>
      <c r="AA18" s="67">
        <v>0</v>
      </c>
      <c r="AB18" s="68">
        <v>149.46833663516446</v>
      </c>
      <c r="AC18" s="69">
        <v>0</v>
      </c>
      <c r="AD18" s="406">
        <v>21.982544059520194</v>
      </c>
      <c r="AE18" s="406">
        <v>7.4751675760991425</v>
      </c>
      <c r="AF18" s="69">
        <v>29.066804226239526</v>
      </c>
      <c r="AG18" s="68">
        <v>21.304078312884702</v>
      </c>
      <c r="AH18" s="68">
        <v>7.4322570314186596</v>
      </c>
      <c r="AI18" s="68">
        <v>0.74136378413011461</v>
      </c>
      <c r="AJ18" s="69">
        <v>220.62740181287128</v>
      </c>
      <c r="AK18" s="69">
        <v>816.67620693842571</v>
      </c>
      <c r="AL18" s="69">
        <v>3019.0575002034502</v>
      </c>
      <c r="AM18" s="69">
        <v>543.83894348144531</v>
      </c>
      <c r="AN18" s="69">
        <v>4487.19873046875</v>
      </c>
      <c r="AO18" s="69">
        <v>2554.9376246134439</v>
      </c>
      <c r="AP18" s="69">
        <v>544.7263181686402</v>
      </c>
      <c r="AQ18" s="69">
        <v>4063.4593105316162</v>
      </c>
      <c r="AR18" s="69">
        <v>469.87248926162727</v>
      </c>
      <c r="AS18" s="69">
        <v>976.76021951039638</v>
      </c>
    </row>
    <row r="19" spans="1:45" x14ac:dyDescent="0.25">
      <c r="A19" s="11">
        <v>44055</v>
      </c>
      <c r="B19" s="59"/>
      <c r="C19" s="60">
        <v>79.537022006512046</v>
      </c>
      <c r="D19" s="60">
        <v>962.86112988789625</v>
      </c>
      <c r="E19" s="60">
        <v>18.622289996842557</v>
      </c>
      <c r="F19" s="60">
        <v>0</v>
      </c>
      <c r="G19" s="60">
        <v>2934.6231118520136</v>
      </c>
      <c r="H19" s="61">
        <v>29.951150858402279</v>
      </c>
      <c r="I19" s="59">
        <v>325.21764095624343</v>
      </c>
      <c r="J19" s="60">
        <v>815.27116654713882</v>
      </c>
      <c r="K19" s="60">
        <v>44.697350805004518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485.18134572247305</v>
      </c>
      <c r="V19" s="62">
        <v>169.60019868738374</v>
      </c>
      <c r="W19" s="62">
        <v>86.409017254242983</v>
      </c>
      <c r="X19" s="62">
        <v>30.205173022220706</v>
      </c>
      <c r="Y19" s="66">
        <v>582.10578942095856</v>
      </c>
      <c r="Z19" s="66">
        <v>203.48114867413398</v>
      </c>
      <c r="AA19" s="67">
        <v>0</v>
      </c>
      <c r="AB19" s="68">
        <v>149.41274940702709</v>
      </c>
      <c r="AC19" s="69">
        <v>0</v>
      </c>
      <c r="AD19" s="406">
        <v>21.973743480771326</v>
      </c>
      <c r="AE19" s="406">
        <v>7.4720567673438625</v>
      </c>
      <c r="AF19" s="69">
        <v>28.762749177879734</v>
      </c>
      <c r="AG19" s="68">
        <v>21.05602705950005</v>
      </c>
      <c r="AH19" s="68">
        <v>7.3603538230442052</v>
      </c>
      <c r="AI19" s="68">
        <v>0.74098201127485741</v>
      </c>
      <c r="AJ19" s="69">
        <v>228.3569901148478</v>
      </c>
      <c r="AK19" s="69">
        <v>816.3510958353678</v>
      </c>
      <c r="AL19" s="69">
        <v>2962.424734242757</v>
      </c>
      <c r="AM19" s="69">
        <v>543.83894348144531</v>
      </c>
      <c r="AN19" s="69">
        <v>4487.19873046875</v>
      </c>
      <c r="AO19" s="69">
        <v>2567.9917289733885</v>
      </c>
      <c r="AP19" s="69">
        <v>543.3242301940918</v>
      </c>
      <c r="AQ19" s="69">
        <v>4047.5096715291347</v>
      </c>
      <c r="AR19" s="69">
        <v>468.91452331542968</v>
      </c>
      <c r="AS19" s="69">
        <v>969.57990748087559</v>
      </c>
    </row>
    <row r="20" spans="1:45" x14ac:dyDescent="0.25">
      <c r="A20" s="11">
        <v>44056</v>
      </c>
      <c r="B20" s="59"/>
      <c r="C20" s="60">
        <v>80.03484224081032</v>
      </c>
      <c r="D20" s="60">
        <v>964.76082668304502</v>
      </c>
      <c r="E20" s="60">
        <v>18.948587521413984</v>
      </c>
      <c r="F20" s="60">
        <v>0</v>
      </c>
      <c r="G20" s="60">
        <v>2881.4486789703419</v>
      </c>
      <c r="H20" s="61">
        <v>30.000181368986844</v>
      </c>
      <c r="I20" s="59">
        <v>327.65231986045876</v>
      </c>
      <c r="J20" s="60">
        <v>815.98686993916738</v>
      </c>
      <c r="K20" s="60">
        <v>44.715714207291654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496.30886464959866</v>
      </c>
      <c r="V20" s="62">
        <v>173.12023076700396</v>
      </c>
      <c r="W20" s="62">
        <v>87.921351724406065</v>
      </c>
      <c r="X20" s="62">
        <v>30.668331323524363</v>
      </c>
      <c r="Y20" s="66">
        <v>601.31880286215255</v>
      </c>
      <c r="Z20" s="66">
        <v>209.74932613692255</v>
      </c>
      <c r="AA20" s="67">
        <v>0</v>
      </c>
      <c r="AB20" s="68">
        <v>149.57147893905693</v>
      </c>
      <c r="AC20" s="69">
        <v>0</v>
      </c>
      <c r="AD20" s="406">
        <v>21.991165719515983</v>
      </c>
      <c r="AE20" s="406">
        <v>7.486685145983623</v>
      </c>
      <c r="AF20" s="69">
        <v>29.172091690699194</v>
      </c>
      <c r="AG20" s="68">
        <v>21.373139834463529</v>
      </c>
      <c r="AH20" s="68">
        <v>7.4552827158751471</v>
      </c>
      <c r="AI20" s="68">
        <v>0.74139123627534165</v>
      </c>
      <c r="AJ20" s="69">
        <v>226.15556640625002</v>
      </c>
      <c r="AK20" s="69">
        <v>815.34076770146703</v>
      </c>
      <c r="AL20" s="69">
        <v>3051.7086303710939</v>
      </c>
      <c r="AM20" s="69">
        <v>543.83894348144531</v>
      </c>
      <c r="AN20" s="69">
        <v>4487.19873046875</v>
      </c>
      <c r="AO20" s="69">
        <v>2513.4098341623935</v>
      </c>
      <c r="AP20" s="69">
        <v>558.91730763117471</v>
      </c>
      <c r="AQ20" s="69">
        <v>4054.7571517944339</v>
      </c>
      <c r="AR20" s="69">
        <v>471.19492254257199</v>
      </c>
      <c r="AS20" s="69">
        <v>916.07291650772083</v>
      </c>
    </row>
    <row r="21" spans="1:45" x14ac:dyDescent="0.25">
      <c r="A21" s="11">
        <v>44057</v>
      </c>
      <c r="B21" s="59"/>
      <c r="C21" s="60">
        <v>79.708343958854826</v>
      </c>
      <c r="D21" s="60">
        <v>962.96375745137505</v>
      </c>
      <c r="E21" s="60">
        <v>18.817070061961825</v>
      </c>
      <c r="F21" s="60">
        <v>0</v>
      </c>
      <c r="G21" s="60">
        <v>2798.4663130442314</v>
      </c>
      <c r="H21" s="61">
        <v>29.995508527755781</v>
      </c>
      <c r="I21" s="59">
        <v>327.73664712905924</v>
      </c>
      <c r="J21" s="60">
        <v>815.71039079030288</v>
      </c>
      <c r="K21" s="60">
        <v>44.697953579823285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498.98002584072549</v>
      </c>
      <c r="V21" s="62">
        <v>173.74626753238488</v>
      </c>
      <c r="W21" s="62">
        <v>87.905108296750811</v>
      </c>
      <c r="X21" s="62">
        <v>30.608809316278592</v>
      </c>
      <c r="Y21" s="66">
        <v>593.82025220547962</v>
      </c>
      <c r="Z21" s="66">
        <v>206.76990473116589</v>
      </c>
      <c r="AA21" s="67">
        <v>0</v>
      </c>
      <c r="AB21" s="68">
        <v>149.17887549930202</v>
      </c>
      <c r="AC21" s="69">
        <v>0</v>
      </c>
      <c r="AD21" s="406">
        <v>21.98071563516541</v>
      </c>
      <c r="AE21" s="406">
        <v>7.4727140768680647</v>
      </c>
      <c r="AF21" s="69">
        <v>29.328689618905411</v>
      </c>
      <c r="AG21" s="68">
        <v>21.498543969259039</v>
      </c>
      <c r="AH21" s="68">
        <v>7.4858542999713702</v>
      </c>
      <c r="AI21" s="68">
        <v>0.74172814524432307</v>
      </c>
      <c r="AJ21" s="69">
        <v>229.42612347602844</v>
      </c>
      <c r="AK21" s="69">
        <v>825.13050149281821</v>
      </c>
      <c r="AL21" s="69">
        <v>3040.5700084686277</v>
      </c>
      <c r="AM21" s="69">
        <v>543.83894348144531</v>
      </c>
      <c r="AN21" s="69">
        <v>4487.19873046875</v>
      </c>
      <c r="AO21" s="69">
        <v>2578.9318419138581</v>
      </c>
      <c r="AP21" s="69">
        <v>554.80936713218694</v>
      </c>
      <c r="AQ21" s="69">
        <v>4115.9359413146976</v>
      </c>
      <c r="AR21" s="69">
        <v>480.15764579772946</v>
      </c>
      <c r="AS21" s="69">
        <v>978.82000382741273</v>
      </c>
    </row>
    <row r="22" spans="1:45" x14ac:dyDescent="0.25">
      <c r="A22" s="11">
        <v>44058</v>
      </c>
      <c r="B22" s="59"/>
      <c r="C22" s="60">
        <v>79.28183276653327</v>
      </c>
      <c r="D22" s="60">
        <v>964.80846729278471</v>
      </c>
      <c r="E22" s="60">
        <v>18.640814042588065</v>
      </c>
      <c r="F22" s="60">
        <v>0</v>
      </c>
      <c r="G22" s="60">
        <v>2799.3986007690464</v>
      </c>
      <c r="H22" s="61">
        <v>29.949438544114496</v>
      </c>
      <c r="I22" s="59">
        <v>327.33384890556346</v>
      </c>
      <c r="J22" s="60">
        <v>815.38960762023873</v>
      </c>
      <c r="K22" s="60">
        <v>44.720920499165956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483.82128445011546</v>
      </c>
      <c r="V22" s="62">
        <v>169.61086812845193</v>
      </c>
      <c r="W22" s="62">
        <v>87.762091694238833</v>
      </c>
      <c r="X22" s="62">
        <v>30.7663284759094</v>
      </c>
      <c r="Y22" s="66">
        <v>572.8453459049814</v>
      </c>
      <c r="Z22" s="66">
        <v>200.81959918880963</v>
      </c>
      <c r="AA22" s="67">
        <v>0</v>
      </c>
      <c r="AB22" s="68">
        <v>149.52575890223184</v>
      </c>
      <c r="AC22" s="69">
        <v>0</v>
      </c>
      <c r="AD22" s="406">
        <v>21.973751761128071</v>
      </c>
      <c r="AE22" s="406">
        <v>7.4872510404491512</v>
      </c>
      <c r="AF22" s="69">
        <v>28.427579930093572</v>
      </c>
      <c r="AG22" s="68">
        <v>20.796639818550098</v>
      </c>
      <c r="AH22" s="68">
        <v>7.2905765974888626</v>
      </c>
      <c r="AI22" s="68">
        <v>0.7404307892424099</v>
      </c>
      <c r="AJ22" s="69">
        <v>224.35458296140033</v>
      </c>
      <c r="AK22" s="69">
        <v>813.41090590159104</v>
      </c>
      <c r="AL22" s="69">
        <v>2995.6126429239912</v>
      </c>
      <c r="AM22" s="69">
        <v>543.83894348144531</v>
      </c>
      <c r="AN22" s="69">
        <v>4487.19873046875</v>
      </c>
      <c r="AO22" s="69">
        <v>2525.6376354217537</v>
      </c>
      <c r="AP22" s="69">
        <v>542.69867000579836</v>
      </c>
      <c r="AQ22" s="69">
        <v>4105.7458152770996</v>
      </c>
      <c r="AR22" s="69">
        <v>455.4319496154784</v>
      </c>
      <c r="AS22" s="69">
        <v>859.61914154688509</v>
      </c>
    </row>
    <row r="23" spans="1:45" x14ac:dyDescent="0.25">
      <c r="A23" s="11">
        <v>44059</v>
      </c>
      <c r="B23" s="59"/>
      <c r="C23" s="60">
        <v>79.023426306247586</v>
      </c>
      <c r="D23" s="60">
        <v>971.85038763682064</v>
      </c>
      <c r="E23" s="60">
        <v>18.640387719869658</v>
      </c>
      <c r="F23" s="60">
        <v>0</v>
      </c>
      <c r="G23" s="60">
        <v>2799.7658841451084</v>
      </c>
      <c r="H23" s="61">
        <v>30.06877715388941</v>
      </c>
      <c r="I23" s="59">
        <v>327.2975940704348</v>
      </c>
      <c r="J23" s="60">
        <v>814.4483203252156</v>
      </c>
      <c r="K23" s="60">
        <v>44.693270024657281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493.53733973262155</v>
      </c>
      <c r="V23" s="62">
        <v>167.9992853665631</v>
      </c>
      <c r="W23" s="62">
        <v>88.977147201323888</v>
      </c>
      <c r="X23" s="62">
        <v>30.287672158455475</v>
      </c>
      <c r="Y23" s="66">
        <v>601.96142068721326</v>
      </c>
      <c r="Z23" s="66">
        <v>204.9066612639289</v>
      </c>
      <c r="AA23" s="67">
        <v>0</v>
      </c>
      <c r="AB23" s="68">
        <v>149.38462893167991</v>
      </c>
      <c r="AC23" s="69">
        <v>0</v>
      </c>
      <c r="AD23" s="406">
        <v>21.9506254976991</v>
      </c>
      <c r="AE23" s="406">
        <v>7.4824183890336888</v>
      </c>
      <c r="AF23" s="69">
        <v>28.750882852077467</v>
      </c>
      <c r="AG23" s="68">
        <v>21.231916706230482</v>
      </c>
      <c r="AH23" s="68">
        <v>7.2273089520268936</v>
      </c>
      <c r="AI23" s="68">
        <v>0.74604688691064558</v>
      </c>
      <c r="AJ23" s="69">
        <v>227.74606051445008</v>
      </c>
      <c r="AK23" s="69">
        <v>828.80900700887048</v>
      </c>
      <c r="AL23" s="69">
        <v>2907.1028163909914</v>
      </c>
      <c r="AM23" s="69">
        <v>543.83894348144531</v>
      </c>
      <c r="AN23" s="69">
        <v>4487.19873046875</v>
      </c>
      <c r="AO23" s="69">
        <v>2500.8386175791429</v>
      </c>
      <c r="AP23" s="69">
        <v>551.1648347059886</v>
      </c>
      <c r="AQ23" s="69">
        <v>3826.4734170277911</v>
      </c>
      <c r="AR23" s="69">
        <v>460.42400652567545</v>
      </c>
      <c r="AS23" s="69">
        <v>850.263244342804</v>
      </c>
    </row>
    <row r="24" spans="1:45" x14ac:dyDescent="0.25">
      <c r="A24" s="11">
        <v>44060</v>
      </c>
      <c r="B24" s="59"/>
      <c r="C24" s="60">
        <v>79.448806099096103</v>
      </c>
      <c r="D24" s="60">
        <v>995.60650952656897</v>
      </c>
      <c r="E24" s="60">
        <v>18.927322291831207</v>
      </c>
      <c r="F24" s="60">
        <v>0</v>
      </c>
      <c r="G24" s="60">
        <v>2821.6428254445414</v>
      </c>
      <c r="H24" s="61">
        <v>30.051672641436323</v>
      </c>
      <c r="I24" s="59">
        <v>334.76493199666345</v>
      </c>
      <c r="J24" s="60">
        <v>854.36539923350006</v>
      </c>
      <c r="K24" s="60">
        <v>46.866870780785888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521.55938139911461</v>
      </c>
      <c r="V24" s="62">
        <v>174.16448222376133</v>
      </c>
      <c r="W24" s="62">
        <v>93.757804917579151</v>
      </c>
      <c r="X24" s="62">
        <v>31.308572197670603</v>
      </c>
      <c r="Y24" s="66">
        <v>637.74751532472555</v>
      </c>
      <c r="Z24" s="66">
        <v>212.96322098178192</v>
      </c>
      <c r="AA24" s="67">
        <v>0</v>
      </c>
      <c r="AB24" s="68">
        <v>154.79270384046782</v>
      </c>
      <c r="AC24" s="69">
        <v>0</v>
      </c>
      <c r="AD24" s="406">
        <v>23.028912334719443</v>
      </c>
      <c r="AE24" s="406">
        <v>7.4861478562663164</v>
      </c>
      <c r="AF24" s="69">
        <v>30.270314441124601</v>
      </c>
      <c r="AG24" s="68">
        <v>22.459445235331653</v>
      </c>
      <c r="AH24" s="68">
        <v>7.4998893509522491</v>
      </c>
      <c r="AI24" s="68">
        <v>0.74966435488237193</v>
      </c>
      <c r="AJ24" s="69">
        <v>219.80952571233112</v>
      </c>
      <c r="AK24" s="69">
        <v>829.47996317545574</v>
      </c>
      <c r="AL24" s="69">
        <v>2939.5679086049399</v>
      </c>
      <c r="AM24" s="69">
        <v>543.83894348144531</v>
      </c>
      <c r="AN24" s="69">
        <v>4487.19873046875</v>
      </c>
      <c r="AO24" s="69">
        <v>2560.9961242675781</v>
      </c>
      <c r="AP24" s="69">
        <v>567.175560760498</v>
      </c>
      <c r="AQ24" s="69">
        <v>3904.2185380299884</v>
      </c>
      <c r="AR24" s="69">
        <v>470.92331778208404</v>
      </c>
      <c r="AS24" s="69">
        <v>983.54670524597168</v>
      </c>
    </row>
    <row r="25" spans="1:45" x14ac:dyDescent="0.25">
      <c r="A25" s="11">
        <v>44061</v>
      </c>
      <c r="B25" s="59"/>
      <c r="C25" s="60">
        <v>79.730390588443115</v>
      </c>
      <c r="D25" s="60">
        <v>990.38024482726928</v>
      </c>
      <c r="E25" s="60">
        <v>19.107150874038588</v>
      </c>
      <c r="F25" s="60">
        <v>0</v>
      </c>
      <c r="G25" s="60">
        <v>2871.7108870188408</v>
      </c>
      <c r="H25" s="61">
        <v>30.073503651221703</v>
      </c>
      <c r="I25" s="59">
        <v>367.61782000859557</v>
      </c>
      <c r="J25" s="60">
        <v>1000.8771527608236</v>
      </c>
      <c r="K25" s="60">
        <v>55.004976644118528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591.55750855381064</v>
      </c>
      <c r="V25" s="62">
        <v>167.4491936573549</v>
      </c>
      <c r="W25" s="62">
        <v>107.83171250163021</v>
      </c>
      <c r="X25" s="62">
        <v>30.523377774769994</v>
      </c>
      <c r="Y25" s="66">
        <v>758.88942565374111</v>
      </c>
      <c r="Z25" s="66">
        <v>214.81499357767478</v>
      </c>
      <c r="AA25" s="67">
        <v>0</v>
      </c>
      <c r="AB25" s="68">
        <v>174.77224381764734</v>
      </c>
      <c r="AC25" s="69">
        <v>0</v>
      </c>
      <c r="AD25" s="406">
        <v>26.980496444665174</v>
      </c>
      <c r="AE25" s="406">
        <v>7.4953071106234255</v>
      </c>
      <c r="AF25" s="69">
        <v>33.954816430144803</v>
      </c>
      <c r="AG25" s="68">
        <v>26.197370965964453</v>
      </c>
      <c r="AH25" s="68">
        <v>7.4155573731413673</v>
      </c>
      <c r="AI25" s="68">
        <v>0.77938377464976805</v>
      </c>
      <c r="AJ25" s="69">
        <v>222.30375761985781</v>
      </c>
      <c r="AK25" s="69">
        <v>828.32421528498332</v>
      </c>
      <c r="AL25" s="69">
        <v>3008.586273956299</v>
      </c>
      <c r="AM25" s="69">
        <v>543.83894348144531</v>
      </c>
      <c r="AN25" s="69">
        <v>4487.19873046875</v>
      </c>
      <c r="AO25" s="69">
        <v>2594.1456715901695</v>
      </c>
      <c r="AP25" s="69">
        <v>564.22977093060808</v>
      </c>
      <c r="AQ25" s="69">
        <v>4554.5333188374834</v>
      </c>
      <c r="AR25" s="69">
        <v>484.12896213531496</v>
      </c>
      <c r="AS25" s="69">
        <v>958.75553760528567</v>
      </c>
    </row>
    <row r="26" spans="1:45" x14ac:dyDescent="0.25">
      <c r="A26" s="11">
        <v>44062</v>
      </c>
      <c r="B26" s="59"/>
      <c r="C26" s="60">
        <v>79.32391911347635</v>
      </c>
      <c r="D26" s="60">
        <v>991.53351007699848</v>
      </c>
      <c r="E26" s="60">
        <v>19.137647820512484</v>
      </c>
      <c r="F26" s="60">
        <v>0</v>
      </c>
      <c r="G26" s="60">
        <v>2871.5465284983402</v>
      </c>
      <c r="H26" s="61">
        <v>30.118305838108128</v>
      </c>
      <c r="I26" s="59">
        <v>347.46877171198537</v>
      </c>
      <c r="J26" s="60">
        <v>968.87301165262852</v>
      </c>
      <c r="K26" s="60">
        <v>53.216218491395388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533.70909170840446</v>
      </c>
      <c r="V26" s="62">
        <v>146.7528019878512</v>
      </c>
      <c r="W26" s="62">
        <v>93.213239187617148</v>
      </c>
      <c r="X26" s="62">
        <v>25.630637074888678</v>
      </c>
      <c r="Y26" s="66">
        <v>688.49984843331924</v>
      </c>
      <c r="Z26" s="66">
        <v>189.31527211270361</v>
      </c>
      <c r="AA26" s="67">
        <v>0</v>
      </c>
      <c r="AB26" s="68">
        <v>152.22978611191047</v>
      </c>
      <c r="AC26" s="69">
        <v>0</v>
      </c>
      <c r="AD26" s="406">
        <v>26.111229721645678</v>
      </c>
      <c r="AE26" s="406">
        <v>7.4850197714090401</v>
      </c>
      <c r="AF26" s="69">
        <v>29.375009930464941</v>
      </c>
      <c r="AG26" s="68">
        <v>22.727598289939269</v>
      </c>
      <c r="AH26" s="68">
        <v>6.2493571560238061</v>
      </c>
      <c r="AI26" s="68">
        <v>0.78433354850968529</v>
      </c>
      <c r="AJ26" s="69">
        <v>229.19489192962646</v>
      </c>
      <c r="AK26" s="69">
        <v>824.87702560424782</v>
      </c>
      <c r="AL26" s="69">
        <v>3021.1942521413166</v>
      </c>
      <c r="AM26" s="69">
        <v>658.25310916900639</v>
      </c>
      <c r="AN26" s="69">
        <v>6103.7453979492184</v>
      </c>
      <c r="AO26" s="69">
        <v>2414.0237998962398</v>
      </c>
      <c r="AP26" s="69">
        <v>585.01219965616872</v>
      </c>
      <c r="AQ26" s="69">
        <v>3968.9522893587746</v>
      </c>
      <c r="AR26" s="69">
        <v>483.91109631856284</v>
      </c>
      <c r="AS26" s="69">
        <v>912.85328543980904</v>
      </c>
    </row>
    <row r="27" spans="1:45" x14ac:dyDescent="0.25">
      <c r="A27" s="11">
        <v>44063</v>
      </c>
      <c r="B27" s="59"/>
      <c r="C27" s="60">
        <v>78.200206955273742</v>
      </c>
      <c r="D27" s="60">
        <v>999.21563180287694</v>
      </c>
      <c r="E27" s="60">
        <v>18.57240401953462</v>
      </c>
      <c r="F27" s="60">
        <v>0</v>
      </c>
      <c r="G27" s="60">
        <v>2894.2183579762741</v>
      </c>
      <c r="H27" s="61">
        <v>30.0993469516437</v>
      </c>
      <c r="I27" s="59">
        <v>293.4713563601178</v>
      </c>
      <c r="J27" s="60">
        <v>884.97679278055818</v>
      </c>
      <c r="K27" s="60">
        <v>48.482972005009685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541.70407689344097</v>
      </c>
      <c r="V27" s="62">
        <v>174.71009699571943</v>
      </c>
      <c r="W27" s="62">
        <v>94.755366852516801</v>
      </c>
      <c r="X27" s="62">
        <v>30.560448111459721</v>
      </c>
      <c r="Y27" s="62">
        <v>671.66404626186522</v>
      </c>
      <c r="Z27" s="62">
        <v>216.62471389158694</v>
      </c>
      <c r="AA27" s="72">
        <v>0</v>
      </c>
      <c r="AB27" s="69">
        <v>158.78122664557566</v>
      </c>
      <c r="AC27" s="69">
        <v>0</v>
      </c>
      <c r="AD27" s="406">
        <v>23.849252845885168</v>
      </c>
      <c r="AE27" s="406">
        <v>7.4878370208891658</v>
      </c>
      <c r="AF27" s="69">
        <v>30.708940091398016</v>
      </c>
      <c r="AG27" s="69">
        <v>22.867855471876389</v>
      </c>
      <c r="AH27" s="69">
        <v>7.375328002859991</v>
      </c>
      <c r="AI27" s="69">
        <v>0.75613255102522636</v>
      </c>
      <c r="AJ27" s="69">
        <v>224.64775694211323</v>
      </c>
      <c r="AK27" s="69">
        <v>825.32614873250316</v>
      </c>
      <c r="AL27" s="69">
        <v>3065.3549315134683</v>
      </c>
      <c r="AM27" s="69">
        <v>757.03939819335938</v>
      </c>
      <c r="AN27" s="69">
        <v>7464.9228515625</v>
      </c>
      <c r="AO27" s="69">
        <v>2549.9337187449141</v>
      </c>
      <c r="AP27" s="69">
        <v>537.35116941134129</v>
      </c>
      <c r="AQ27" s="69">
        <v>4043.7587548573811</v>
      </c>
      <c r="AR27" s="69">
        <v>482.18816610972084</v>
      </c>
      <c r="AS27" s="69">
        <v>877.03023789723704</v>
      </c>
    </row>
    <row r="28" spans="1:45" x14ac:dyDescent="0.25">
      <c r="A28" s="11">
        <v>44064</v>
      </c>
      <c r="B28" s="59"/>
      <c r="C28" s="60">
        <v>78.894772712389752</v>
      </c>
      <c r="D28" s="60">
        <v>999.33428033192877</v>
      </c>
      <c r="E28" s="60">
        <v>18.485275659958546</v>
      </c>
      <c r="F28" s="60">
        <v>0</v>
      </c>
      <c r="G28" s="60">
        <v>2920.4280422210704</v>
      </c>
      <c r="H28" s="61">
        <v>30.114329014221884</v>
      </c>
      <c r="I28" s="59">
        <v>294.75414665540046</v>
      </c>
      <c r="J28" s="60">
        <v>884.90869077046773</v>
      </c>
      <c r="K28" s="60">
        <v>48.597035457690623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546.20676352776468</v>
      </c>
      <c r="V28" s="62">
        <v>176.19377413262774</v>
      </c>
      <c r="W28" s="62">
        <v>95.740098976750289</v>
      </c>
      <c r="X28" s="62">
        <v>30.883560037951622</v>
      </c>
      <c r="Y28" s="66">
        <v>676.10084648015072</v>
      </c>
      <c r="Z28" s="66">
        <v>218.0946260463997</v>
      </c>
      <c r="AA28" s="67">
        <v>0</v>
      </c>
      <c r="AB28" s="68">
        <v>158.87351125081395</v>
      </c>
      <c r="AC28" s="69">
        <v>0</v>
      </c>
      <c r="AD28" s="406">
        <v>23.851686751539255</v>
      </c>
      <c r="AE28" s="406">
        <v>7.4894485320843973</v>
      </c>
      <c r="AF28" s="69">
        <v>30.947513930002888</v>
      </c>
      <c r="AG28" s="68">
        <v>23.058642995291816</v>
      </c>
      <c r="AH28" s="68">
        <v>7.4381893579588159</v>
      </c>
      <c r="AI28" s="68">
        <v>0.75609960825436406</v>
      </c>
      <c r="AJ28" s="69">
        <v>219.91881995201112</v>
      </c>
      <c r="AK28" s="69">
        <v>818.71272462209072</v>
      </c>
      <c r="AL28" s="69">
        <v>2933.1007259368894</v>
      </c>
      <c r="AM28" s="69">
        <v>731.09515972137456</v>
      </c>
      <c r="AN28" s="69">
        <v>7375.5230600992836</v>
      </c>
      <c r="AO28" s="69">
        <v>2580.7093701680501</v>
      </c>
      <c r="AP28" s="69">
        <v>533.05784090360009</v>
      </c>
      <c r="AQ28" s="69">
        <v>4023.3644001007083</v>
      </c>
      <c r="AR28" s="69">
        <v>498.36940313975026</v>
      </c>
      <c r="AS28" s="69">
        <v>893.36487623850508</v>
      </c>
    </row>
    <row r="29" spans="1:45" x14ac:dyDescent="0.25">
      <c r="A29" s="11">
        <v>44065</v>
      </c>
      <c r="B29" s="59"/>
      <c r="C29" s="60">
        <v>78.637747128803866</v>
      </c>
      <c r="D29" s="60">
        <v>999.36350351969509</v>
      </c>
      <c r="E29" s="60">
        <v>18.515398124357102</v>
      </c>
      <c r="F29" s="60">
        <v>0</v>
      </c>
      <c r="G29" s="60">
        <v>2919.2735834757545</v>
      </c>
      <c r="H29" s="61">
        <v>30.002517243226386</v>
      </c>
      <c r="I29" s="59">
        <v>293.55067582130431</v>
      </c>
      <c r="J29" s="60">
        <v>885.02105325063098</v>
      </c>
      <c r="K29" s="60">
        <v>48.542926022410384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549.8586602366363</v>
      </c>
      <c r="V29" s="62">
        <v>177.38977467784949</v>
      </c>
      <c r="W29" s="62">
        <v>95.461101508879366</v>
      </c>
      <c r="X29" s="62">
        <v>30.796683787560639</v>
      </c>
      <c r="Y29" s="66">
        <v>698.35711916839273</v>
      </c>
      <c r="Z29" s="66">
        <v>225.29682802602375</v>
      </c>
      <c r="AA29" s="67">
        <v>0</v>
      </c>
      <c r="AB29" s="68">
        <v>158.71224039925272</v>
      </c>
      <c r="AC29" s="69">
        <v>0</v>
      </c>
      <c r="AD29" s="406">
        <v>23.846662255192797</v>
      </c>
      <c r="AE29" s="406">
        <v>7.4888599787269898</v>
      </c>
      <c r="AF29" s="69">
        <v>31.205194384521945</v>
      </c>
      <c r="AG29" s="68">
        <v>23.248509784861653</v>
      </c>
      <c r="AH29" s="68">
        <v>7.5001963423792759</v>
      </c>
      <c r="AI29" s="68">
        <v>0.75608091243440345</v>
      </c>
      <c r="AJ29" s="69">
        <v>225.93366851806641</v>
      </c>
      <c r="AK29" s="69">
        <v>827.42120869954431</v>
      </c>
      <c r="AL29" s="69">
        <v>2993.466685740153</v>
      </c>
      <c r="AM29" s="69">
        <v>545.0064697265625</v>
      </c>
      <c r="AN29" s="69">
        <v>6063.847412109375</v>
      </c>
      <c r="AO29" s="69">
        <v>2516.0109321594241</v>
      </c>
      <c r="AP29" s="69">
        <v>546.31888604164124</v>
      </c>
      <c r="AQ29" s="69">
        <v>4073.564249420167</v>
      </c>
      <c r="AR29" s="69">
        <v>521.9591636975606</v>
      </c>
      <c r="AS29" s="69">
        <v>870.11653626759824</v>
      </c>
    </row>
    <row r="30" spans="1:45" x14ac:dyDescent="0.25">
      <c r="A30" s="11">
        <v>44066</v>
      </c>
      <c r="B30" s="59"/>
      <c r="C30" s="60">
        <v>79.368292701244101</v>
      </c>
      <c r="D30" s="60">
        <v>1007.4105588277188</v>
      </c>
      <c r="E30" s="60">
        <v>19.08896570950747</v>
      </c>
      <c r="F30" s="60">
        <v>0</v>
      </c>
      <c r="G30" s="60">
        <v>2919.9137373606372</v>
      </c>
      <c r="H30" s="61">
        <v>30.623979469140419</v>
      </c>
      <c r="I30" s="59">
        <v>307.48268303871157</v>
      </c>
      <c r="J30" s="60">
        <v>884.71966114044153</v>
      </c>
      <c r="K30" s="60">
        <v>48.641941774884828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540.94614529183514</v>
      </c>
      <c r="V30" s="62">
        <v>174.51022118359319</v>
      </c>
      <c r="W30" s="62">
        <v>93.760011085846344</v>
      </c>
      <c r="X30" s="62">
        <v>30.247151985785965</v>
      </c>
      <c r="Y30" s="66">
        <v>700.13115219688973</v>
      </c>
      <c r="Z30" s="66">
        <v>225.86359712663861</v>
      </c>
      <c r="AA30" s="67">
        <v>0</v>
      </c>
      <c r="AB30" s="68">
        <v>158.6890381601107</v>
      </c>
      <c r="AC30" s="69">
        <v>0</v>
      </c>
      <c r="AD30" s="406">
        <v>23.84376490188755</v>
      </c>
      <c r="AE30" s="406">
        <v>7.4805535107114505</v>
      </c>
      <c r="AF30" s="69">
        <v>31.00830361578199</v>
      </c>
      <c r="AG30" s="68">
        <v>23.101226604025285</v>
      </c>
      <c r="AH30" s="68">
        <v>7.4524981818769742</v>
      </c>
      <c r="AI30" s="68">
        <v>0.75608544509389508</v>
      </c>
      <c r="AJ30" s="69">
        <v>218.33012537956239</v>
      </c>
      <c r="AK30" s="69">
        <v>830.30755500793441</v>
      </c>
      <c r="AL30" s="69">
        <v>3003.7393878936764</v>
      </c>
      <c r="AM30" s="69">
        <v>545.0064697265625</v>
      </c>
      <c r="AN30" s="69">
        <v>6063.847412109375</v>
      </c>
      <c r="AO30" s="69">
        <v>2522.1816052754716</v>
      </c>
      <c r="AP30" s="69">
        <v>543.60638062159217</v>
      </c>
      <c r="AQ30" s="69">
        <v>4055.7429244995114</v>
      </c>
      <c r="AR30" s="69">
        <v>480.08954029083247</v>
      </c>
      <c r="AS30" s="69">
        <v>853.12565711339323</v>
      </c>
    </row>
    <row r="31" spans="1:45" x14ac:dyDescent="0.25">
      <c r="A31" s="11">
        <v>44067</v>
      </c>
      <c r="B31" s="59"/>
      <c r="C31" s="60">
        <v>79.600587491194233</v>
      </c>
      <c r="D31" s="60">
        <v>1008.4446013768512</v>
      </c>
      <c r="E31" s="60">
        <v>19.166322055955689</v>
      </c>
      <c r="F31" s="60">
        <v>0</v>
      </c>
      <c r="G31" s="60">
        <v>2919.1990865071616</v>
      </c>
      <c r="H31" s="61">
        <v>30.727603638172219</v>
      </c>
      <c r="I31" s="59">
        <v>308.99233954747513</v>
      </c>
      <c r="J31" s="60">
        <v>886.1858719507859</v>
      </c>
      <c r="K31" s="60">
        <v>48.621566316485413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542.9256508407168</v>
      </c>
      <c r="V31" s="62">
        <v>169.92383040283781</v>
      </c>
      <c r="W31" s="62">
        <v>94.384174007324035</v>
      </c>
      <c r="X31" s="62">
        <v>29.540178018661557</v>
      </c>
      <c r="Y31" s="66">
        <v>689.16156485808608</v>
      </c>
      <c r="Z31" s="66">
        <v>215.69246670471995</v>
      </c>
      <c r="AA31" s="67">
        <v>0</v>
      </c>
      <c r="AB31" s="68">
        <v>158.83467183642887</v>
      </c>
      <c r="AC31" s="69">
        <v>0</v>
      </c>
      <c r="AD31" s="406">
        <v>23.883541726869996</v>
      </c>
      <c r="AE31" s="406">
        <v>7.4838188547779145</v>
      </c>
      <c r="AF31" s="69">
        <v>30.177551270855766</v>
      </c>
      <c r="AG31" s="68">
        <v>22.614923235253137</v>
      </c>
      <c r="AH31" s="68">
        <v>7.0779753626482327</v>
      </c>
      <c r="AI31" s="68">
        <v>0.76162733525960014</v>
      </c>
      <c r="AJ31" s="69">
        <v>219.90330430666606</v>
      </c>
      <c r="AK31" s="69">
        <v>829.52736466725673</v>
      </c>
      <c r="AL31" s="69">
        <v>3048.590894063314</v>
      </c>
      <c r="AM31" s="69">
        <v>545.0064697265625</v>
      </c>
      <c r="AN31" s="69">
        <v>6063.847412109375</v>
      </c>
      <c r="AO31" s="69">
        <v>2581.4816791534427</v>
      </c>
      <c r="AP31" s="69">
        <v>547.0342537562052</v>
      </c>
      <c r="AQ31" s="69">
        <v>3986.8618984222412</v>
      </c>
      <c r="AR31" s="69">
        <v>486.55558319091807</v>
      </c>
      <c r="AS31" s="69">
        <v>945.63183358510332</v>
      </c>
    </row>
    <row r="32" spans="1:45" x14ac:dyDescent="0.25">
      <c r="A32" s="11">
        <v>44068</v>
      </c>
      <c r="B32" s="59"/>
      <c r="C32" s="60">
        <v>79.142107725144243</v>
      </c>
      <c r="D32" s="60">
        <v>1007.6298881530771</v>
      </c>
      <c r="E32" s="60">
        <v>18.566974873344108</v>
      </c>
      <c r="F32" s="60">
        <v>0</v>
      </c>
      <c r="G32" s="60">
        <v>2920.3458507537821</v>
      </c>
      <c r="H32" s="61">
        <v>30.00173284014074</v>
      </c>
      <c r="I32" s="59">
        <v>309.06142776807167</v>
      </c>
      <c r="J32" s="60">
        <v>885.84668420155901</v>
      </c>
      <c r="K32" s="60">
        <v>48.639204035202752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533.48461286125644</v>
      </c>
      <c r="V32" s="62">
        <v>172.94589623976731</v>
      </c>
      <c r="W32" s="62">
        <v>91.886087798245526</v>
      </c>
      <c r="X32" s="62">
        <v>29.787779109509916</v>
      </c>
      <c r="Y32" s="66">
        <v>695.32581208769057</v>
      </c>
      <c r="Z32" s="66">
        <v>225.41183541393744</v>
      </c>
      <c r="AA32" s="67">
        <v>0</v>
      </c>
      <c r="AB32" s="68">
        <v>158.87128632863212</v>
      </c>
      <c r="AC32" s="69">
        <v>0</v>
      </c>
      <c r="AD32" s="406">
        <v>23.87778593323393</v>
      </c>
      <c r="AE32" s="406">
        <v>7.4777187816188597</v>
      </c>
      <c r="AF32" s="69">
        <v>30.70266114870708</v>
      </c>
      <c r="AG32" s="68">
        <v>22.81914881769584</v>
      </c>
      <c r="AH32" s="68">
        <v>7.3975482114446596</v>
      </c>
      <c r="AI32" s="68">
        <v>0.75518342708633635</v>
      </c>
      <c r="AJ32" s="69">
        <v>225.0729748249054</v>
      </c>
      <c r="AK32" s="69">
        <v>836.58912022908532</v>
      </c>
      <c r="AL32" s="69">
        <v>3006.7844351450603</v>
      </c>
      <c r="AM32" s="69">
        <v>545.0064697265625</v>
      </c>
      <c r="AN32" s="69">
        <v>6063.847412109375</v>
      </c>
      <c r="AO32" s="69">
        <v>2641.8591738382975</v>
      </c>
      <c r="AP32" s="69">
        <v>552.02859005928042</v>
      </c>
      <c r="AQ32" s="69">
        <v>4079.8395882924401</v>
      </c>
      <c r="AR32" s="69">
        <v>499.78040453592939</v>
      </c>
      <c r="AS32" s="69">
        <v>877.60154584248869</v>
      </c>
    </row>
    <row r="33" spans="1:45" x14ac:dyDescent="0.25">
      <c r="A33" s="11">
        <v>44069</v>
      </c>
      <c r="B33" s="59"/>
      <c r="C33" s="60">
        <v>79.487606950600707</v>
      </c>
      <c r="D33" s="60">
        <v>1008.2098365783676</v>
      </c>
      <c r="E33" s="60">
        <v>18.579540090262888</v>
      </c>
      <c r="F33" s="60">
        <v>0</v>
      </c>
      <c r="G33" s="60">
        <v>2920.0684677123982</v>
      </c>
      <c r="H33" s="61">
        <v>30.191788266102542</v>
      </c>
      <c r="I33" s="59">
        <v>309.5029213905338</v>
      </c>
      <c r="J33" s="60">
        <v>884.37049738566179</v>
      </c>
      <c r="K33" s="60">
        <v>48.550217212239886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538.75409769420287</v>
      </c>
      <c r="V33" s="62">
        <v>173.83818148569017</v>
      </c>
      <c r="W33" s="62">
        <v>92.45045298455149</v>
      </c>
      <c r="X33" s="62">
        <v>29.830712551693438</v>
      </c>
      <c r="Y33" s="66">
        <v>715.29814989635383</v>
      </c>
      <c r="Z33" s="66">
        <v>230.80312545230927</v>
      </c>
      <c r="AA33" s="67">
        <v>0</v>
      </c>
      <c r="AB33" s="68">
        <v>158.80334809621019</v>
      </c>
      <c r="AC33" s="69">
        <v>0</v>
      </c>
      <c r="AD33" s="406">
        <v>23.834763381934913</v>
      </c>
      <c r="AE33" s="406">
        <v>7.4825547728598911</v>
      </c>
      <c r="AF33" s="69">
        <v>31.100308250056401</v>
      </c>
      <c r="AG33" s="68">
        <v>23.164580237180687</v>
      </c>
      <c r="AH33" s="68">
        <v>7.4744461722804632</v>
      </c>
      <c r="AI33" s="68">
        <v>0.75604818271991836</v>
      </c>
      <c r="AJ33" s="69">
        <v>228.98660311698913</v>
      </c>
      <c r="AK33" s="69">
        <v>828.9362160046893</v>
      </c>
      <c r="AL33" s="69">
        <v>3135.6174969991048</v>
      </c>
      <c r="AM33" s="69">
        <v>545.0064697265625</v>
      </c>
      <c r="AN33" s="69">
        <v>6063.847412109375</v>
      </c>
      <c r="AO33" s="69">
        <v>2588.0218808492018</v>
      </c>
      <c r="AP33" s="69">
        <v>543.3012181123097</v>
      </c>
      <c r="AQ33" s="69">
        <v>4064.7266956329345</v>
      </c>
      <c r="AR33" s="69">
        <v>473.99493255615232</v>
      </c>
      <c r="AS33" s="69">
        <v>872.18040590286262</v>
      </c>
    </row>
    <row r="34" spans="1:45" x14ac:dyDescent="0.25">
      <c r="A34" s="11">
        <v>44070</v>
      </c>
      <c r="B34" s="59"/>
      <c r="C34" s="60">
        <v>79.119664939244345</v>
      </c>
      <c r="D34" s="60">
        <v>1007.2469588597622</v>
      </c>
      <c r="E34" s="60">
        <v>18.78788940906523</v>
      </c>
      <c r="F34" s="60">
        <v>0</v>
      </c>
      <c r="G34" s="60">
        <v>2920.7933872222929</v>
      </c>
      <c r="H34" s="61">
        <v>30.307683847347935</v>
      </c>
      <c r="I34" s="59">
        <v>316.35437717437765</v>
      </c>
      <c r="J34" s="60">
        <v>883.91539249420248</v>
      </c>
      <c r="K34" s="60">
        <v>48.595184171199769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532.43998576325862</v>
      </c>
      <c r="V34" s="62">
        <v>172.40272774111031</v>
      </c>
      <c r="W34" s="62">
        <v>91.325216520618071</v>
      </c>
      <c r="X34" s="62">
        <v>29.570875329980787</v>
      </c>
      <c r="Y34" s="66">
        <v>698.93658519892108</v>
      </c>
      <c r="Z34" s="66">
        <v>226.31390772354354</v>
      </c>
      <c r="AA34" s="67">
        <v>0</v>
      </c>
      <c r="AB34" s="68">
        <v>158.7191646363998</v>
      </c>
      <c r="AC34" s="69">
        <v>0</v>
      </c>
      <c r="AD34" s="406">
        <v>23.822787768850279</v>
      </c>
      <c r="AE34" s="406">
        <v>7.4751828142602008</v>
      </c>
      <c r="AF34" s="69">
        <v>30.713544842931981</v>
      </c>
      <c r="AG34" s="68">
        <v>22.878543112796994</v>
      </c>
      <c r="AH34" s="68">
        <v>7.4080146962188875</v>
      </c>
      <c r="AI34" s="68">
        <v>0.75540255373578225</v>
      </c>
      <c r="AJ34" s="69">
        <v>233.266845703125</v>
      </c>
      <c r="AK34" s="69">
        <v>820.02115583419811</v>
      </c>
      <c r="AL34" s="69">
        <v>3026.8977691650393</v>
      </c>
      <c r="AM34" s="69">
        <v>545.0064697265625</v>
      </c>
      <c r="AN34" s="69">
        <v>6063.847412109375</v>
      </c>
      <c r="AO34" s="69">
        <v>2580.6623720804851</v>
      </c>
      <c r="AP34" s="69">
        <v>533.2788511753082</v>
      </c>
      <c r="AQ34" s="69">
        <v>4016.6095541636159</v>
      </c>
      <c r="AR34" s="69">
        <v>458.07514127095544</v>
      </c>
      <c r="AS34" s="69">
        <v>883.02558911641438</v>
      </c>
    </row>
    <row r="35" spans="1:45" x14ac:dyDescent="0.25">
      <c r="A35" s="11">
        <v>44071</v>
      </c>
      <c r="B35" s="59"/>
      <c r="C35" s="60">
        <v>79.384030926226799</v>
      </c>
      <c r="D35" s="60">
        <v>1009.1444131851193</v>
      </c>
      <c r="E35" s="60">
        <v>18.870897784332396</v>
      </c>
      <c r="F35" s="60">
        <v>0</v>
      </c>
      <c r="G35" s="60">
        <v>2919.8418212890683</v>
      </c>
      <c r="H35" s="61">
        <v>30.135285319884673</v>
      </c>
      <c r="I35" s="59">
        <v>315.17218219439212</v>
      </c>
      <c r="J35" s="60">
        <v>880.10418427785271</v>
      </c>
      <c r="K35" s="60">
        <v>48.313350583116261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540.31063012946277</v>
      </c>
      <c r="V35" s="62">
        <v>174.27159393229124</v>
      </c>
      <c r="W35" s="62">
        <v>93.89566705762914</v>
      </c>
      <c r="X35" s="62">
        <v>30.285074268385152</v>
      </c>
      <c r="Y35" s="66">
        <v>704.88916237175306</v>
      </c>
      <c r="Z35" s="66">
        <v>227.35469380398655</v>
      </c>
      <c r="AA35" s="67">
        <v>0</v>
      </c>
      <c r="AB35" s="68">
        <v>158.29725852542481</v>
      </c>
      <c r="AC35" s="69">
        <v>0</v>
      </c>
      <c r="AD35" s="406">
        <v>23.719611629434091</v>
      </c>
      <c r="AE35" s="406">
        <v>7.4886110113880404</v>
      </c>
      <c r="AF35" s="69">
        <v>31.093644241491923</v>
      </c>
      <c r="AG35" s="68">
        <v>23.248483031488092</v>
      </c>
      <c r="AH35" s="68">
        <v>7.4985572529536819</v>
      </c>
      <c r="AI35" s="68">
        <v>0.75612100600303944</v>
      </c>
      <c r="AJ35" s="69">
        <v>223.82372007369995</v>
      </c>
      <c r="AK35" s="69">
        <v>820.42957763671882</v>
      </c>
      <c r="AL35" s="69">
        <v>3531.7388935089111</v>
      </c>
      <c r="AM35" s="69">
        <v>545.0064697265625</v>
      </c>
      <c r="AN35" s="69">
        <v>6063.847412109375</v>
      </c>
      <c r="AO35" s="69">
        <v>2530.6204334259032</v>
      </c>
      <c r="AP35" s="69">
        <v>520.97096576690672</v>
      </c>
      <c r="AQ35" s="69">
        <v>3919.7993586222333</v>
      </c>
      <c r="AR35" s="69">
        <v>453.91544666290292</v>
      </c>
      <c r="AS35" s="69">
        <v>800.79647677739445</v>
      </c>
    </row>
    <row r="36" spans="1:45" x14ac:dyDescent="0.25">
      <c r="A36" s="11">
        <v>44072</v>
      </c>
      <c r="B36" s="59"/>
      <c r="C36" s="60">
        <v>78.901293563843154</v>
      </c>
      <c r="D36" s="60">
        <v>1008.0462392171243</v>
      </c>
      <c r="E36" s="60">
        <v>18.417106517652673</v>
      </c>
      <c r="F36" s="60">
        <v>0</v>
      </c>
      <c r="G36" s="60">
        <v>2921.4367412567121</v>
      </c>
      <c r="H36" s="61">
        <v>30.16664011279742</v>
      </c>
      <c r="I36" s="59">
        <v>315.19529636701003</v>
      </c>
      <c r="J36" s="60">
        <v>879.94755541483562</v>
      </c>
      <c r="K36" s="60">
        <v>48.333884591857561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536.39450109024449</v>
      </c>
      <c r="V36" s="62">
        <v>172.99114814580054</v>
      </c>
      <c r="W36" s="62">
        <v>93.492112883632672</v>
      </c>
      <c r="X36" s="62">
        <v>30.151889919533989</v>
      </c>
      <c r="Y36" s="66">
        <v>696.54748363946544</v>
      </c>
      <c r="Z36" s="66">
        <v>224.64165588563085</v>
      </c>
      <c r="AA36" s="67">
        <v>0</v>
      </c>
      <c r="AB36" s="68">
        <v>158.50528906716406</v>
      </c>
      <c r="AC36" s="69">
        <v>0</v>
      </c>
      <c r="AD36" s="406">
        <v>23.713117416461223</v>
      </c>
      <c r="AE36" s="406">
        <v>7.4809384396797567</v>
      </c>
      <c r="AF36" s="69">
        <v>30.837669089105361</v>
      </c>
      <c r="AG36" s="68">
        <v>23.065879859004749</v>
      </c>
      <c r="AH36" s="68">
        <v>7.4389148876285871</v>
      </c>
      <c r="AI36" s="68">
        <v>0.75613948727028946</v>
      </c>
      <c r="AJ36" s="69">
        <v>236.34132614135743</v>
      </c>
      <c r="AK36" s="69">
        <v>823.19375855127964</v>
      </c>
      <c r="AL36" s="69">
        <v>2890.6580979665123</v>
      </c>
      <c r="AM36" s="69">
        <v>545.0064697265625</v>
      </c>
      <c r="AN36" s="69">
        <v>6063.847412109375</v>
      </c>
      <c r="AO36" s="69">
        <v>2468.0418544769291</v>
      </c>
      <c r="AP36" s="69">
        <v>496.49496223131808</v>
      </c>
      <c r="AQ36" s="69">
        <v>3940.5824572245278</v>
      </c>
      <c r="AR36" s="69">
        <v>445.24028285344446</v>
      </c>
      <c r="AS36" s="69">
        <v>733.23759959538768</v>
      </c>
    </row>
    <row r="37" spans="1:45" x14ac:dyDescent="0.25">
      <c r="A37" s="11">
        <v>44073</v>
      </c>
      <c r="B37" s="59"/>
      <c r="C37" s="60">
        <v>78.996673727035926</v>
      </c>
      <c r="D37" s="60">
        <v>1007.8776906967158</v>
      </c>
      <c r="E37" s="60">
        <v>18.82313778102397</v>
      </c>
      <c r="F37" s="60">
        <v>0</v>
      </c>
      <c r="G37" s="60">
        <v>2919.3371273040766</v>
      </c>
      <c r="H37" s="61">
        <v>30.099543029069935</v>
      </c>
      <c r="I37" s="59">
        <v>315.04980119069444</v>
      </c>
      <c r="J37" s="60">
        <v>879.93428700765003</v>
      </c>
      <c r="K37" s="60">
        <v>48.341646661360997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538.24880417351039</v>
      </c>
      <c r="V37" s="62">
        <v>173.63368356859948</v>
      </c>
      <c r="W37" s="62">
        <v>93.081035197846845</v>
      </c>
      <c r="X37" s="62">
        <v>30.027011460987122</v>
      </c>
      <c r="Y37" s="66">
        <v>689.17718647450693</v>
      </c>
      <c r="Z37" s="66">
        <v>222.32167092829638</v>
      </c>
      <c r="AA37" s="67">
        <v>0</v>
      </c>
      <c r="AB37" s="68">
        <v>158.35784667332973</v>
      </c>
      <c r="AC37" s="69">
        <v>0</v>
      </c>
      <c r="AD37" s="406">
        <v>23.715607296478975</v>
      </c>
      <c r="AE37" s="406">
        <v>7.4799797762984888</v>
      </c>
      <c r="AF37" s="69">
        <v>30.955699131223888</v>
      </c>
      <c r="AG37" s="68">
        <v>23.147421902789358</v>
      </c>
      <c r="AH37" s="68">
        <v>7.4671269103315483</v>
      </c>
      <c r="AI37" s="68">
        <v>0.75609221106236724</v>
      </c>
      <c r="AJ37" s="69">
        <v>219.80255457560222</v>
      </c>
      <c r="AK37" s="69">
        <v>816.63683017094934</v>
      </c>
      <c r="AL37" s="69">
        <v>2955.7888675689696</v>
      </c>
      <c r="AM37" s="69">
        <v>545.0064697265625</v>
      </c>
      <c r="AN37" s="69">
        <v>6063.847412109375</v>
      </c>
      <c r="AO37" s="69">
        <v>2535.9818580627434</v>
      </c>
      <c r="AP37" s="69">
        <v>502.90256953239441</v>
      </c>
      <c r="AQ37" s="69">
        <v>4073.1850182851163</v>
      </c>
      <c r="AR37" s="69">
        <v>438.76505037943519</v>
      </c>
      <c r="AS37" s="69">
        <v>749.84608395894361</v>
      </c>
    </row>
    <row r="38" spans="1:45" ht="15.75" thickBot="1" x14ac:dyDescent="0.3">
      <c r="A38" s="11">
        <v>44074</v>
      </c>
      <c r="B38" s="73"/>
      <c r="C38" s="74">
        <v>79.518361703554675</v>
      </c>
      <c r="D38" s="74">
        <v>1007.6039688746125</v>
      </c>
      <c r="E38" s="74">
        <v>18.639948996404794</v>
      </c>
      <c r="F38" s="74">
        <v>0</v>
      </c>
      <c r="G38" s="74">
        <v>2919.9060255686445</v>
      </c>
      <c r="H38" s="75">
        <v>30.140939066807498</v>
      </c>
      <c r="I38" s="76">
        <v>324.97853051821431</v>
      </c>
      <c r="J38" s="74">
        <v>879.86314411163312</v>
      </c>
      <c r="K38" s="74">
        <v>48.317128186424554</v>
      </c>
      <c r="L38" s="74">
        <v>0</v>
      </c>
      <c r="M38" s="60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536.27091212168318</v>
      </c>
      <c r="V38" s="80">
        <v>172.97312618465804</v>
      </c>
      <c r="W38" s="81">
        <v>92.625385530804323</v>
      </c>
      <c r="X38" s="81">
        <v>29.876135619466517</v>
      </c>
      <c r="Y38" s="80">
        <v>685.77885094964768</v>
      </c>
      <c r="Z38" s="80">
        <v>221.19661730444054</v>
      </c>
      <c r="AA38" s="82">
        <v>0</v>
      </c>
      <c r="AB38" s="83">
        <v>158.30385091569764</v>
      </c>
      <c r="AC38" s="84">
        <v>0</v>
      </c>
      <c r="AD38" s="406">
        <v>23.711684678981989</v>
      </c>
      <c r="AE38" s="406">
        <v>7.4779877988385852</v>
      </c>
      <c r="AF38" s="85">
        <v>30.830735341707882</v>
      </c>
      <c r="AG38" s="83">
        <v>23.047087707981881</v>
      </c>
      <c r="AH38" s="83">
        <v>7.4337927345890895</v>
      </c>
      <c r="AI38" s="83">
        <v>0.756116207056581</v>
      </c>
      <c r="AJ38" s="84">
        <v>225.85263301531475</v>
      </c>
      <c r="AK38" s="84">
        <v>808.08787832260145</v>
      </c>
      <c r="AL38" s="84">
        <v>2934.2433386484781</v>
      </c>
      <c r="AM38" s="84">
        <v>545.0064697265625</v>
      </c>
      <c r="AN38" s="84">
        <v>6063.847412109375</v>
      </c>
      <c r="AO38" s="84">
        <v>2580.4175964355468</v>
      </c>
      <c r="AP38" s="84">
        <v>496.26652598381042</v>
      </c>
      <c r="AQ38" s="84">
        <v>4036.3948591868088</v>
      </c>
      <c r="AR38" s="84">
        <v>429.39518626530958</v>
      </c>
      <c r="AS38" s="84">
        <v>672.35417974789925</v>
      </c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2452.567936611174</v>
      </c>
      <c r="D39" s="30">
        <f t="shared" si="0"/>
        <v>30433.159522688373</v>
      </c>
      <c r="E39" s="30">
        <f t="shared" si="0"/>
        <v>581.59764104634576</v>
      </c>
      <c r="F39" s="30">
        <f t="shared" si="0"/>
        <v>0</v>
      </c>
      <c r="G39" s="30">
        <f t="shared" si="0"/>
        <v>90174.574289194788</v>
      </c>
      <c r="H39" s="31">
        <f t="shared" si="0"/>
        <v>932.77819061776199</v>
      </c>
      <c r="I39" s="29">
        <f t="shared" si="0"/>
        <v>9123.7044394334207</v>
      </c>
      <c r="J39" s="30">
        <f t="shared" si="0"/>
        <v>24934.911190970743</v>
      </c>
      <c r="K39" s="30">
        <f t="shared" si="0"/>
        <v>1367.7322325895232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15126.693190757323</v>
      </c>
      <c r="V39" s="260">
        <f t="shared" si="0"/>
        <v>5350.6240786951103</v>
      </c>
      <c r="W39" s="260">
        <f t="shared" si="0"/>
        <v>2656.5586698673419</v>
      </c>
      <c r="X39" s="260">
        <f t="shared" si="0"/>
        <v>939.71807599641295</v>
      </c>
      <c r="Y39" s="260">
        <f t="shared" si="0"/>
        <v>18355.942581374547</v>
      </c>
      <c r="Z39" s="260">
        <f t="shared" si="0"/>
        <v>6433.7656016676638</v>
      </c>
      <c r="AA39" s="268">
        <f t="shared" si="0"/>
        <v>0</v>
      </c>
      <c r="AB39" s="271">
        <f t="shared" si="0"/>
        <v>4569.8443521254667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SUM(AJ8:AJ38)</f>
        <v>6960.5830905755338</v>
      </c>
      <c r="AK39" s="271">
        <f t="shared" si="1"/>
        <v>25412.338169288629</v>
      </c>
      <c r="AL39" s="271">
        <f t="shared" si="1"/>
        <v>93419.870833587644</v>
      </c>
      <c r="AM39" s="271">
        <f t="shared" si="1"/>
        <v>17385.553347015382</v>
      </c>
      <c r="AN39" s="271">
        <f t="shared" si="1"/>
        <v>162352.24257914224</v>
      </c>
      <c r="AO39" s="271">
        <f t="shared" si="1"/>
        <v>78931.576448949185</v>
      </c>
      <c r="AP39" s="271">
        <f t="shared" si="1"/>
        <v>16778.483295504251</v>
      </c>
      <c r="AQ39" s="271">
        <f t="shared" si="1"/>
        <v>118841.00926615395</v>
      </c>
      <c r="AR39" s="271">
        <f t="shared" si="1"/>
        <v>14539.899129978818</v>
      </c>
      <c r="AS39" s="271">
        <f t="shared" si="1"/>
        <v>26990.178146155675</v>
      </c>
    </row>
    <row r="40" spans="1:45" ht="15.75" thickBot="1" x14ac:dyDescent="0.3">
      <c r="A40" s="47" t="s">
        <v>172</v>
      </c>
      <c r="B40" s="32">
        <f>Projection!$AC$30</f>
        <v>0.66681052199999991</v>
      </c>
      <c r="C40" s="33">
        <f>Projection!$AC$28</f>
        <v>1.4286753599999999</v>
      </c>
      <c r="D40" s="33">
        <f>Projection!$AC$31</f>
        <v>2.1930447000000002</v>
      </c>
      <c r="E40" s="33">
        <f>Projection!$AC$26</f>
        <v>4.4235360000000004</v>
      </c>
      <c r="F40" s="33">
        <f>Projection!$AC$23</f>
        <v>0</v>
      </c>
      <c r="G40" s="33">
        <f>Projection!$AC$24</f>
        <v>5.9975000000000001E-2</v>
      </c>
      <c r="H40" s="34">
        <f>Projection!$AC$29</f>
        <v>3.7390305000000001</v>
      </c>
      <c r="I40" s="32">
        <f>Projection!$AC$30</f>
        <v>0.66681052199999991</v>
      </c>
      <c r="J40" s="33">
        <f>Projection!$AC$28</f>
        <v>1.4286753599999999</v>
      </c>
      <c r="K40" s="33">
        <f>Projection!$AC$26</f>
        <v>4.4235360000000004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1.4286753599999999</v>
      </c>
      <c r="T40" s="38">
        <f>Projection!$AC$28</f>
        <v>1.4286753599999999</v>
      </c>
      <c r="U40" s="26">
        <f>Projection!$AC$27</f>
        <v>0.26450000000000001</v>
      </c>
      <c r="V40" s="27">
        <f>Projection!$AC$27</f>
        <v>0.26450000000000001</v>
      </c>
      <c r="W40" s="27">
        <f>Projection!$AC$22</f>
        <v>0.85935360000000005</v>
      </c>
      <c r="X40" s="27">
        <f>Projection!$AC$22</f>
        <v>0.85935360000000005</v>
      </c>
      <c r="Y40" s="27">
        <f>Projection!$AC$31</f>
        <v>2.1930447000000002</v>
      </c>
      <c r="Z40" s="27">
        <f>Projection!$AC$31</f>
        <v>2.1930447000000002</v>
      </c>
      <c r="AA40" s="28">
        <v>0</v>
      </c>
      <c r="AB40" s="41">
        <f>Projection!$AC$27</f>
        <v>0.26450000000000001</v>
      </c>
      <c r="AC40" s="41">
        <f>Projection!$AC$30</f>
        <v>0.66681052199999991</v>
      </c>
      <c r="AD40" s="397">
        <f>SUM(AD8:AD38)</f>
        <v>672.01822854924933</v>
      </c>
      <c r="AE40" s="397">
        <f>SUM(AE8:AE38)</f>
        <v>231.90895889700775</v>
      </c>
      <c r="AF40" s="43">
        <f>SUM(AF8:AF38)</f>
        <v>886.24203037917607</v>
      </c>
      <c r="AG40" s="43">
        <f>SUM(AG8:AG38)</f>
        <v>646.17714075069227</v>
      </c>
      <c r="AH40" s="43">
        <f>SUM(AH8:AH38)</f>
        <v>228.41317303705111</v>
      </c>
      <c r="AI40" s="43">
        <f>IF(SUM(AG40:AH40)&gt;0, AG40/(AG40+AH40), 0)</f>
        <v>0.73883409244744358</v>
      </c>
      <c r="AJ40" s="310">
        <v>6.5000000000000002E-2</v>
      </c>
      <c r="AK40" s="310">
        <f t="shared" ref="AK40:AS40" si="2">$AJ$40</f>
        <v>6.5000000000000002E-2</v>
      </c>
      <c r="AL40" s="310">
        <f t="shared" si="2"/>
        <v>6.5000000000000002E-2</v>
      </c>
      <c r="AM40" s="310">
        <f t="shared" si="2"/>
        <v>6.5000000000000002E-2</v>
      </c>
      <c r="AN40" s="310">
        <f t="shared" si="2"/>
        <v>6.5000000000000002E-2</v>
      </c>
      <c r="AO40" s="310">
        <f t="shared" si="2"/>
        <v>6.5000000000000002E-2</v>
      </c>
      <c r="AP40" s="310">
        <f t="shared" si="2"/>
        <v>6.5000000000000002E-2</v>
      </c>
      <c r="AQ40" s="310">
        <f t="shared" si="2"/>
        <v>6.5000000000000002E-2</v>
      </c>
      <c r="AR40" s="310">
        <f t="shared" si="2"/>
        <v>6.5000000000000002E-2</v>
      </c>
      <c r="AS40" s="310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3503.9233797624261</v>
      </c>
      <c r="D41" s="36">
        <f t="shared" si="3"/>
        <v>66741.279195486277</v>
      </c>
      <c r="E41" s="36">
        <f t="shared" si="3"/>
        <v>2572.7181026835883</v>
      </c>
      <c r="F41" s="36">
        <f t="shared" si="3"/>
        <v>0</v>
      </c>
      <c r="G41" s="36">
        <f t="shared" si="3"/>
        <v>5408.2200929944574</v>
      </c>
      <c r="H41" s="37">
        <f t="shared" si="3"/>
        <v>3487.6861044546263</v>
      </c>
      <c r="I41" s="35">
        <f t="shared" si="3"/>
        <v>6083.7821198323154</v>
      </c>
      <c r="J41" s="36">
        <f t="shared" si="3"/>
        <v>35623.893222328152</v>
      </c>
      <c r="K41" s="36">
        <f t="shared" si="3"/>
        <v>6050.2127692201293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4001.0103489553121</v>
      </c>
      <c r="V41" s="266">
        <f t="shared" si="3"/>
        <v>1415.2400688148568</v>
      </c>
      <c r="W41" s="266">
        <f t="shared" si="3"/>
        <v>2282.9232565617122</v>
      </c>
      <c r="X41" s="266">
        <f t="shared" si="3"/>
        <v>807.55011159259107</v>
      </c>
      <c r="Y41" s="266">
        <f t="shared" si="3"/>
        <v>40255.402591587772</v>
      </c>
      <c r="Z41" s="266">
        <f t="shared" si="3"/>
        <v>14109.535553779582</v>
      </c>
      <c r="AA41" s="270">
        <f t="shared" si="3"/>
        <v>0</v>
      </c>
      <c r="AB41" s="273">
        <f t="shared" si="3"/>
        <v>1208.7238311371859</v>
      </c>
      <c r="AC41" s="273">
        <f t="shared" si="3"/>
        <v>0</v>
      </c>
      <c r="AJ41" s="276">
        <f t="shared" ref="AJ41:AS41" si="4">AJ40*AJ39</f>
        <v>452.43790088740974</v>
      </c>
      <c r="AK41" s="276">
        <f t="shared" si="4"/>
        <v>1651.8019810037608</v>
      </c>
      <c r="AL41" s="276">
        <f t="shared" si="4"/>
        <v>6072.2916041831968</v>
      </c>
      <c r="AM41" s="276">
        <f t="shared" si="4"/>
        <v>1130.0609675559999</v>
      </c>
      <c r="AN41" s="276">
        <f t="shared" si="4"/>
        <v>10552.895767644246</v>
      </c>
      <c r="AO41" s="276">
        <f t="shared" si="4"/>
        <v>5130.5524691816972</v>
      </c>
      <c r="AP41" s="276">
        <f t="shared" si="4"/>
        <v>1090.6014142077763</v>
      </c>
      <c r="AQ41" s="276">
        <f t="shared" si="4"/>
        <v>7724.6656023000069</v>
      </c>
      <c r="AR41" s="276">
        <f t="shared" si="4"/>
        <v>945.09344344862313</v>
      </c>
      <c r="AS41" s="276">
        <f t="shared" si="4"/>
        <v>1754.361579500119</v>
      </c>
    </row>
    <row r="42" spans="1:45" ht="49.5" customHeight="1" thickTop="1" thickBot="1" x14ac:dyDescent="0.3">
      <c r="A42" s="640">
        <f>JULY!$A$42+31</f>
        <v>44044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77.28</v>
      </c>
      <c r="AK42" s="276" t="s">
        <v>197</v>
      </c>
      <c r="AL42" s="276">
        <v>361.68</v>
      </c>
      <c r="AM42" s="276">
        <v>447.1</v>
      </c>
      <c r="AN42" s="276">
        <v>221.11</v>
      </c>
      <c r="AO42" s="276">
        <v>1153.3399999999999</v>
      </c>
      <c r="AP42" s="276">
        <v>363.73</v>
      </c>
      <c r="AQ42" s="276" t="s">
        <v>197</v>
      </c>
      <c r="AR42" s="276">
        <v>48.23</v>
      </c>
      <c r="AS42" s="276">
        <v>187.99</v>
      </c>
    </row>
    <row r="43" spans="1:4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45" ht="24.75" thickTop="1" thickBot="1" x14ac:dyDescent="0.3">
      <c r="A44" s="280" t="s">
        <v>135</v>
      </c>
      <c r="B44" s="281">
        <f>SUM(B41:AC41)</f>
        <v>193552.10074919098</v>
      </c>
      <c r="C44" s="12"/>
      <c r="D44" s="280" t="s">
        <v>135</v>
      </c>
      <c r="E44" s="281">
        <f>SUM(B41:H41)+P41+R41+T41+V41+X41+Z41</f>
        <v>98046.152609568409</v>
      </c>
      <c r="F44" s="12"/>
      <c r="G44" s="280" t="s">
        <v>135</v>
      </c>
      <c r="H44" s="281">
        <f>SUM(I41:N41)+O41+Q41+S41+U41+W41+Y41</f>
        <v>94297.224308485398</v>
      </c>
      <c r="I44" s="12"/>
      <c r="J44" s="280" t="s">
        <v>198</v>
      </c>
      <c r="K44" s="281">
        <v>145604.9</v>
      </c>
      <c r="L44" s="12"/>
      <c r="M44" s="12"/>
      <c r="N44" s="12"/>
      <c r="O44" s="12"/>
      <c r="P44" s="12"/>
      <c r="Q44" s="12"/>
      <c r="R44" s="317" t="s">
        <v>135</v>
      </c>
      <c r="S44" s="318"/>
      <c r="T44" s="311" t="s">
        <v>167</v>
      </c>
      <c r="U44" s="253" t="s">
        <v>168</v>
      </c>
    </row>
    <row r="45" spans="1:45" ht="24" thickBot="1" x14ac:dyDescent="0.4">
      <c r="A45" s="282" t="s">
        <v>183</v>
      </c>
      <c r="B45" s="283">
        <f>SUM(AJ41:AS41)</f>
        <v>36504.762729912843</v>
      </c>
      <c r="C45" s="12"/>
      <c r="D45" s="282" t="s">
        <v>183</v>
      </c>
      <c r="E45" s="283">
        <f>AJ41*(1-$AI$40)+AK41+AL41*0.5+AN41+AO41*(1-$AI$40)+AP41*(1-$AI$40)+AQ41*(1-$AI$40)+AR41*0.5+AS41*0.5</f>
        <v>20350.905019754628</v>
      </c>
      <c r="F45" s="24"/>
      <c r="G45" s="282" t="s">
        <v>183</v>
      </c>
      <c r="H45" s="283">
        <f>AJ41*AI40+AL41*0.5+AM41+AO41*AI40+AP41*AI40+AQ41*AI40+AR41*0.5+AS41*0.5</f>
        <v>16153.857710158207</v>
      </c>
      <c r="I45" s="12"/>
      <c r="J45" s="12"/>
      <c r="K45" s="286"/>
      <c r="L45" s="12"/>
      <c r="M45" s="12"/>
      <c r="N45" s="12"/>
      <c r="O45" s="12"/>
      <c r="P45" s="12"/>
      <c r="Q45" s="12"/>
      <c r="R45" s="315" t="s">
        <v>141</v>
      </c>
      <c r="S45" s="316"/>
      <c r="T45" s="252">
        <f>$W$39+$X$39</f>
        <v>3596.276745863755</v>
      </c>
      <c r="U45" s="254">
        <f>(T45*8.34*0.895)/27000</f>
        <v>0.99421068570928994</v>
      </c>
    </row>
    <row r="46" spans="1:45" ht="32.25" thickBot="1" x14ac:dyDescent="0.3">
      <c r="A46" s="284" t="s">
        <v>184</v>
      </c>
      <c r="B46" s="285">
        <f>SUM(AJ42:AS42)</f>
        <v>2860.46</v>
      </c>
      <c r="C46" s="12"/>
      <c r="D46" s="284" t="s">
        <v>184</v>
      </c>
      <c r="E46" s="285">
        <f>AJ42*(1-$AI$40)+AL42*0.5+AN42+AO42*(1-$AI$40)+AP42*(1-$AI$40)+AR42*0.5+AS42*0.5</f>
        <v>936.44986470641834</v>
      </c>
      <c r="F46" s="23"/>
      <c r="G46" s="284" t="s">
        <v>184</v>
      </c>
      <c r="H46" s="285">
        <f>AJ42*AI40+AL42*0.5+AM42+AO42*AI40+AP42*AI40+AR42*0.5+AS42*0.5</f>
        <v>1924.0101352935817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15" t="s">
        <v>145</v>
      </c>
      <c r="S46" s="316"/>
      <c r="T46" s="252">
        <f>$M$39+$N$39+$F$39</f>
        <v>0</v>
      </c>
      <c r="U46" s="255">
        <f>(((T46*8.34)*0.005)/(8.34*1.055))/400</f>
        <v>0</v>
      </c>
    </row>
    <row r="47" spans="1:45" ht="24.75" thickTop="1" thickBot="1" x14ac:dyDescent="0.4">
      <c r="A47" s="284" t="s">
        <v>185</v>
      </c>
      <c r="B47" s="285">
        <f>K44</f>
        <v>145604.9</v>
      </c>
      <c r="C47" s="12"/>
      <c r="D47" s="284" t="s">
        <v>187</v>
      </c>
      <c r="E47" s="285">
        <f>K44*0.5</f>
        <v>72802.45</v>
      </c>
      <c r="F47" s="24"/>
      <c r="G47" s="284" t="s">
        <v>185</v>
      </c>
      <c r="H47" s="285">
        <f>K44*0.5</f>
        <v>72802.45</v>
      </c>
      <c r="I47" s="12"/>
      <c r="J47" s="280" t="s">
        <v>198</v>
      </c>
      <c r="K47" s="281">
        <v>167714.96</v>
      </c>
      <c r="L47" s="12"/>
      <c r="M47" s="12"/>
      <c r="N47" s="12"/>
      <c r="O47" s="12"/>
      <c r="P47" s="12"/>
      <c r="Q47" s="12"/>
      <c r="R47" s="315" t="s">
        <v>148</v>
      </c>
      <c r="S47" s="316"/>
      <c r="T47" s="252">
        <f>$G$39</f>
        <v>90174.574289194788</v>
      </c>
      <c r="U47" s="254">
        <f>T47/40000</f>
        <v>2.2543643572298695</v>
      </c>
    </row>
    <row r="48" spans="1:45" ht="24" thickBot="1" x14ac:dyDescent="0.3">
      <c r="A48" s="284" t="s">
        <v>186</v>
      </c>
      <c r="B48" s="285">
        <f>K47</f>
        <v>167714.96</v>
      </c>
      <c r="C48" s="12"/>
      <c r="D48" s="284" t="s">
        <v>186</v>
      </c>
      <c r="E48" s="285">
        <f>K47*0.5</f>
        <v>83857.48</v>
      </c>
      <c r="F48" s="23"/>
      <c r="G48" s="284" t="s">
        <v>186</v>
      </c>
      <c r="H48" s="285">
        <f>K47*0.5</f>
        <v>83857.48</v>
      </c>
      <c r="I48" s="12"/>
      <c r="J48" s="12"/>
      <c r="K48" s="86"/>
      <c r="L48" s="12"/>
      <c r="M48" s="12"/>
      <c r="N48" s="12"/>
      <c r="O48" s="12"/>
      <c r="P48" s="12"/>
      <c r="Q48" s="12"/>
      <c r="R48" s="315" t="s">
        <v>150</v>
      </c>
      <c r="S48" s="316"/>
      <c r="T48" s="252">
        <f>$L$39</f>
        <v>0</v>
      </c>
      <c r="U48" s="254">
        <f>T48*9.34*0.107</f>
        <v>0</v>
      </c>
    </row>
    <row r="49" spans="1:25" ht="48" thickTop="1" thickBot="1" x14ac:dyDescent="0.3">
      <c r="A49" s="289" t="s">
        <v>194</v>
      </c>
      <c r="B49" s="290">
        <f>AF40</f>
        <v>886.24203037917607</v>
      </c>
      <c r="C49" s="12"/>
      <c r="D49" s="289" t="s">
        <v>195</v>
      </c>
      <c r="E49" s="290">
        <f>AH40</f>
        <v>228.41317303705111</v>
      </c>
      <c r="F49" s="23"/>
      <c r="G49" s="289" t="s">
        <v>196</v>
      </c>
      <c r="H49" s="290">
        <f>AG40</f>
        <v>646.17714075069227</v>
      </c>
      <c r="I49" s="12"/>
      <c r="J49" s="12"/>
      <c r="K49" s="86"/>
      <c r="L49" s="12"/>
      <c r="M49" s="12"/>
      <c r="N49" s="12"/>
      <c r="O49" s="12"/>
      <c r="P49" s="12"/>
      <c r="Q49" s="12"/>
      <c r="R49" s="315" t="s">
        <v>152</v>
      </c>
      <c r="S49" s="316"/>
      <c r="T49" s="252">
        <f>$E$39+$K$39</f>
        <v>1949.3298736358688</v>
      </c>
      <c r="U49" s="254">
        <f>(T49*8.34*1.04)/45000</f>
        <v>0.37572683537706825</v>
      </c>
    </row>
    <row r="50" spans="1:25" ht="48" customHeight="1" thickTop="1" thickBot="1" x14ac:dyDescent="0.3">
      <c r="A50" s="289" t="s">
        <v>223</v>
      </c>
      <c r="B50" s="290">
        <f>SUM(E50+H50)</f>
        <v>903.92718744625711</v>
      </c>
      <c r="C50" s="12"/>
      <c r="D50" s="289" t="s">
        <v>224</v>
      </c>
      <c r="E50" s="290">
        <f>AE40</f>
        <v>231.90895889700775</v>
      </c>
      <c r="F50" s="23"/>
      <c r="G50" s="289" t="s">
        <v>225</v>
      </c>
      <c r="H50" s="290">
        <f>AD40</f>
        <v>672.01822854924933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604.29334471321044</v>
      </c>
      <c r="C51" s="12"/>
      <c r="D51" s="289" t="s">
        <v>188</v>
      </c>
      <c r="E51" s="292">
        <f>SUM(E44:E48)/E50</f>
        <v>1190.0939006698741</v>
      </c>
      <c r="F51" s="23"/>
      <c r="G51" s="289" t="s">
        <v>189</v>
      </c>
      <c r="H51" s="292">
        <f>SUM(H44:H48)/H50</f>
        <v>400.33887582890281</v>
      </c>
      <c r="I51" s="12"/>
      <c r="J51" s="12"/>
      <c r="K51" s="86"/>
      <c r="L51" s="12"/>
      <c r="M51" s="12"/>
      <c r="N51" s="12"/>
      <c r="O51" s="12"/>
      <c r="P51" s="12"/>
      <c r="Q51" s="12"/>
      <c r="R51" s="315" t="s">
        <v>153</v>
      </c>
      <c r="S51" s="316"/>
      <c r="T51" s="252">
        <f>$U$39+$V$39+$AB$39</f>
        <v>25047.161621577899</v>
      </c>
      <c r="U51" s="254">
        <f>T51/2000/8</f>
        <v>1.5654476013486187</v>
      </c>
    </row>
    <row r="52" spans="1:25" ht="47.25" customHeight="1" thickTop="1" thickBot="1" x14ac:dyDescent="0.3">
      <c r="A52" s="279" t="s">
        <v>191</v>
      </c>
      <c r="B52" s="292">
        <f>B51/1000</f>
        <v>0.60429334471321039</v>
      </c>
      <c r="C52" s="12"/>
      <c r="D52" s="279" t="s">
        <v>192</v>
      </c>
      <c r="E52" s="292">
        <f>E51/1000</f>
        <v>1.1900939006698741</v>
      </c>
      <c r="F52" s="370">
        <f>E44/E49</f>
        <v>429.24911600288596</v>
      </c>
      <c r="G52" s="279" t="s">
        <v>193</v>
      </c>
      <c r="H52" s="292">
        <f>H51/1000</f>
        <v>0.40033887582890282</v>
      </c>
      <c r="I52" s="370">
        <f>H44/H49</f>
        <v>145.93091949822951</v>
      </c>
      <c r="J52" s="12"/>
      <c r="K52" s="86"/>
      <c r="L52" s="12"/>
      <c r="M52" s="12"/>
      <c r="N52" s="12"/>
      <c r="O52" s="12"/>
      <c r="P52" s="12"/>
      <c r="Q52" s="12"/>
      <c r="R52" s="315" t="s">
        <v>154</v>
      </c>
      <c r="S52" s="316"/>
      <c r="T52" s="252">
        <f>$C$39+$J$39+$S$39+$T$39</f>
        <v>27387.479127581915</v>
      </c>
      <c r="U52" s="254">
        <f>(T52*8.34*1.4)/45000</f>
        <v>7.1061379176365875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5" t="s">
        <v>155</v>
      </c>
      <c r="S53" s="316"/>
      <c r="T53" s="252">
        <f>$H$39</f>
        <v>932.77819061776199</v>
      </c>
      <c r="U53" s="254">
        <f>(T53*8.34*1.135)/45000</f>
        <v>0.19621300165708161</v>
      </c>
    </row>
    <row r="54" spans="1:25" ht="48" customHeight="1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5" t="s">
        <v>156</v>
      </c>
      <c r="S54" s="316"/>
      <c r="T54" s="252">
        <f>$B$39+$I$39+$AC$39</f>
        <v>9123.7044394334207</v>
      </c>
      <c r="U54" s="254">
        <f>(T54*8.34*1.029*0.03)/3300</f>
        <v>0.71180321982360073</v>
      </c>
    </row>
    <row r="55" spans="1:25" ht="42.75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55222.867705730583</v>
      </c>
      <c r="U55" s="257">
        <f>(T55*1.54*8.34)/45000</f>
        <v>15.761342748118251</v>
      </c>
    </row>
    <row r="56" spans="1:25" ht="24" thickTop="1" x14ac:dyDescent="0.25">
      <c r="A56" s="668"/>
      <c r="B56" s="66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0"/>
      <c r="B57" s="67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6"/>
      <c r="B58" s="66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7"/>
      <c r="B59" s="66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6"/>
      <c r="B60" s="66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7"/>
      <c r="B61" s="667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</sheetData>
  <sheetProtection algorithmName="SHA-512" hashValue="WjE+evjfp0Rdp5VakCVqY41rfoO2/qVNoHb6s6lUgBtP6DEOTBJ3QsIedZsR8rGoojntvASz+4DrN45ulfw+4A==" saltValue="wE4Ckw4VCGr+TdFgFbZPcA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H76"/>
  <sheetViews>
    <sheetView topLeftCell="C44" zoomScale="75" zoomScaleNormal="75" workbookViewId="0">
      <selection activeCell="K50" sqref="K50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29.5703125" customWidth="1"/>
    <col min="5" max="5" width="26.42578125" bestFit="1" customWidth="1"/>
    <col min="6" max="6" width="16.7109375" customWidth="1"/>
    <col min="7" max="7" width="35.570312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3.42578125" bestFit="1" customWidth="1"/>
    <col min="37" max="40" width="18.85546875" bestFit="1" customWidth="1"/>
    <col min="41" max="41" width="23.42578125" bestFit="1" customWidth="1"/>
    <col min="42" max="45" width="18.85546875" bestFit="1" customWidth="1"/>
    <col min="46" max="47" width="20.42578125" customWidth="1"/>
  </cols>
  <sheetData>
    <row r="1" spans="1:60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60" ht="15" customHeight="1" x14ac:dyDescent="0.25">
      <c r="A2" s="1" t="s">
        <v>2</v>
      </c>
      <c r="B2" s="5"/>
      <c r="O2" s="4"/>
      <c r="P2" s="4"/>
      <c r="Q2" s="4"/>
      <c r="R2" s="4"/>
    </row>
    <row r="3" spans="1:60" ht="15.75" thickBot="1" x14ac:dyDescent="0.3">
      <c r="A3" s="6"/>
      <c r="BG3" t="s">
        <v>169</v>
      </c>
      <c r="BH3" s="258" t="s">
        <v>206</v>
      </c>
    </row>
    <row r="4" spans="1:60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</row>
    <row r="5" spans="1:60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60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60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60" x14ac:dyDescent="0.25">
      <c r="A8" s="11">
        <v>44075</v>
      </c>
      <c r="B8" s="49"/>
      <c r="C8" s="50">
        <v>79.674416851996611</v>
      </c>
      <c r="D8" s="50">
        <v>1010.339514541625</v>
      </c>
      <c r="E8" s="50">
        <v>18.630590730408819</v>
      </c>
      <c r="F8" s="50">
        <v>0</v>
      </c>
      <c r="G8" s="50">
        <v>2918.5037268320702</v>
      </c>
      <c r="H8" s="51">
        <v>30.153941490252887</v>
      </c>
      <c r="I8" s="49">
        <v>330.85599576632222</v>
      </c>
      <c r="J8" s="50">
        <v>880.50008850097788</v>
      </c>
      <c r="K8" s="50">
        <v>48.321949042876511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527.75197453230226</v>
      </c>
      <c r="V8" s="54">
        <v>165.03300488528345</v>
      </c>
      <c r="W8" s="54">
        <v>91.18461540504029</v>
      </c>
      <c r="X8" s="54">
        <v>28.514286645613737</v>
      </c>
      <c r="Y8" s="54">
        <v>683.17220187338705</v>
      </c>
      <c r="Z8" s="54">
        <v>213.63437139041849</v>
      </c>
      <c r="AA8" s="55">
        <v>0</v>
      </c>
      <c r="AB8" s="56">
        <v>158.47812432183156</v>
      </c>
      <c r="AC8" s="57">
        <v>0</v>
      </c>
      <c r="AD8" s="405">
        <v>23.730660061778181</v>
      </c>
      <c r="AE8" s="405">
        <v>7.497735671099627</v>
      </c>
      <c r="AF8" s="57">
        <v>30.170985447035886</v>
      </c>
      <c r="AG8" s="58">
        <v>22.738098940796281</v>
      </c>
      <c r="AH8" s="58">
        <v>7.1104173450113866</v>
      </c>
      <c r="AI8" s="58">
        <v>0.76178322309466884</v>
      </c>
      <c r="AJ8" s="57">
        <v>217.8944910049438</v>
      </c>
      <c r="AK8" s="57">
        <v>802.07981897989907</v>
      </c>
      <c r="AL8" s="57">
        <v>2876.7544101715089</v>
      </c>
      <c r="AM8" s="57">
        <v>545.0064697265625</v>
      </c>
      <c r="AN8" s="57">
        <v>6063.847412109375</v>
      </c>
      <c r="AO8" s="57">
        <v>2586.6717563629154</v>
      </c>
      <c r="AP8" s="57">
        <v>498.42838888168325</v>
      </c>
      <c r="AQ8" s="57">
        <v>4114.6435670216879</v>
      </c>
      <c r="AR8" s="57">
        <v>427.80283441543571</v>
      </c>
      <c r="AS8" s="57">
        <v>733.27683172225966</v>
      </c>
    </row>
    <row r="9" spans="1:60" x14ac:dyDescent="0.25">
      <c r="A9" s="11">
        <v>44076</v>
      </c>
      <c r="B9" s="59"/>
      <c r="C9" s="60">
        <v>79.082999753951896</v>
      </c>
      <c r="D9" s="60">
        <v>1007.3916757583629</v>
      </c>
      <c r="E9" s="60">
        <v>18.520359932879657</v>
      </c>
      <c r="F9" s="60">
        <v>0</v>
      </c>
      <c r="G9" s="60">
        <v>2920.5596597035728</v>
      </c>
      <c r="H9" s="61">
        <v>29.988694971799916</v>
      </c>
      <c r="I9" s="59">
        <v>330.30504935582508</v>
      </c>
      <c r="J9" s="60">
        <v>880.34260864257851</v>
      </c>
      <c r="K9" s="60">
        <v>48.325398460030542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534.72632542056783</v>
      </c>
      <c r="V9" s="62">
        <v>172.48171553741216</v>
      </c>
      <c r="W9" s="62">
        <v>92.712590350613027</v>
      </c>
      <c r="X9" s="62">
        <v>29.905441111420487</v>
      </c>
      <c r="Y9" s="66">
        <v>701.99930953144667</v>
      </c>
      <c r="Z9" s="66">
        <v>226.43741192063143</v>
      </c>
      <c r="AA9" s="67">
        <v>0</v>
      </c>
      <c r="AB9" s="68">
        <v>158.25308536953401</v>
      </c>
      <c r="AC9" s="69">
        <v>0</v>
      </c>
      <c r="AD9" s="406">
        <v>23.720410959692124</v>
      </c>
      <c r="AE9" s="406">
        <v>7.4764011876555125</v>
      </c>
      <c r="AF9" s="69">
        <v>30.725115213129307</v>
      </c>
      <c r="AG9" s="68">
        <v>22.963788404300697</v>
      </c>
      <c r="AH9" s="68">
        <v>7.4072164225254484</v>
      </c>
      <c r="AI9" s="68">
        <v>0.75610894454230271</v>
      </c>
      <c r="AJ9" s="69">
        <v>219.8171748161316</v>
      </c>
      <c r="AK9" s="69">
        <v>804.78605222702015</v>
      </c>
      <c r="AL9" s="69">
        <v>2977.6707651774091</v>
      </c>
      <c r="AM9" s="69">
        <v>545.0064697265625</v>
      </c>
      <c r="AN9" s="69">
        <v>6063.847412109375</v>
      </c>
      <c r="AO9" s="69">
        <v>2629.3332052866613</v>
      </c>
      <c r="AP9" s="69">
        <v>495.5477396647135</v>
      </c>
      <c r="AQ9" s="69">
        <v>4191.5480130513506</v>
      </c>
      <c r="AR9" s="69">
        <v>434.28603280385329</v>
      </c>
      <c r="AS9" s="69">
        <v>813.17877353032418</v>
      </c>
    </row>
    <row r="10" spans="1:60" x14ac:dyDescent="0.25">
      <c r="A10" s="11">
        <v>44077</v>
      </c>
      <c r="B10" s="59"/>
      <c r="C10" s="60">
        <v>79.651090594132697</v>
      </c>
      <c r="D10" s="60">
        <v>1012.5488761266042</v>
      </c>
      <c r="E10" s="60">
        <v>18.606130963067251</v>
      </c>
      <c r="F10" s="60">
        <v>0</v>
      </c>
      <c r="G10" s="60">
        <v>2920.5840526580801</v>
      </c>
      <c r="H10" s="61">
        <v>30.07569679021838</v>
      </c>
      <c r="I10" s="59">
        <v>329.62384618123423</v>
      </c>
      <c r="J10" s="60">
        <v>844.6381137847892</v>
      </c>
      <c r="K10" s="60">
        <v>46.40940003891788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519.76539799963507</v>
      </c>
      <c r="V10" s="62">
        <v>175.74732672842021</v>
      </c>
      <c r="W10" s="62">
        <v>91.56606617130366</v>
      </c>
      <c r="X10" s="62">
        <v>30.961067070985642</v>
      </c>
      <c r="Y10" s="66">
        <v>689.7801434113677</v>
      </c>
      <c r="Z10" s="66">
        <v>233.23410273451734</v>
      </c>
      <c r="AA10" s="67">
        <v>0</v>
      </c>
      <c r="AB10" s="68">
        <v>153.54812756644611</v>
      </c>
      <c r="AC10" s="69">
        <v>0</v>
      </c>
      <c r="AD10" s="406">
        <v>22.766788075843749</v>
      </c>
      <c r="AE10" s="406">
        <v>7.4953483534622816</v>
      </c>
      <c r="AF10" s="69">
        <v>29.746870533625255</v>
      </c>
      <c r="AG10" s="68">
        <v>21.964287821665415</v>
      </c>
      <c r="AH10" s="68">
        <v>7.4267446101789218</v>
      </c>
      <c r="AI10" s="68">
        <v>0.74731256455856043</v>
      </c>
      <c r="AJ10" s="69">
        <v>226.25195352236432</v>
      </c>
      <c r="AK10" s="69">
        <v>823.03480332692459</v>
      </c>
      <c r="AL10" s="69">
        <v>3227.1822652180986</v>
      </c>
      <c r="AM10" s="69">
        <v>545.0064697265625</v>
      </c>
      <c r="AN10" s="69">
        <v>6063.847412109375</v>
      </c>
      <c r="AO10" s="69">
        <v>2640.3463634490972</v>
      </c>
      <c r="AP10" s="69">
        <v>504.90023918151849</v>
      </c>
      <c r="AQ10" s="69">
        <v>3962.9928768157961</v>
      </c>
      <c r="AR10" s="69">
        <v>433.96988080342624</v>
      </c>
      <c r="AS10" s="69">
        <v>821.69568252563477</v>
      </c>
    </row>
    <row r="11" spans="1:60" x14ac:dyDescent="0.25">
      <c r="A11" s="11">
        <v>44078</v>
      </c>
      <c r="B11" s="59"/>
      <c r="C11" s="60">
        <v>79.069477820395974</v>
      </c>
      <c r="D11" s="60">
        <v>1011.8462315877269</v>
      </c>
      <c r="E11" s="60">
        <v>18.689679781595849</v>
      </c>
      <c r="F11" s="60">
        <v>0</v>
      </c>
      <c r="G11" s="60">
        <v>2793.6584440867127</v>
      </c>
      <c r="H11" s="61">
        <v>30.067670559883165</v>
      </c>
      <c r="I11" s="59">
        <v>334.63929910659834</v>
      </c>
      <c r="J11" s="60">
        <v>824.4754123051963</v>
      </c>
      <c r="K11" s="60">
        <v>45.255999185641656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508.81268068335322</v>
      </c>
      <c r="V11" s="62">
        <v>175.41360525109403</v>
      </c>
      <c r="W11" s="62">
        <v>89.56682283065345</v>
      </c>
      <c r="X11" s="62">
        <v>30.878238495373537</v>
      </c>
      <c r="Y11" s="66">
        <v>662.18368423090965</v>
      </c>
      <c r="Z11" s="66">
        <v>228.28838941945054</v>
      </c>
      <c r="AA11" s="67">
        <v>0</v>
      </c>
      <c r="AB11" s="68">
        <v>150.75033874511968</v>
      </c>
      <c r="AC11" s="69">
        <v>0</v>
      </c>
      <c r="AD11" s="406">
        <v>22.222626961171322</v>
      </c>
      <c r="AE11" s="406">
        <v>7.4873855556817253</v>
      </c>
      <c r="AF11" s="69">
        <v>29.278314363956419</v>
      </c>
      <c r="AG11" s="68">
        <v>21.509774488783513</v>
      </c>
      <c r="AH11" s="68">
        <v>7.4155130845955126</v>
      </c>
      <c r="AI11" s="68">
        <v>0.74363217424257266</v>
      </c>
      <c r="AJ11" s="69">
        <v>236.21316083272299</v>
      </c>
      <c r="AK11" s="69">
        <v>831.2073252360027</v>
      </c>
      <c r="AL11" s="69">
        <v>2992.9675422668456</v>
      </c>
      <c r="AM11" s="69">
        <v>545.0064697265625</v>
      </c>
      <c r="AN11" s="69">
        <v>6063.847412109375</v>
      </c>
      <c r="AO11" s="69">
        <v>2599.4404624938966</v>
      </c>
      <c r="AP11" s="69">
        <v>513.16699344317112</v>
      </c>
      <c r="AQ11" s="69">
        <v>3883.1736481984453</v>
      </c>
      <c r="AR11" s="69">
        <v>437.87562004725135</v>
      </c>
      <c r="AS11" s="69">
        <v>790.51531934738148</v>
      </c>
    </row>
    <row r="12" spans="1:60" x14ac:dyDescent="0.25">
      <c r="A12" s="11">
        <v>44079</v>
      </c>
      <c r="B12" s="59"/>
      <c r="C12" s="60">
        <v>78.366368977228973</v>
      </c>
      <c r="D12" s="60">
        <v>1011.8086287816348</v>
      </c>
      <c r="E12" s="60">
        <v>18.933894665539256</v>
      </c>
      <c r="F12" s="60">
        <v>0</v>
      </c>
      <c r="G12" s="60">
        <v>2632.6403634389249</v>
      </c>
      <c r="H12" s="61">
        <v>29.9611573716005</v>
      </c>
      <c r="I12" s="59">
        <v>330.37396704355899</v>
      </c>
      <c r="J12" s="60">
        <v>823.35434068044094</v>
      </c>
      <c r="K12" s="60">
        <v>45.199538865685511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508.5891747354126</v>
      </c>
      <c r="V12" s="62">
        <v>176.29304612623051</v>
      </c>
      <c r="W12" s="62">
        <v>89.399267945934767</v>
      </c>
      <c r="X12" s="62">
        <v>30.988605441401919</v>
      </c>
      <c r="Y12" s="66">
        <v>661.64182243511254</v>
      </c>
      <c r="Z12" s="66">
        <v>229.34592027500105</v>
      </c>
      <c r="AA12" s="67">
        <v>0</v>
      </c>
      <c r="AB12" s="68">
        <v>150.78080042733319</v>
      </c>
      <c r="AC12" s="69">
        <v>0</v>
      </c>
      <c r="AD12" s="406">
        <v>22.188498246113788</v>
      </c>
      <c r="AE12" s="406">
        <v>7.4872767129987672</v>
      </c>
      <c r="AF12" s="69">
        <v>29.28037761847175</v>
      </c>
      <c r="AG12" s="68">
        <v>21.503693216036957</v>
      </c>
      <c r="AH12" s="68">
        <v>7.4538581793277645</v>
      </c>
      <c r="AI12" s="68">
        <v>0.74259363032604631</v>
      </c>
      <c r="AJ12" s="69">
        <v>223.37990523974099</v>
      </c>
      <c r="AK12" s="69">
        <v>834.56862805684398</v>
      </c>
      <c r="AL12" s="69">
        <v>4002.17827428182</v>
      </c>
      <c r="AM12" s="69">
        <v>545.0064697265625</v>
      </c>
      <c r="AN12" s="69">
        <v>6063.847412109375</v>
      </c>
      <c r="AO12" s="69">
        <v>2581.8007574717203</v>
      </c>
      <c r="AP12" s="69">
        <v>528.34221711158762</v>
      </c>
      <c r="AQ12" s="69">
        <v>3953.8600550333663</v>
      </c>
      <c r="AR12" s="69">
        <v>454.98940496444703</v>
      </c>
      <c r="AS12" s="69">
        <v>934.52080014546721</v>
      </c>
    </row>
    <row r="13" spans="1:60" x14ac:dyDescent="0.25">
      <c r="A13" s="11">
        <v>44080</v>
      </c>
      <c r="B13" s="59"/>
      <c r="C13" s="60">
        <v>78.837190886338746</v>
      </c>
      <c r="D13" s="60">
        <v>1011.9022680918374</v>
      </c>
      <c r="E13" s="60">
        <v>19.291183233261116</v>
      </c>
      <c r="F13" s="60">
        <v>0</v>
      </c>
      <c r="G13" s="60">
        <v>2631.5449681599985</v>
      </c>
      <c r="H13" s="61">
        <v>30.074198323488275</v>
      </c>
      <c r="I13" s="59">
        <v>330.07629707654348</v>
      </c>
      <c r="J13" s="60">
        <v>822.9188000996902</v>
      </c>
      <c r="K13" s="60">
        <v>45.156829907496871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511.53784503639611</v>
      </c>
      <c r="V13" s="62">
        <v>176.53388670052584</v>
      </c>
      <c r="W13" s="62">
        <v>89.448048717241448</v>
      </c>
      <c r="X13" s="62">
        <v>30.868902176160812</v>
      </c>
      <c r="Y13" s="66">
        <v>652.71642273067744</v>
      </c>
      <c r="Z13" s="66">
        <v>225.25521451831494</v>
      </c>
      <c r="AA13" s="67">
        <v>0</v>
      </c>
      <c r="AB13" s="68">
        <v>150.67678168614933</v>
      </c>
      <c r="AC13" s="69">
        <v>0</v>
      </c>
      <c r="AD13" s="406">
        <v>22.174048619004026</v>
      </c>
      <c r="AE13" s="406">
        <v>7.4877727284194195</v>
      </c>
      <c r="AF13" s="69">
        <v>29.433215206199222</v>
      </c>
      <c r="AG13" s="68">
        <v>21.634380753400414</v>
      </c>
      <c r="AH13" s="68">
        <v>7.4661168431928813</v>
      </c>
      <c r="AI13" s="68">
        <v>0.74343679799939522</v>
      </c>
      <c r="AJ13" s="69">
        <v>223.5492528915405</v>
      </c>
      <c r="AK13" s="69">
        <v>848.9526819547018</v>
      </c>
      <c r="AL13" s="69">
        <v>3107.6590426127118</v>
      </c>
      <c r="AM13" s="69">
        <v>545.0064697265625</v>
      </c>
      <c r="AN13" s="69">
        <v>6063.847412109375</v>
      </c>
      <c r="AO13" s="69">
        <v>2638.7079593658445</v>
      </c>
      <c r="AP13" s="69">
        <v>545.78457086881008</v>
      </c>
      <c r="AQ13" s="69">
        <v>4063.8995788574221</v>
      </c>
      <c r="AR13" s="69">
        <v>477.18628409703575</v>
      </c>
      <c r="AS13" s="69">
        <v>888.78701019287098</v>
      </c>
    </row>
    <row r="14" spans="1:60" x14ac:dyDescent="0.25">
      <c r="A14" s="11">
        <v>44081</v>
      </c>
      <c r="B14" s="59"/>
      <c r="C14" s="60">
        <v>78.723008477687813</v>
      </c>
      <c r="D14" s="60">
        <v>1012.0567284266135</v>
      </c>
      <c r="E14" s="60">
        <v>18.602638854086376</v>
      </c>
      <c r="F14" s="60">
        <v>0</v>
      </c>
      <c r="G14" s="60">
        <v>2695.9288294474304</v>
      </c>
      <c r="H14" s="61">
        <v>30.172490431865175</v>
      </c>
      <c r="I14" s="59">
        <v>327.93034033775382</v>
      </c>
      <c r="J14" s="60">
        <v>808.72473656336365</v>
      </c>
      <c r="K14" s="60">
        <v>44.416496358315221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498.44615417563028</v>
      </c>
      <c r="V14" s="62">
        <v>174.91886583457355</v>
      </c>
      <c r="W14" s="62">
        <v>85.167982320467146</v>
      </c>
      <c r="X14" s="62">
        <v>29.887855986277533</v>
      </c>
      <c r="Y14" s="66">
        <v>640.38255783304464</v>
      </c>
      <c r="Z14" s="66">
        <v>224.72836790497186</v>
      </c>
      <c r="AA14" s="67">
        <v>0</v>
      </c>
      <c r="AB14" s="68">
        <v>148.74314815733331</v>
      </c>
      <c r="AC14" s="69">
        <v>0</v>
      </c>
      <c r="AD14" s="406">
        <v>21.792282605889579</v>
      </c>
      <c r="AE14" s="406">
        <v>7.4887997688181569</v>
      </c>
      <c r="AF14" s="69">
        <v>29.068177514606067</v>
      </c>
      <c r="AG14" s="68">
        <v>21.28090534220987</v>
      </c>
      <c r="AH14" s="68">
        <v>7.468072118138255</v>
      </c>
      <c r="AI14" s="68">
        <v>0.74023173073064752</v>
      </c>
      <c r="AJ14" s="69">
        <v>228.36563016573589</v>
      </c>
      <c r="AK14" s="69">
        <v>838.13370552062975</v>
      </c>
      <c r="AL14" s="69">
        <v>2935.1474194844563</v>
      </c>
      <c r="AM14" s="69">
        <v>545.0064697265625</v>
      </c>
      <c r="AN14" s="69">
        <v>6063.847412109375</v>
      </c>
      <c r="AO14" s="69">
        <v>2805.109734598796</v>
      </c>
      <c r="AP14" s="69">
        <v>533.6646045049032</v>
      </c>
      <c r="AQ14" s="69">
        <v>3982.930049387614</v>
      </c>
      <c r="AR14" s="69">
        <v>448.15743392308553</v>
      </c>
      <c r="AS14" s="69">
        <v>764.16344305674227</v>
      </c>
    </row>
    <row r="15" spans="1:60" x14ac:dyDescent="0.25">
      <c r="A15" s="11">
        <v>44082</v>
      </c>
      <c r="B15" s="59"/>
      <c r="C15" s="60">
        <v>78.611389513810153</v>
      </c>
      <c r="D15" s="60">
        <v>1011.3104906082144</v>
      </c>
      <c r="E15" s="60">
        <v>18.476158197224148</v>
      </c>
      <c r="F15" s="60">
        <v>0</v>
      </c>
      <c r="G15" s="60">
        <v>2706.8287618001318</v>
      </c>
      <c r="H15" s="61">
        <v>29.980294646819537</v>
      </c>
      <c r="I15" s="59">
        <v>265.04260975519753</v>
      </c>
      <c r="J15" s="60">
        <v>609.77739553451499</v>
      </c>
      <c r="K15" s="60">
        <v>33.494224058588344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380.22870342933209</v>
      </c>
      <c r="V15" s="62">
        <v>170.47202649179428</v>
      </c>
      <c r="W15" s="62">
        <v>63.910982488631653</v>
      </c>
      <c r="X15" s="62">
        <v>28.653898565928561</v>
      </c>
      <c r="Y15" s="66">
        <v>469.40023833254008</v>
      </c>
      <c r="Z15" s="66">
        <v>210.45126036664792</v>
      </c>
      <c r="AA15" s="67">
        <v>0</v>
      </c>
      <c r="AB15" s="68">
        <v>121.70636107656505</v>
      </c>
      <c r="AC15" s="69">
        <v>0</v>
      </c>
      <c r="AD15" s="406">
        <v>16.429836912854753</v>
      </c>
      <c r="AE15" s="406">
        <v>7.4826933636995294</v>
      </c>
      <c r="AF15" s="69">
        <v>23.3553092579047</v>
      </c>
      <c r="AG15" s="68">
        <v>15.927316493663229</v>
      </c>
      <c r="AH15" s="68">
        <v>7.1408652076041408</v>
      </c>
      <c r="AI15" s="68">
        <v>0.69044525051526628</v>
      </c>
      <c r="AJ15" s="69">
        <v>267.73667794863377</v>
      </c>
      <c r="AK15" s="69">
        <v>844.17011165618896</v>
      </c>
      <c r="AL15" s="69">
        <v>2908.3728017171225</v>
      </c>
      <c r="AM15" s="69">
        <v>545.0064697265625</v>
      </c>
      <c r="AN15" s="69">
        <v>6063.847412109375</v>
      </c>
      <c r="AO15" s="69">
        <v>2491.0644794464106</v>
      </c>
      <c r="AP15" s="69">
        <v>502.04629319508865</v>
      </c>
      <c r="AQ15" s="69">
        <v>3195.5633876800539</v>
      </c>
      <c r="AR15" s="69">
        <v>436.13996798197422</v>
      </c>
      <c r="AS15" s="69">
        <v>509.59537471135462</v>
      </c>
    </row>
    <row r="16" spans="1:60" x14ac:dyDescent="0.25">
      <c r="A16" s="11">
        <v>44083</v>
      </c>
      <c r="B16" s="49"/>
      <c r="C16" s="50">
        <v>78.781283529600032</v>
      </c>
      <c r="D16" s="50">
        <v>1009.2964677174903</v>
      </c>
      <c r="E16" s="60">
        <v>18.61136577427385</v>
      </c>
      <c r="F16" s="50">
        <v>0</v>
      </c>
      <c r="G16" s="50">
        <v>2704.001699829098</v>
      </c>
      <c r="H16" s="51">
        <v>30.043343051274604</v>
      </c>
      <c r="I16" s="49">
        <v>237.84652784665386</v>
      </c>
      <c r="J16" s="50">
        <v>553.35356000264505</v>
      </c>
      <c r="K16" s="50">
        <v>30.315638868014009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338.48501052747622</v>
      </c>
      <c r="V16" s="66">
        <v>176.24924549635273</v>
      </c>
      <c r="W16" s="62">
        <v>55.040333703212895</v>
      </c>
      <c r="X16" s="62">
        <v>28.659518103745668</v>
      </c>
      <c r="Y16" s="66">
        <v>381.80911219056912</v>
      </c>
      <c r="Z16" s="66">
        <v>198.80811809761843</v>
      </c>
      <c r="AA16" s="67">
        <v>0</v>
      </c>
      <c r="AB16" s="68">
        <v>114.03103826310718</v>
      </c>
      <c r="AC16" s="69">
        <v>0</v>
      </c>
      <c r="AD16" s="406">
        <v>14.913928821481202</v>
      </c>
      <c r="AE16" s="406">
        <v>7.4880956500791926</v>
      </c>
      <c r="AF16" s="69">
        <v>21.489359742403032</v>
      </c>
      <c r="AG16" s="68">
        <v>13.959272553011878</v>
      </c>
      <c r="AH16" s="68">
        <v>7.2685973636240986</v>
      </c>
      <c r="AI16" s="68">
        <v>0.65759177005659886</v>
      </c>
      <c r="AJ16" s="69">
        <v>270.50541927019754</v>
      </c>
      <c r="AK16" s="69">
        <v>841.15706507364916</v>
      </c>
      <c r="AL16" s="69">
        <v>2749.9893193562821</v>
      </c>
      <c r="AM16" s="69">
        <v>545.0064697265625</v>
      </c>
      <c r="AN16" s="69">
        <v>6063.847412109375</v>
      </c>
      <c r="AO16" s="69">
        <v>2674.0405363718669</v>
      </c>
      <c r="AP16" s="69">
        <v>618.35172675450644</v>
      </c>
      <c r="AQ16" s="69">
        <v>3052.4352494557693</v>
      </c>
      <c r="AR16" s="69">
        <v>469.79349438349408</v>
      </c>
      <c r="AS16" s="69">
        <v>520.46665255228675</v>
      </c>
    </row>
    <row r="17" spans="1:45" x14ac:dyDescent="0.25">
      <c r="A17" s="11">
        <v>44084</v>
      </c>
      <c r="B17" s="59"/>
      <c r="C17" s="60">
        <v>79.178625563780813</v>
      </c>
      <c r="D17" s="60">
        <v>1008.1716285705565</v>
      </c>
      <c r="E17" s="60">
        <v>18.397246584792935</v>
      </c>
      <c r="F17" s="60">
        <v>0</v>
      </c>
      <c r="G17" s="60">
        <v>2681.2194384256968</v>
      </c>
      <c r="H17" s="61">
        <v>30.050530753533113</v>
      </c>
      <c r="I17" s="59">
        <v>212.96950473785427</v>
      </c>
      <c r="J17" s="60">
        <v>553.18717559178594</v>
      </c>
      <c r="K17" s="60">
        <v>30.243383549650531</v>
      </c>
      <c r="L17" s="50">
        <v>0</v>
      </c>
      <c r="M17" s="5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357.35588215641479</v>
      </c>
      <c r="V17" s="62">
        <v>178.97423602290479</v>
      </c>
      <c r="W17" s="62">
        <v>57.972863971571051</v>
      </c>
      <c r="X17" s="62">
        <v>29.034499101459556</v>
      </c>
      <c r="Y17" s="66">
        <v>391.57491380507327</v>
      </c>
      <c r="Z17" s="66">
        <v>196.11212391719621</v>
      </c>
      <c r="AA17" s="67">
        <v>0</v>
      </c>
      <c r="AB17" s="68">
        <v>113.98024396896176</v>
      </c>
      <c r="AC17" s="69">
        <v>0</v>
      </c>
      <c r="AD17" s="406">
        <v>14.906223615445333</v>
      </c>
      <c r="AE17" s="406">
        <v>7.4813891373167731</v>
      </c>
      <c r="AF17" s="69">
        <v>21.828989077276642</v>
      </c>
      <c r="AG17" s="68">
        <v>14.368020558960851</v>
      </c>
      <c r="AH17" s="68">
        <v>7.1959232549468961</v>
      </c>
      <c r="AI17" s="68">
        <v>0.66629836744863624</v>
      </c>
      <c r="AJ17" s="69">
        <v>257.13720482190456</v>
      </c>
      <c r="AK17" s="69">
        <v>827.72450548807797</v>
      </c>
      <c r="AL17" s="69">
        <v>2830.9961171468099</v>
      </c>
      <c r="AM17" s="69">
        <v>545.0064697265625</v>
      </c>
      <c r="AN17" s="69">
        <v>6063.847412109375</v>
      </c>
      <c r="AO17" s="69">
        <v>2651.850095494588</v>
      </c>
      <c r="AP17" s="69">
        <v>606.4556683540344</v>
      </c>
      <c r="AQ17" s="69">
        <v>3040.6541505177815</v>
      </c>
      <c r="AR17" s="69">
        <v>441.0822388966879</v>
      </c>
      <c r="AS17" s="69">
        <v>535.92639436721799</v>
      </c>
    </row>
    <row r="18" spans="1:45" x14ac:dyDescent="0.25">
      <c r="A18" s="11">
        <v>44085</v>
      </c>
      <c r="B18" s="59"/>
      <c r="C18" s="60">
        <v>79.381850417454871</v>
      </c>
      <c r="D18" s="60">
        <v>1007.4132518132527</v>
      </c>
      <c r="E18" s="60">
        <v>18.350481877724352</v>
      </c>
      <c r="F18" s="60">
        <v>0</v>
      </c>
      <c r="G18" s="60">
        <v>2680.8207146962491</v>
      </c>
      <c r="H18" s="61">
        <v>30.01753572523603</v>
      </c>
      <c r="I18" s="59">
        <v>225.45122847557042</v>
      </c>
      <c r="J18" s="60">
        <v>554.03540697097753</v>
      </c>
      <c r="K18" s="60">
        <v>30.528250941634148</v>
      </c>
      <c r="L18" s="50">
        <v>0</v>
      </c>
      <c r="M18" s="5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348.70535688295104</v>
      </c>
      <c r="V18" s="62">
        <v>182.36001651656923</v>
      </c>
      <c r="W18" s="62">
        <v>56.662443718871337</v>
      </c>
      <c r="X18" s="62">
        <v>29.632364311257167</v>
      </c>
      <c r="Y18" s="66">
        <v>381.39313637401068</v>
      </c>
      <c r="Z18" s="66">
        <v>199.45451733285725</v>
      </c>
      <c r="AA18" s="67">
        <v>0</v>
      </c>
      <c r="AB18" s="68">
        <v>114.15290123091555</v>
      </c>
      <c r="AC18" s="69">
        <v>0</v>
      </c>
      <c r="AD18" s="406">
        <v>14.930803224858682</v>
      </c>
      <c r="AE18" s="406">
        <v>7.4767920714208582</v>
      </c>
      <c r="AF18" s="69">
        <v>21.642255348629419</v>
      </c>
      <c r="AG18" s="68">
        <v>14.02365710789433</v>
      </c>
      <c r="AH18" s="68">
        <v>7.3338544743857597</v>
      </c>
      <c r="AI18" s="68">
        <v>0.65661474904826855</v>
      </c>
      <c r="AJ18" s="69">
        <v>241.00731515884399</v>
      </c>
      <c r="AK18" s="69">
        <v>815.77253004709894</v>
      </c>
      <c r="AL18" s="69">
        <v>2824.0362653096518</v>
      </c>
      <c r="AM18" s="69">
        <v>545.0064697265625</v>
      </c>
      <c r="AN18" s="69">
        <v>6063.847412109375</v>
      </c>
      <c r="AO18" s="69">
        <v>2628.9555447896323</v>
      </c>
      <c r="AP18" s="69">
        <v>539.59294230143223</v>
      </c>
      <c r="AQ18" s="69">
        <v>3062.9818439483647</v>
      </c>
      <c r="AR18" s="69">
        <v>418.39724295934036</v>
      </c>
      <c r="AS18" s="69">
        <v>630.11942310333257</v>
      </c>
    </row>
    <row r="19" spans="1:45" x14ac:dyDescent="0.25">
      <c r="A19" s="11">
        <v>44086</v>
      </c>
      <c r="B19" s="59"/>
      <c r="C19" s="60">
        <v>79.15890935262037</v>
      </c>
      <c r="D19" s="60">
        <v>1008.2396383921298</v>
      </c>
      <c r="E19" s="60">
        <v>18.34175143241885</v>
      </c>
      <c r="F19" s="60">
        <v>0</v>
      </c>
      <c r="G19" s="60">
        <v>2680.3231091817238</v>
      </c>
      <c r="H19" s="61">
        <v>30.084150528907859</v>
      </c>
      <c r="I19" s="59">
        <v>276.52376009623225</v>
      </c>
      <c r="J19" s="60">
        <v>556.39496291478508</v>
      </c>
      <c r="K19" s="60">
        <v>30.429397533337223</v>
      </c>
      <c r="L19" s="50">
        <v>0</v>
      </c>
      <c r="M19" s="5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356.73875664746254</v>
      </c>
      <c r="V19" s="62">
        <v>184.48993981537933</v>
      </c>
      <c r="W19" s="62">
        <v>58.413523765148646</v>
      </c>
      <c r="X19" s="62">
        <v>30.208961832779767</v>
      </c>
      <c r="Y19" s="66">
        <v>359.1090904786036</v>
      </c>
      <c r="Z19" s="66">
        <v>185.71577451290207</v>
      </c>
      <c r="AA19" s="67">
        <v>0</v>
      </c>
      <c r="AB19" s="68">
        <v>114.30123294724102</v>
      </c>
      <c r="AC19" s="69">
        <v>0</v>
      </c>
      <c r="AD19" s="406">
        <v>14.992027410183393</v>
      </c>
      <c r="AE19" s="406">
        <v>7.4822285160104345</v>
      </c>
      <c r="AF19" s="69">
        <v>22.087577715847225</v>
      </c>
      <c r="AG19" s="68">
        <v>14.333168093728592</v>
      </c>
      <c r="AH19" s="68">
        <v>7.4124979966471276</v>
      </c>
      <c r="AI19" s="68">
        <v>0.65912757209457107</v>
      </c>
      <c r="AJ19" s="69">
        <v>239.98019706408184</v>
      </c>
      <c r="AK19" s="69">
        <v>814.08817869822178</v>
      </c>
      <c r="AL19" s="69">
        <v>3207.8298266092934</v>
      </c>
      <c r="AM19" s="69">
        <v>545.0064697265625</v>
      </c>
      <c r="AN19" s="69">
        <v>6063.847412109375</v>
      </c>
      <c r="AO19" s="69">
        <v>2507.4171048482258</v>
      </c>
      <c r="AP19" s="69">
        <v>480.11258811950682</v>
      </c>
      <c r="AQ19" s="69">
        <v>3092.9490336100262</v>
      </c>
      <c r="AR19" s="69">
        <v>421.75464998881017</v>
      </c>
      <c r="AS19" s="69">
        <v>681.37876736323039</v>
      </c>
    </row>
    <row r="20" spans="1:45" x14ac:dyDescent="0.25">
      <c r="A20" s="11">
        <v>44087</v>
      </c>
      <c r="B20" s="59"/>
      <c r="C20" s="60">
        <v>79.226223119098435</v>
      </c>
      <c r="D20" s="60">
        <v>1007.8402309417739</v>
      </c>
      <c r="E20" s="60">
        <v>18.432717987895007</v>
      </c>
      <c r="F20" s="60">
        <v>0</v>
      </c>
      <c r="G20" s="60">
        <v>2675.3611423492439</v>
      </c>
      <c r="H20" s="61">
        <v>30.105036958058729</v>
      </c>
      <c r="I20" s="59">
        <v>333.8691887299222</v>
      </c>
      <c r="J20" s="60">
        <v>613.56908753712855</v>
      </c>
      <c r="K20" s="60">
        <v>33.611339360475547</v>
      </c>
      <c r="L20" s="50">
        <v>0</v>
      </c>
      <c r="M20" s="5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360.32986088436849</v>
      </c>
      <c r="V20" s="62">
        <v>181.33760898799986</v>
      </c>
      <c r="W20" s="62">
        <v>59.118951569861238</v>
      </c>
      <c r="X20" s="62">
        <v>29.751875954006078</v>
      </c>
      <c r="Y20" s="66">
        <v>360.82240259345622</v>
      </c>
      <c r="Z20" s="66">
        <v>181.58548279905074</v>
      </c>
      <c r="AA20" s="67">
        <v>0</v>
      </c>
      <c r="AB20" s="68">
        <v>116.86622789700843</v>
      </c>
      <c r="AC20" s="69">
        <v>0</v>
      </c>
      <c r="AD20" s="406">
        <v>15.532872646308112</v>
      </c>
      <c r="AE20" s="406">
        <v>7.4792321795607908</v>
      </c>
      <c r="AF20" s="69">
        <v>22.209677108128837</v>
      </c>
      <c r="AG20" s="68">
        <v>14.539683672018169</v>
      </c>
      <c r="AH20" s="68">
        <v>7.3171606318015678</v>
      </c>
      <c r="AI20" s="68">
        <v>0.66522337213507032</v>
      </c>
      <c r="AJ20" s="69">
        <v>241.96395053863523</v>
      </c>
      <c r="AK20" s="69">
        <v>837.88730465571086</v>
      </c>
      <c r="AL20" s="69">
        <v>3267.5146905263264</v>
      </c>
      <c r="AM20" s="69">
        <v>545.0064697265625</v>
      </c>
      <c r="AN20" s="69">
        <v>6063.847412109375</v>
      </c>
      <c r="AO20" s="69">
        <v>2419.5261600494382</v>
      </c>
      <c r="AP20" s="69">
        <v>472.42816902796415</v>
      </c>
      <c r="AQ20" s="69">
        <v>3018.8390357971189</v>
      </c>
      <c r="AR20" s="69">
        <v>424.15074504216511</v>
      </c>
      <c r="AS20" s="69">
        <v>714.15403566360453</v>
      </c>
    </row>
    <row r="21" spans="1:45" x14ac:dyDescent="0.25">
      <c r="A21" s="11">
        <v>44088</v>
      </c>
      <c r="B21" s="59"/>
      <c r="C21" s="60">
        <v>79.079068593184175</v>
      </c>
      <c r="D21" s="60">
        <v>1008.7090292612709</v>
      </c>
      <c r="E21" s="60">
        <v>18.693020306030938</v>
      </c>
      <c r="F21" s="60">
        <v>0</v>
      </c>
      <c r="G21" s="60">
        <v>2640.1392250061085</v>
      </c>
      <c r="H21" s="61">
        <v>30.022118677695616</v>
      </c>
      <c r="I21" s="59">
        <v>382.1863441467284</v>
      </c>
      <c r="J21" s="60">
        <v>691.14344342549657</v>
      </c>
      <c r="K21" s="60">
        <v>37.923626087109227</v>
      </c>
      <c r="L21" s="50">
        <v>0</v>
      </c>
      <c r="M21" s="5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394.5102080988197</v>
      </c>
      <c r="V21" s="62">
        <v>179.34165023095602</v>
      </c>
      <c r="W21" s="62">
        <v>65.106748855674411</v>
      </c>
      <c r="X21" s="62">
        <v>29.597084032928954</v>
      </c>
      <c r="Y21" s="66">
        <v>394.8414501707382</v>
      </c>
      <c r="Z21" s="66">
        <v>179.49223061793782</v>
      </c>
      <c r="AA21" s="67">
        <v>0</v>
      </c>
      <c r="AB21" s="68">
        <v>124.58017022874883</v>
      </c>
      <c r="AC21" s="69">
        <v>0</v>
      </c>
      <c r="AD21" s="406">
        <v>17.003567052535523</v>
      </c>
      <c r="AE21" s="406">
        <v>7.4866067607480744</v>
      </c>
      <c r="AF21" s="69">
        <v>24.251612456639609</v>
      </c>
      <c r="AG21" s="68">
        <v>16.419539296521801</v>
      </c>
      <c r="AH21" s="68">
        <v>7.4642105908008336</v>
      </c>
      <c r="AI21" s="68">
        <v>0.68747744277950273</v>
      </c>
      <c r="AJ21" s="69">
        <v>232.047922150294</v>
      </c>
      <c r="AK21" s="69">
        <v>829.39791657129911</v>
      </c>
      <c r="AL21" s="69">
        <v>2910.7244443257655</v>
      </c>
      <c r="AM21" s="69">
        <v>545.0064697265625</v>
      </c>
      <c r="AN21" s="69">
        <v>6063.847412109375</v>
      </c>
      <c r="AO21" s="69">
        <v>2420.1840160369866</v>
      </c>
      <c r="AP21" s="69">
        <v>485.96888340314229</v>
      </c>
      <c r="AQ21" s="69">
        <v>3087.1651472727453</v>
      </c>
      <c r="AR21" s="69">
        <v>441.71970844268799</v>
      </c>
      <c r="AS21" s="69">
        <v>877.70335820515947</v>
      </c>
    </row>
    <row r="22" spans="1:45" x14ac:dyDescent="0.25">
      <c r="A22" s="11">
        <v>44089</v>
      </c>
      <c r="B22" s="59"/>
      <c r="C22" s="60">
        <v>78.720439652601513</v>
      </c>
      <c r="D22" s="60">
        <v>1008.7625131607049</v>
      </c>
      <c r="E22" s="60">
        <v>18.883377232154221</v>
      </c>
      <c r="F22" s="60">
        <v>0</v>
      </c>
      <c r="G22" s="60">
        <v>2680.4714378357021</v>
      </c>
      <c r="H22" s="61">
        <v>29.929962716499993</v>
      </c>
      <c r="I22" s="59">
        <v>470.91047258377091</v>
      </c>
      <c r="J22" s="60">
        <v>847.0081068038952</v>
      </c>
      <c r="K22" s="60">
        <v>46.434590884049712</v>
      </c>
      <c r="L22" s="50">
        <v>0</v>
      </c>
      <c r="M22" s="5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470.17138286731409</v>
      </c>
      <c r="V22" s="62">
        <v>175.27673985658004</v>
      </c>
      <c r="W22" s="62">
        <v>81.347145761884136</v>
      </c>
      <c r="X22" s="62">
        <v>30.325670649769961</v>
      </c>
      <c r="Y22" s="66">
        <v>476.01245291232902</v>
      </c>
      <c r="Z22" s="66">
        <v>177.45425161520842</v>
      </c>
      <c r="AA22" s="67">
        <v>0</v>
      </c>
      <c r="AB22" s="68">
        <v>129.92284057405368</v>
      </c>
      <c r="AC22" s="69">
        <v>0</v>
      </c>
      <c r="AD22" s="406">
        <v>20.844919920729069</v>
      </c>
      <c r="AE22" s="406">
        <v>7.4857228066749473</v>
      </c>
      <c r="AF22" s="69">
        <v>27.893508207798032</v>
      </c>
      <c r="AG22" s="68">
        <v>20.020639403962274</v>
      </c>
      <c r="AH22" s="68">
        <v>7.4635601664446716</v>
      </c>
      <c r="AI22" s="68">
        <v>0.72844178534924819</v>
      </c>
      <c r="AJ22" s="69">
        <v>230.90564681688946</v>
      </c>
      <c r="AK22" s="69">
        <v>828.78393494288127</v>
      </c>
      <c r="AL22" s="69">
        <v>2887.050430552164</v>
      </c>
      <c r="AM22" s="69">
        <v>545.0064697265625</v>
      </c>
      <c r="AN22" s="69">
        <v>6063.847412109375</v>
      </c>
      <c r="AO22" s="69">
        <v>2467.5085301717122</v>
      </c>
      <c r="AP22" s="69">
        <v>493.18323462804153</v>
      </c>
      <c r="AQ22" s="69">
        <v>3591.9294303894048</v>
      </c>
      <c r="AR22" s="69">
        <v>441.68764613469443</v>
      </c>
      <c r="AS22" s="69">
        <v>852.78777647018433</v>
      </c>
    </row>
    <row r="23" spans="1:45" x14ac:dyDescent="0.25">
      <c r="A23" s="11">
        <v>44090</v>
      </c>
      <c r="B23" s="59"/>
      <c r="C23" s="60">
        <v>79.181230088074585</v>
      </c>
      <c r="D23" s="60">
        <v>1007.6095090866072</v>
      </c>
      <c r="E23" s="60">
        <v>18.364222338299008</v>
      </c>
      <c r="F23" s="60">
        <v>0</v>
      </c>
      <c r="G23" s="60">
        <v>2680.7712704976452</v>
      </c>
      <c r="H23" s="61">
        <v>30.066975438594898</v>
      </c>
      <c r="I23" s="59">
        <v>354.76420531272913</v>
      </c>
      <c r="J23" s="60">
        <v>689.09580634435122</v>
      </c>
      <c r="K23" s="60">
        <v>37.785252655545946</v>
      </c>
      <c r="L23" s="50">
        <v>0</v>
      </c>
      <c r="M23" s="5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389.79444525324362</v>
      </c>
      <c r="V23" s="62">
        <v>177.87815055499885</v>
      </c>
      <c r="W23" s="62">
        <v>66.637045283661294</v>
      </c>
      <c r="X23" s="62">
        <v>30.409038707071581</v>
      </c>
      <c r="Y23" s="66">
        <v>368.12484384747398</v>
      </c>
      <c r="Z23" s="66">
        <v>167.98948059507146</v>
      </c>
      <c r="AA23" s="67">
        <v>0</v>
      </c>
      <c r="AB23" s="68">
        <v>110.19193815125185</v>
      </c>
      <c r="AC23" s="69">
        <v>0</v>
      </c>
      <c r="AD23" s="406">
        <v>16.957067159044236</v>
      </c>
      <c r="AE23" s="406">
        <v>7.477661542982549</v>
      </c>
      <c r="AF23" s="69">
        <v>24.076387790838901</v>
      </c>
      <c r="AG23" s="68">
        <v>16.270902531550099</v>
      </c>
      <c r="AH23" s="68">
        <v>7.425036671039364</v>
      </c>
      <c r="AI23" s="68">
        <v>0.68665362416915865</v>
      </c>
      <c r="AJ23" s="69">
        <v>252.08448583285013</v>
      </c>
      <c r="AK23" s="69">
        <v>848.9311059633892</v>
      </c>
      <c r="AL23" s="69">
        <v>3041.5909575144456</v>
      </c>
      <c r="AM23" s="69">
        <v>545.0064697265625</v>
      </c>
      <c r="AN23" s="69">
        <v>6063.847412109375</v>
      </c>
      <c r="AO23" s="69">
        <v>2464.5065998077393</v>
      </c>
      <c r="AP23" s="69">
        <v>482.8340772310894</v>
      </c>
      <c r="AQ23" s="69">
        <v>3045.1936682383212</v>
      </c>
      <c r="AR23" s="69">
        <v>438.0656526883443</v>
      </c>
      <c r="AS23" s="69">
        <v>741.14386030832918</v>
      </c>
    </row>
    <row r="24" spans="1:45" x14ac:dyDescent="0.25">
      <c r="A24" s="11">
        <v>44091</v>
      </c>
      <c r="B24" s="59"/>
      <c r="C24" s="60">
        <v>79.202173833052711</v>
      </c>
      <c r="D24" s="60">
        <v>1007.0670230229701</v>
      </c>
      <c r="E24" s="60">
        <v>18.381451460222429</v>
      </c>
      <c r="F24" s="60">
        <v>0</v>
      </c>
      <c r="G24" s="60">
        <v>2681.570672480264</v>
      </c>
      <c r="H24" s="61">
        <v>30.057593669494089</v>
      </c>
      <c r="I24" s="59">
        <v>356.51404247283898</v>
      </c>
      <c r="J24" s="60">
        <v>671.3010917981477</v>
      </c>
      <c r="K24" s="60">
        <v>36.829048439860365</v>
      </c>
      <c r="L24" s="50">
        <v>0</v>
      </c>
      <c r="M24" s="5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382.02998382313444</v>
      </c>
      <c r="V24" s="62">
        <v>179.06727574073378</v>
      </c>
      <c r="W24" s="62">
        <v>64.820318165455546</v>
      </c>
      <c r="X24" s="62">
        <v>30.382949710851548</v>
      </c>
      <c r="Y24" s="66">
        <v>347.44132802965476</v>
      </c>
      <c r="Z24" s="66">
        <v>162.85468346593524</v>
      </c>
      <c r="AA24" s="67">
        <v>0</v>
      </c>
      <c r="AB24" s="68">
        <v>104.2129326979319</v>
      </c>
      <c r="AC24" s="69">
        <v>0</v>
      </c>
      <c r="AD24" s="406">
        <v>16.521413203336827</v>
      </c>
      <c r="AE24" s="406">
        <v>7.4736065901133975</v>
      </c>
      <c r="AF24" s="69">
        <v>23.732271414332942</v>
      </c>
      <c r="AG24" s="68">
        <v>15.910544498602054</v>
      </c>
      <c r="AH24" s="68">
        <v>7.4576812804185426</v>
      </c>
      <c r="AI24" s="68">
        <v>0.68086232344118047</v>
      </c>
      <c r="AJ24" s="69">
        <v>240.94543341000875</v>
      </c>
      <c r="AK24" s="69">
        <v>841.62088298797596</v>
      </c>
      <c r="AL24" s="69">
        <v>2938.4288057963049</v>
      </c>
      <c r="AM24" s="69">
        <v>545.0064697265625</v>
      </c>
      <c r="AN24" s="69">
        <v>6063.847412109375</v>
      </c>
      <c r="AO24" s="69">
        <v>2460.0819896697994</v>
      </c>
      <c r="AP24" s="69">
        <v>482.19109276135754</v>
      </c>
      <c r="AQ24" s="69">
        <v>2995.7172225952149</v>
      </c>
      <c r="AR24" s="69">
        <v>424.95867182413735</v>
      </c>
      <c r="AS24" s="69">
        <v>786.61657759348554</v>
      </c>
    </row>
    <row r="25" spans="1:45" s="378" customFormat="1" ht="15" customHeight="1" x14ac:dyDescent="0.25">
      <c r="A25" s="11">
        <v>44092</v>
      </c>
      <c r="B25" s="372"/>
      <c r="C25" s="373">
        <v>79.297278320789218</v>
      </c>
      <c r="D25" s="373">
        <v>1012.917140579222</v>
      </c>
      <c r="E25" s="60">
        <v>18.534205730756149</v>
      </c>
      <c r="F25" s="373">
        <v>0</v>
      </c>
      <c r="G25" s="373">
        <v>2694.3345413208017</v>
      </c>
      <c r="H25" s="374">
        <v>30.025649956862157</v>
      </c>
      <c r="I25" s="372">
        <v>385.84679500261939</v>
      </c>
      <c r="J25" s="373">
        <v>699.82182820637775</v>
      </c>
      <c r="K25" s="373">
        <v>38.334601416190431</v>
      </c>
      <c r="L25" s="375">
        <v>0</v>
      </c>
      <c r="M25" s="50">
        <v>0</v>
      </c>
      <c r="N25" s="374">
        <v>0</v>
      </c>
      <c r="O25" s="372">
        <v>0</v>
      </c>
      <c r="P25" s="373">
        <v>0</v>
      </c>
      <c r="Q25" s="373">
        <v>0</v>
      </c>
      <c r="R25" s="373">
        <v>0</v>
      </c>
      <c r="S25" s="373">
        <v>0</v>
      </c>
      <c r="T25" s="374">
        <v>0</v>
      </c>
      <c r="U25" s="372">
        <v>392.38653536568626</v>
      </c>
      <c r="V25" s="373">
        <v>170.39782121780542</v>
      </c>
      <c r="W25" s="373">
        <v>67.05476100536363</v>
      </c>
      <c r="X25" s="373">
        <v>29.11920809654217</v>
      </c>
      <c r="Y25" s="373">
        <v>355.50238514313997</v>
      </c>
      <c r="Z25" s="373">
        <v>154.38050597141248</v>
      </c>
      <c r="AA25" s="374">
        <v>0</v>
      </c>
      <c r="AB25" s="376">
        <v>104.23435495694645</v>
      </c>
      <c r="AC25" s="377">
        <v>0</v>
      </c>
      <c r="AD25" s="406">
        <v>17.199710052214641</v>
      </c>
      <c r="AE25" s="406">
        <v>7.4853913480289771</v>
      </c>
      <c r="AF25" s="377">
        <v>23.795746463537178</v>
      </c>
      <c r="AG25" s="377">
        <v>16.328220571270545</v>
      </c>
      <c r="AH25" s="377">
        <v>7.0906949116265725</v>
      </c>
      <c r="AI25" s="377">
        <v>0.69722360043508758</v>
      </c>
      <c r="AJ25" s="377">
        <v>247.11900870005292</v>
      </c>
      <c r="AK25" s="377">
        <v>848.14649031957015</v>
      </c>
      <c r="AL25" s="377">
        <v>3228.903369776408</v>
      </c>
      <c r="AM25" s="377">
        <v>545.0064697265625</v>
      </c>
      <c r="AN25" s="377">
        <v>6063.847412109375</v>
      </c>
      <c r="AO25" s="377">
        <v>2483.3494594573972</v>
      </c>
      <c r="AP25" s="377">
        <v>481.72806240717568</v>
      </c>
      <c r="AQ25" s="377">
        <v>3074.0475144704178</v>
      </c>
      <c r="AR25" s="377">
        <v>433.32364212671911</v>
      </c>
      <c r="AS25" s="377">
        <v>751.26178689002984</v>
      </c>
    </row>
    <row r="26" spans="1:45" x14ac:dyDescent="0.25">
      <c r="A26" s="11">
        <v>44093</v>
      </c>
      <c r="B26" s="59"/>
      <c r="C26" s="60">
        <v>79.754574636616795</v>
      </c>
      <c r="D26" s="60">
        <v>1018.7278465906782</v>
      </c>
      <c r="E26" s="60">
        <v>19.068032142519982</v>
      </c>
      <c r="F26" s="60">
        <v>0</v>
      </c>
      <c r="G26" s="60">
        <v>2727.6372463226271</v>
      </c>
      <c r="H26" s="61">
        <v>30.136462483803495</v>
      </c>
      <c r="I26" s="59">
        <v>320.19427007039383</v>
      </c>
      <c r="J26" s="60">
        <v>712.75069465637171</v>
      </c>
      <c r="K26" s="60">
        <v>39.050261340538682</v>
      </c>
      <c r="L26" s="50">
        <v>0</v>
      </c>
      <c r="M26" s="5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405.1830978318298</v>
      </c>
      <c r="V26" s="62">
        <v>178.764412188107</v>
      </c>
      <c r="W26" s="62">
        <v>70.704723301955738</v>
      </c>
      <c r="X26" s="62">
        <v>31.194510253838029</v>
      </c>
      <c r="Y26" s="62">
        <v>360.10317182227504</v>
      </c>
      <c r="Z26" s="62">
        <v>158.87541257853755</v>
      </c>
      <c r="AA26" s="72">
        <v>0</v>
      </c>
      <c r="AB26" s="69">
        <v>105.64691042370403</v>
      </c>
      <c r="AC26" s="69">
        <v>0</v>
      </c>
      <c r="AD26" s="406">
        <v>17.537546533174325</v>
      </c>
      <c r="AE26" s="406">
        <v>7.4875379147750465</v>
      </c>
      <c r="AF26" s="69">
        <v>24.712568610244322</v>
      </c>
      <c r="AG26" s="69">
        <v>16.874409062905869</v>
      </c>
      <c r="AH26" s="69">
        <v>7.4448905526756235</v>
      </c>
      <c r="AI26" s="69">
        <v>0.69386903939019495</v>
      </c>
      <c r="AJ26" s="69">
        <v>222.71602706909181</v>
      </c>
      <c r="AK26" s="69">
        <v>830.20552104314186</v>
      </c>
      <c r="AL26" s="69">
        <v>2938.866855367025</v>
      </c>
      <c r="AM26" s="69">
        <v>545.0064697265625</v>
      </c>
      <c r="AN26" s="69">
        <v>6063.847412109375</v>
      </c>
      <c r="AO26" s="69">
        <v>2414.4000891367591</v>
      </c>
      <c r="AP26" s="69">
        <v>491.44364116986588</v>
      </c>
      <c r="AQ26" s="69">
        <v>3131.0292406717936</v>
      </c>
      <c r="AR26" s="69">
        <v>436.47989222208662</v>
      </c>
      <c r="AS26" s="69">
        <v>808.84066712061565</v>
      </c>
    </row>
    <row r="27" spans="1:45" x14ac:dyDescent="0.25">
      <c r="A27" s="11">
        <v>44094</v>
      </c>
      <c r="B27" s="59"/>
      <c r="C27" s="60">
        <v>79.039371669292265</v>
      </c>
      <c r="D27" s="60">
        <v>1017.9023413976032</v>
      </c>
      <c r="E27" s="60">
        <v>18.646264514823805</v>
      </c>
      <c r="F27" s="60">
        <v>0</v>
      </c>
      <c r="G27" s="60">
        <v>2726.8686898549377</v>
      </c>
      <c r="H27" s="61">
        <v>29.834827786684137</v>
      </c>
      <c r="I27" s="59">
        <v>285.95393336613955</v>
      </c>
      <c r="J27" s="60">
        <v>708.91966244379614</v>
      </c>
      <c r="K27" s="60">
        <v>38.874886278311408</v>
      </c>
      <c r="L27" s="50">
        <v>0</v>
      </c>
      <c r="M27" s="5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403.86455078013995</v>
      </c>
      <c r="V27" s="62">
        <v>178.9369150172825</v>
      </c>
      <c r="W27" s="62">
        <v>70.842693566724023</v>
      </c>
      <c r="X27" s="62">
        <v>31.387684345797361</v>
      </c>
      <c r="Y27" s="66">
        <v>357.40535314360864</v>
      </c>
      <c r="Z27" s="66">
        <v>158.35262386521057</v>
      </c>
      <c r="AA27" s="67">
        <v>0</v>
      </c>
      <c r="AB27" s="68">
        <v>105.03727073669266</v>
      </c>
      <c r="AC27" s="69">
        <v>0</v>
      </c>
      <c r="AD27" s="406">
        <v>17.44670985643226</v>
      </c>
      <c r="AE27" s="406">
        <v>7.4815444567551577</v>
      </c>
      <c r="AF27" s="69">
        <v>24.567001480526397</v>
      </c>
      <c r="AG27" s="68">
        <v>16.818106970435558</v>
      </c>
      <c r="AH27" s="68">
        <v>7.4514590892100179</v>
      </c>
      <c r="AI27" s="68">
        <v>0.69297106215673165</v>
      </c>
      <c r="AJ27" s="69">
        <v>229.99638566970825</v>
      </c>
      <c r="AK27" s="69">
        <v>841.17546885808304</v>
      </c>
      <c r="AL27" s="69">
        <v>2918.144029744466</v>
      </c>
      <c r="AM27" s="69">
        <v>545.0064697265625</v>
      </c>
      <c r="AN27" s="69">
        <v>6063.847412109375</v>
      </c>
      <c r="AO27" s="69">
        <v>2395.7053114573159</v>
      </c>
      <c r="AP27" s="69">
        <v>498.5549989859262</v>
      </c>
      <c r="AQ27" s="69">
        <v>3114.8165562947588</v>
      </c>
      <c r="AR27" s="69">
        <v>434.54401747385663</v>
      </c>
      <c r="AS27" s="69">
        <v>777.74811808268237</v>
      </c>
    </row>
    <row r="28" spans="1:45" x14ac:dyDescent="0.25">
      <c r="A28" s="11">
        <v>44095</v>
      </c>
      <c r="B28" s="59"/>
      <c r="C28" s="60">
        <v>78.376350633303602</v>
      </c>
      <c r="D28" s="60">
        <v>1000.0262954711909</v>
      </c>
      <c r="E28" s="60">
        <v>18.727624865372995</v>
      </c>
      <c r="F28" s="60">
        <v>0</v>
      </c>
      <c r="G28" s="60">
        <v>2728.5194677988666</v>
      </c>
      <c r="H28" s="61">
        <v>30.035228089491621</v>
      </c>
      <c r="I28" s="59">
        <v>328.08349963823974</v>
      </c>
      <c r="J28" s="60">
        <v>708.8826353073099</v>
      </c>
      <c r="K28" s="60">
        <v>38.856175037225086</v>
      </c>
      <c r="L28" s="50">
        <v>0</v>
      </c>
      <c r="M28" s="5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398.451361277454</v>
      </c>
      <c r="V28" s="62">
        <v>176.30757174748396</v>
      </c>
      <c r="W28" s="62">
        <v>70.186778998337502</v>
      </c>
      <c r="X28" s="62">
        <v>31.056389252382221</v>
      </c>
      <c r="Y28" s="66">
        <v>347.27112714727906</v>
      </c>
      <c r="Z28" s="66">
        <v>153.66123726884345</v>
      </c>
      <c r="AA28" s="67">
        <v>0</v>
      </c>
      <c r="AB28" s="68">
        <v>104.95113273726473</v>
      </c>
      <c r="AC28" s="69">
        <v>0</v>
      </c>
      <c r="AD28" s="406">
        <v>17.442784234880449</v>
      </c>
      <c r="AE28" s="406">
        <v>7.4809150496423262</v>
      </c>
      <c r="AF28" s="69">
        <v>24.194662254386486</v>
      </c>
      <c r="AG28" s="68">
        <v>16.580028187305441</v>
      </c>
      <c r="AH28" s="68">
        <v>7.336364719238988</v>
      </c>
      <c r="AI28" s="68">
        <v>0.69324953190447547</v>
      </c>
      <c r="AJ28" s="69">
        <v>234.11077988942463</v>
      </c>
      <c r="AK28" s="69">
        <v>838.79552806218464</v>
      </c>
      <c r="AL28" s="69">
        <v>2901.9849329630538</v>
      </c>
      <c r="AM28" s="69">
        <v>545.0064697265625</v>
      </c>
      <c r="AN28" s="69">
        <v>6063.847412109375</v>
      </c>
      <c r="AO28" s="69">
        <v>2495.4857554117839</v>
      </c>
      <c r="AP28" s="69">
        <v>494.77015431722003</v>
      </c>
      <c r="AQ28" s="69">
        <v>3236.5142417907714</v>
      </c>
      <c r="AR28" s="69">
        <v>431.47723553975419</v>
      </c>
      <c r="AS28" s="69">
        <v>772.23958168029776</v>
      </c>
    </row>
    <row r="29" spans="1:45" x14ac:dyDescent="0.25">
      <c r="A29" s="11">
        <v>44096</v>
      </c>
      <c r="B29" s="59"/>
      <c r="C29" s="60">
        <v>79.029130526383724</v>
      </c>
      <c r="D29" s="60">
        <v>998.26023502349801</v>
      </c>
      <c r="E29" s="60">
        <v>18.580626217524191</v>
      </c>
      <c r="F29" s="60">
        <v>0</v>
      </c>
      <c r="G29" s="60">
        <v>2712.0122732798282</v>
      </c>
      <c r="H29" s="61">
        <v>30.041613358259294</v>
      </c>
      <c r="I29" s="59">
        <v>423.47739404042545</v>
      </c>
      <c r="J29" s="60">
        <v>707.8252175013215</v>
      </c>
      <c r="K29" s="60">
        <v>38.791922493775644</v>
      </c>
      <c r="L29" s="50">
        <v>0</v>
      </c>
      <c r="M29" s="5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401.27927022645946</v>
      </c>
      <c r="V29" s="62">
        <v>177.57501257654559</v>
      </c>
      <c r="W29" s="62">
        <v>70.233684679233846</v>
      </c>
      <c r="X29" s="62">
        <v>31.079969401792763</v>
      </c>
      <c r="Y29" s="66">
        <v>349.08111632859107</v>
      </c>
      <c r="Z29" s="66">
        <v>154.47616715237132</v>
      </c>
      <c r="AA29" s="67">
        <v>0</v>
      </c>
      <c r="AB29" s="68">
        <v>104.95224730703421</v>
      </c>
      <c r="AC29" s="69">
        <v>0</v>
      </c>
      <c r="AD29" s="406">
        <v>17.415641140144622</v>
      </c>
      <c r="AE29" s="406">
        <v>7.4813482713092982</v>
      </c>
      <c r="AF29" s="69">
        <v>24.365850292311784</v>
      </c>
      <c r="AG29" s="68">
        <v>16.710987705078683</v>
      </c>
      <c r="AH29" s="68">
        <v>7.3949841720485114</v>
      </c>
      <c r="AI29" s="68">
        <v>0.69323019997940016</v>
      </c>
      <c r="AJ29" s="69">
        <v>234.03476710319518</v>
      </c>
      <c r="AK29" s="69">
        <v>841.8054967244467</v>
      </c>
      <c r="AL29" s="69">
        <v>2824.253414662679</v>
      </c>
      <c r="AM29" s="69">
        <v>545.0064697265625</v>
      </c>
      <c r="AN29" s="69">
        <v>6063.847412109375</v>
      </c>
      <c r="AO29" s="69">
        <v>2464.4553972880049</v>
      </c>
      <c r="AP29" s="69">
        <v>517.10399185816448</v>
      </c>
      <c r="AQ29" s="69">
        <v>3202.2924626668291</v>
      </c>
      <c r="AR29" s="69">
        <v>432.53536742528274</v>
      </c>
      <c r="AS29" s="69">
        <v>803.87589203516632</v>
      </c>
    </row>
    <row r="30" spans="1:45" x14ac:dyDescent="0.25">
      <c r="A30" s="11">
        <v>44097</v>
      </c>
      <c r="B30" s="59"/>
      <c r="C30" s="60">
        <v>78.222576737403855</v>
      </c>
      <c r="D30" s="60">
        <v>998.07731234232472</v>
      </c>
      <c r="E30" s="60">
        <v>18.478815666834535</v>
      </c>
      <c r="F30" s="60">
        <v>0</v>
      </c>
      <c r="G30" s="60">
        <v>2703.9451932271345</v>
      </c>
      <c r="H30" s="61">
        <v>30.016197526454988</v>
      </c>
      <c r="I30" s="59">
        <v>417.41565287907895</v>
      </c>
      <c r="J30" s="60">
        <v>707.5625205039953</v>
      </c>
      <c r="K30" s="60">
        <v>38.794767299294463</v>
      </c>
      <c r="L30" s="50">
        <v>0</v>
      </c>
      <c r="M30" s="5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399.63791834393993</v>
      </c>
      <c r="V30" s="62">
        <v>177.09259552544992</v>
      </c>
      <c r="W30" s="62">
        <v>70.214654911604811</v>
      </c>
      <c r="X30" s="62">
        <v>31.114403592499926</v>
      </c>
      <c r="Y30" s="66">
        <v>347.91944691050583</v>
      </c>
      <c r="Z30" s="66">
        <v>154.17445407203255</v>
      </c>
      <c r="AA30" s="67">
        <v>0</v>
      </c>
      <c r="AB30" s="68">
        <v>104.95198704401545</v>
      </c>
      <c r="AC30" s="69">
        <v>0</v>
      </c>
      <c r="AD30" s="406">
        <v>17.414720863564568</v>
      </c>
      <c r="AE30" s="406">
        <v>7.4798920977648979</v>
      </c>
      <c r="AF30" s="69">
        <v>24.270535018708976</v>
      </c>
      <c r="AG30" s="68">
        <v>16.632507560811227</v>
      </c>
      <c r="AH30" s="68">
        <v>7.3704065576323821</v>
      </c>
      <c r="AI30" s="68">
        <v>0.69293701084531922</v>
      </c>
      <c r="AJ30" s="69">
        <v>230.32152190208436</v>
      </c>
      <c r="AK30" s="69">
        <v>840.03251717885337</v>
      </c>
      <c r="AL30" s="69">
        <v>2835.7309598286947</v>
      </c>
      <c r="AM30" s="69">
        <v>545.0064697265625</v>
      </c>
      <c r="AN30" s="69">
        <v>6063.847412109375</v>
      </c>
      <c r="AO30" s="69">
        <v>2479.5478453318283</v>
      </c>
      <c r="AP30" s="69">
        <v>494.37997236251823</v>
      </c>
      <c r="AQ30" s="69">
        <v>3229.8827615102136</v>
      </c>
      <c r="AR30" s="69">
        <v>434.20907484690349</v>
      </c>
      <c r="AS30" s="69">
        <v>786.305247783661</v>
      </c>
    </row>
    <row r="31" spans="1:45" x14ac:dyDescent="0.25">
      <c r="A31" s="11">
        <v>44098</v>
      </c>
      <c r="B31" s="59"/>
      <c r="C31" s="60">
        <v>79.21248937845256</v>
      </c>
      <c r="D31" s="60">
        <v>998.7931523640965</v>
      </c>
      <c r="E31" s="60">
        <v>18.469204049805839</v>
      </c>
      <c r="F31" s="60">
        <v>0</v>
      </c>
      <c r="G31" s="60">
        <v>2702.9236431121899</v>
      </c>
      <c r="H31" s="61">
        <v>29.980634333690126</v>
      </c>
      <c r="I31" s="59">
        <v>540.8141809145618</v>
      </c>
      <c r="J31" s="60">
        <v>851.97459519704205</v>
      </c>
      <c r="K31" s="60">
        <v>46.730056109031011</v>
      </c>
      <c r="L31" s="50">
        <v>0</v>
      </c>
      <c r="M31" s="5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475.57745749833765</v>
      </c>
      <c r="V31" s="62">
        <v>174.18496637725522</v>
      </c>
      <c r="W31" s="62">
        <v>85.464634329468979</v>
      </c>
      <c r="X31" s="62">
        <v>31.302271002142696</v>
      </c>
      <c r="Y31" s="66">
        <v>427.41584647278165</v>
      </c>
      <c r="Z31" s="66">
        <v>156.54529808580716</v>
      </c>
      <c r="AA31" s="67">
        <v>0</v>
      </c>
      <c r="AB31" s="68">
        <v>118.11848344273074</v>
      </c>
      <c r="AC31" s="69">
        <v>0</v>
      </c>
      <c r="AD31" s="406">
        <v>20.971417377863617</v>
      </c>
      <c r="AE31" s="406">
        <v>7.4850231334206283</v>
      </c>
      <c r="AF31" s="69">
        <v>28.060914654201895</v>
      </c>
      <c r="AG31" s="68">
        <v>20.327420754540842</v>
      </c>
      <c r="AH31" s="68">
        <v>7.4451197062434202</v>
      </c>
      <c r="AI31" s="68">
        <v>0.73192514682781096</v>
      </c>
      <c r="AJ31" s="69">
        <v>235.83311724662778</v>
      </c>
      <c r="AK31" s="69">
        <v>845.87557608286534</v>
      </c>
      <c r="AL31" s="69">
        <v>2902.3102456410725</v>
      </c>
      <c r="AM31" s="69">
        <v>545.0064697265625</v>
      </c>
      <c r="AN31" s="69">
        <v>6063.847412109375</v>
      </c>
      <c r="AO31" s="69">
        <v>2480.8006055196124</v>
      </c>
      <c r="AP31" s="69">
        <v>500.10301683743808</v>
      </c>
      <c r="AQ31" s="69">
        <v>3788.304370880127</v>
      </c>
      <c r="AR31" s="69">
        <v>434.79348773956298</v>
      </c>
      <c r="AS31" s="69">
        <v>845.09255523681634</v>
      </c>
    </row>
    <row r="32" spans="1:45" x14ac:dyDescent="0.25">
      <c r="A32" s="11">
        <v>44099</v>
      </c>
      <c r="B32" s="59"/>
      <c r="C32" s="60">
        <v>79.05100373824304</v>
      </c>
      <c r="D32" s="60">
        <v>998.95570074717023</v>
      </c>
      <c r="E32" s="60">
        <v>18.617285322149616</v>
      </c>
      <c r="F32" s="60">
        <v>0</v>
      </c>
      <c r="G32" s="60">
        <v>2705.1381731669144</v>
      </c>
      <c r="H32" s="61">
        <v>30.00233933726955</v>
      </c>
      <c r="I32" s="59">
        <v>579.25649747848456</v>
      </c>
      <c r="J32" s="60">
        <v>871.38996340433812</v>
      </c>
      <c r="K32" s="60">
        <v>47.793569464484804</v>
      </c>
      <c r="L32" s="50">
        <v>0</v>
      </c>
      <c r="M32" s="5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487.23304372103365</v>
      </c>
      <c r="V32" s="62">
        <v>174.01387239292518</v>
      </c>
      <c r="W32" s="62">
        <v>87.55029395136286</v>
      </c>
      <c r="X32" s="62">
        <v>31.268334272374101</v>
      </c>
      <c r="Y32" s="66">
        <v>450.77618245360975</v>
      </c>
      <c r="Z32" s="66">
        <v>160.99340983154696</v>
      </c>
      <c r="AA32" s="67">
        <v>0</v>
      </c>
      <c r="AB32" s="68">
        <v>120.18545503086276</v>
      </c>
      <c r="AC32" s="69">
        <v>0</v>
      </c>
      <c r="AD32" s="406">
        <v>21.443644924447302</v>
      </c>
      <c r="AE32" s="406">
        <v>7.4868289760379882</v>
      </c>
      <c r="AF32" s="69">
        <v>28.798713435067054</v>
      </c>
      <c r="AG32" s="68">
        <v>20.999466462203163</v>
      </c>
      <c r="AH32" s="68">
        <v>7.4998987124640779</v>
      </c>
      <c r="AI32" s="68">
        <v>0.73683979743062311</v>
      </c>
      <c r="AJ32" s="69">
        <v>226.48702239990234</v>
      </c>
      <c r="AK32" s="69">
        <v>835.84934069315591</v>
      </c>
      <c r="AL32" s="69">
        <v>2897.0629468282063</v>
      </c>
      <c r="AM32" s="69">
        <v>545.0064697265625</v>
      </c>
      <c r="AN32" s="69">
        <v>6063.847412109375</v>
      </c>
      <c r="AO32" s="69">
        <v>2428.9191687266029</v>
      </c>
      <c r="AP32" s="69">
        <v>509.8276206970217</v>
      </c>
      <c r="AQ32" s="69">
        <v>3776.3485430399583</v>
      </c>
      <c r="AR32" s="69">
        <v>439.56683931350705</v>
      </c>
      <c r="AS32" s="69">
        <v>901.58637577692673</v>
      </c>
    </row>
    <row r="33" spans="1:55" x14ac:dyDescent="0.25">
      <c r="A33" s="11">
        <v>44100</v>
      </c>
      <c r="B33" s="59"/>
      <c r="C33" s="60">
        <v>79.034421364466027</v>
      </c>
      <c r="D33" s="60">
        <v>999.86929848988723</v>
      </c>
      <c r="E33" s="60">
        <v>18.819287023444979</v>
      </c>
      <c r="F33" s="60">
        <v>0</v>
      </c>
      <c r="G33" s="60">
        <v>2704.0190481821733</v>
      </c>
      <c r="H33" s="61">
        <v>30.144452798366622</v>
      </c>
      <c r="I33" s="59">
        <v>530.57215805053715</v>
      </c>
      <c r="J33" s="60">
        <v>871.05873610178662</v>
      </c>
      <c r="K33" s="60">
        <v>47.796136009693072</v>
      </c>
      <c r="L33" s="50">
        <v>0</v>
      </c>
      <c r="M33" s="5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480.36641674844049</v>
      </c>
      <c r="V33" s="62">
        <v>171.55910635251209</v>
      </c>
      <c r="W33" s="62">
        <v>86.299001668608966</v>
      </c>
      <c r="X33" s="62">
        <v>30.821013062480226</v>
      </c>
      <c r="Y33" s="66">
        <v>443.98776208970366</v>
      </c>
      <c r="Z33" s="66">
        <v>158.56675454364722</v>
      </c>
      <c r="AA33" s="67">
        <v>0</v>
      </c>
      <c r="AB33" s="68">
        <v>120.26722981664743</v>
      </c>
      <c r="AC33" s="69">
        <v>0</v>
      </c>
      <c r="AD33" s="406">
        <v>21.437810945912222</v>
      </c>
      <c r="AE33" s="406">
        <v>7.4937970498579718</v>
      </c>
      <c r="AF33" s="69">
        <v>28.379801672034816</v>
      </c>
      <c r="AG33" s="68">
        <v>20.694467828278704</v>
      </c>
      <c r="AH33" s="68">
        <v>7.3908672281716754</v>
      </c>
      <c r="AI33" s="68">
        <v>0.73684247621342835</v>
      </c>
      <c r="AJ33" s="69">
        <v>225.17668161392214</v>
      </c>
      <c r="AK33" s="69">
        <v>835.2376627286277</v>
      </c>
      <c r="AL33" s="69">
        <v>2959.1472371419272</v>
      </c>
      <c r="AM33" s="69">
        <v>545.0064697265625</v>
      </c>
      <c r="AN33" s="69">
        <v>6063.847412109375</v>
      </c>
      <c r="AO33" s="69">
        <v>2382.2133824666339</v>
      </c>
      <c r="AP33" s="69">
        <v>503.51984208424881</v>
      </c>
      <c r="AQ33" s="69">
        <v>3750.2370051066082</v>
      </c>
      <c r="AR33" s="69">
        <v>438.87718442281084</v>
      </c>
      <c r="AS33" s="69">
        <v>810.31352230707807</v>
      </c>
    </row>
    <row r="34" spans="1:55" x14ac:dyDescent="0.25">
      <c r="A34" s="11">
        <v>44101</v>
      </c>
      <c r="B34" s="59"/>
      <c r="C34" s="60">
        <v>78.86</v>
      </c>
      <c r="D34" s="60">
        <v>998.58</v>
      </c>
      <c r="E34" s="60">
        <v>18.93</v>
      </c>
      <c r="F34" s="60">
        <v>0</v>
      </c>
      <c r="G34" s="60">
        <v>2705.61</v>
      </c>
      <c r="H34" s="61">
        <v>30.08</v>
      </c>
      <c r="I34" s="59">
        <v>491.22</v>
      </c>
      <c r="J34" s="60">
        <v>871.36</v>
      </c>
      <c r="K34" s="60">
        <v>47.8</v>
      </c>
      <c r="L34" s="448">
        <v>0</v>
      </c>
      <c r="M34" s="448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480.29</v>
      </c>
      <c r="V34" s="62">
        <v>167.73</v>
      </c>
      <c r="W34" s="62">
        <v>87.86</v>
      </c>
      <c r="X34" s="62">
        <v>30.68</v>
      </c>
      <c r="Y34" s="66">
        <v>443.83</v>
      </c>
      <c r="Z34" s="66">
        <v>155</v>
      </c>
      <c r="AA34" s="67">
        <v>0</v>
      </c>
      <c r="AB34" s="68">
        <v>120.28</v>
      </c>
      <c r="AC34" s="69">
        <v>0</v>
      </c>
      <c r="AD34" s="406">
        <v>21.45</v>
      </c>
      <c r="AE34" s="406">
        <v>7.48</v>
      </c>
      <c r="AF34" s="69">
        <v>28.18</v>
      </c>
      <c r="AG34" s="68">
        <v>20.66</v>
      </c>
      <c r="AH34" s="68">
        <v>7.21</v>
      </c>
      <c r="AI34" s="68">
        <v>0.74</v>
      </c>
      <c r="AJ34" s="69">
        <v>256.10000000000002</v>
      </c>
      <c r="AK34" s="69">
        <v>851</v>
      </c>
      <c r="AL34" s="69">
        <v>2816.44</v>
      </c>
      <c r="AM34" s="69">
        <v>545.01</v>
      </c>
      <c r="AN34" s="69">
        <v>6063.85</v>
      </c>
      <c r="AO34" s="69">
        <v>2403.91</v>
      </c>
      <c r="AP34" s="69">
        <v>498.42</v>
      </c>
      <c r="AQ34" s="69">
        <v>3761.4</v>
      </c>
      <c r="AR34" s="69">
        <v>410.66</v>
      </c>
      <c r="AS34" s="69">
        <v>506.87</v>
      </c>
      <c r="AT34" s="447"/>
      <c r="AU34" s="447"/>
      <c r="AV34" s="447"/>
      <c r="AW34" s="447"/>
      <c r="AX34" s="447"/>
      <c r="AY34" s="447"/>
      <c r="AZ34" s="447"/>
      <c r="BA34" s="447"/>
      <c r="BB34" s="447"/>
      <c r="BC34" s="447"/>
    </row>
    <row r="35" spans="1:55" x14ac:dyDescent="0.25">
      <c r="A35" s="11">
        <v>44102</v>
      </c>
      <c r="B35" s="59"/>
      <c r="C35" s="60">
        <v>78.921944129467263</v>
      </c>
      <c r="D35" s="60">
        <v>997.64733874003036</v>
      </c>
      <c r="E35" s="60">
        <v>18.746295084059248</v>
      </c>
      <c r="F35" s="60">
        <v>0</v>
      </c>
      <c r="G35" s="60">
        <v>2704.576358032225</v>
      </c>
      <c r="H35" s="61">
        <v>29.906955025593494</v>
      </c>
      <c r="I35" s="59">
        <v>366.03406942685439</v>
      </c>
      <c r="J35" s="60">
        <v>717.95102354685275</v>
      </c>
      <c r="K35" s="60">
        <v>39.347663500905007</v>
      </c>
      <c r="L35" s="50">
        <v>0</v>
      </c>
      <c r="M35" s="5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409.35851747872789</v>
      </c>
      <c r="V35" s="62">
        <v>178.89278087468051</v>
      </c>
      <c r="W35" s="62">
        <v>72.179107449287017</v>
      </c>
      <c r="X35" s="62">
        <v>31.542818095451757</v>
      </c>
      <c r="Y35" s="66">
        <v>357.15698149773789</v>
      </c>
      <c r="Z35" s="66">
        <v>156.08031322386569</v>
      </c>
      <c r="AA35" s="67">
        <v>0</v>
      </c>
      <c r="AB35" s="68">
        <v>105.57279224395766</v>
      </c>
      <c r="AC35" s="69">
        <v>0</v>
      </c>
      <c r="AD35" s="406">
        <v>17.664034755621678</v>
      </c>
      <c r="AE35" s="406">
        <v>7.4761685747329798</v>
      </c>
      <c r="AF35" s="69">
        <v>24.578888992468485</v>
      </c>
      <c r="AG35" s="68">
        <v>16.895888090642622</v>
      </c>
      <c r="AH35" s="68">
        <v>7.3836314057872734</v>
      </c>
      <c r="AI35" s="68">
        <v>0.69589054648000848</v>
      </c>
      <c r="AJ35" s="69">
        <v>240.60102473894756</v>
      </c>
      <c r="AK35" s="69">
        <v>831.67026888529449</v>
      </c>
      <c r="AL35" s="69">
        <v>2891.4102750142415</v>
      </c>
      <c r="AM35" s="69">
        <v>540.76668497721357</v>
      </c>
      <c r="AN35" s="69">
        <v>6063.847412109375</v>
      </c>
      <c r="AO35" s="69">
        <v>2589.7483267466232</v>
      </c>
      <c r="AP35" s="69">
        <v>519.38471322059627</v>
      </c>
      <c r="AQ35" s="69">
        <v>3399.7608512878419</v>
      </c>
      <c r="AR35" s="69">
        <v>412.13496767679845</v>
      </c>
      <c r="AS35" s="69">
        <v>511.77842884063722</v>
      </c>
    </row>
    <row r="36" spans="1:55" x14ac:dyDescent="0.25">
      <c r="A36" s="11">
        <v>44103</v>
      </c>
      <c r="B36" s="59"/>
      <c r="C36" s="60">
        <v>79.166073493162827</v>
      </c>
      <c r="D36" s="60">
        <v>1001.1923397699995</v>
      </c>
      <c r="E36" s="60">
        <v>18.428617576758079</v>
      </c>
      <c r="F36" s="60">
        <v>0</v>
      </c>
      <c r="G36" s="60">
        <v>2716.1357196807926</v>
      </c>
      <c r="H36" s="61">
        <v>30.175023386875804</v>
      </c>
      <c r="I36" s="59">
        <v>361.39380313555381</v>
      </c>
      <c r="J36" s="60">
        <v>709.20222276051732</v>
      </c>
      <c r="K36" s="60">
        <v>38.856348099311163</v>
      </c>
      <c r="L36" s="60">
        <v>0</v>
      </c>
      <c r="M36" s="5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401.43996518840464</v>
      </c>
      <c r="V36" s="62">
        <v>177.10462989419585</v>
      </c>
      <c r="W36" s="62">
        <v>70.458918724361936</v>
      </c>
      <c r="X36" s="62">
        <v>31.084599953985304</v>
      </c>
      <c r="Y36" s="66">
        <v>323.667578741169</v>
      </c>
      <c r="Z36" s="66">
        <v>142.7935226000786</v>
      </c>
      <c r="AA36" s="67">
        <v>0</v>
      </c>
      <c r="AB36" s="68">
        <v>105.00318225754658</v>
      </c>
      <c r="AC36" s="69">
        <v>0</v>
      </c>
      <c r="AD36" s="406">
        <v>17.450579238050317</v>
      </c>
      <c r="AE36" s="406">
        <v>7.5030357725925603</v>
      </c>
      <c r="AF36" s="69">
        <v>24.789397864871571</v>
      </c>
      <c r="AG36" s="68">
        <v>17.000340419120128</v>
      </c>
      <c r="AH36" s="68">
        <v>7.5000977956705297</v>
      </c>
      <c r="AI36" s="68">
        <v>0.69387903473731338</v>
      </c>
      <c r="AJ36" s="69">
        <v>230.92091948191327</v>
      </c>
      <c r="AK36" s="69">
        <v>823.67411918640141</v>
      </c>
      <c r="AL36" s="69">
        <v>2907.569429397583</v>
      </c>
      <c r="AM36" s="69">
        <v>537.66838073730469</v>
      </c>
      <c r="AN36" s="69">
        <v>6063.847412109375</v>
      </c>
      <c r="AO36" s="69">
        <v>2522.6934368133543</v>
      </c>
      <c r="AP36" s="69">
        <v>555.21453517278042</v>
      </c>
      <c r="AQ36" s="69">
        <v>3418.86920115153</v>
      </c>
      <c r="AR36" s="69">
        <v>423.29209960301711</v>
      </c>
      <c r="AS36" s="69">
        <v>698.24841162363668</v>
      </c>
    </row>
    <row r="37" spans="1:55" x14ac:dyDescent="0.25">
      <c r="A37" s="11">
        <v>44104</v>
      </c>
      <c r="B37" s="65"/>
      <c r="C37" s="66">
        <v>79.863802564143953</v>
      </c>
      <c r="D37" s="66">
        <v>1003.5308521906527</v>
      </c>
      <c r="E37" s="60">
        <v>18.793662725885703</v>
      </c>
      <c r="F37" s="66">
        <v>0</v>
      </c>
      <c r="G37" s="66">
        <v>2769.778847249358</v>
      </c>
      <c r="H37" s="67">
        <v>30.244296040137659</v>
      </c>
      <c r="I37" s="71">
        <v>353.80275680224116</v>
      </c>
      <c r="J37" s="66">
        <v>710.28990157445185</v>
      </c>
      <c r="K37" s="66">
        <v>38.904837487141251</v>
      </c>
      <c r="L37" s="66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87">
        <v>0</v>
      </c>
      <c r="S37" s="66">
        <v>0</v>
      </c>
      <c r="T37" s="389">
        <v>0</v>
      </c>
      <c r="U37" s="71">
        <v>401.13594698825835</v>
      </c>
      <c r="V37" s="66">
        <v>177.61499579297728</v>
      </c>
      <c r="W37" s="62">
        <v>69.848163768852118</v>
      </c>
      <c r="X37" s="62">
        <v>30.92737364251974</v>
      </c>
      <c r="Y37" s="66">
        <v>318.73451950395156</v>
      </c>
      <c r="Z37" s="66">
        <v>141.12928737954286</v>
      </c>
      <c r="AA37" s="67">
        <v>0</v>
      </c>
      <c r="AB37" s="68">
        <v>105.39803721109941</v>
      </c>
      <c r="AC37" s="388">
        <v>0</v>
      </c>
      <c r="AD37" s="406">
        <v>17.474042893398511</v>
      </c>
      <c r="AE37" s="406">
        <v>7.5210358296356317</v>
      </c>
      <c r="AF37" s="388">
        <v>24.264155516359537</v>
      </c>
      <c r="AG37" s="68">
        <v>16.587573528320139</v>
      </c>
      <c r="AH37" s="68">
        <v>7.3446466829224892</v>
      </c>
      <c r="AI37" s="68">
        <v>0.69310633873107197</v>
      </c>
      <c r="AJ37" s="388">
        <v>260.47537527084353</v>
      </c>
      <c r="AK37" s="388">
        <v>847.88004128138232</v>
      </c>
      <c r="AL37" s="388">
        <v>2902.4627339680992</v>
      </c>
      <c r="AM37" s="388">
        <v>537.66838073730469</v>
      </c>
      <c r="AN37" s="388">
        <v>6063.847412109375</v>
      </c>
      <c r="AO37" s="388">
        <v>2510.1466267903647</v>
      </c>
      <c r="AP37" s="388">
        <v>590.78627707163503</v>
      </c>
      <c r="AQ37" s="388">
        <v>3371.9570707956941</v>
      </c>
      <c r="AR37" s="388">
        <v>435.27054580052686</v>
      </c>
      <c r="AS37" s="388">
        <v>667.04218953450527</v>
      </c>
    </row>
    <row r="38" spans="1:55" ht="15.75" thickBot="1" x14ac:dyDescent="0.3">
      <c r="A38" s="11"/>
      <c r="B38" s="379"/>
      <c r="C38" s="381"/>
      <c r="D38" s="381"/>
      <c r="E38" s="60"/>
      <c r="F38" s="381"/>
      <c r="G38" s="381"/>
      <c r="H38" s="382"/>
      <c r="I38" s="383"/>
      <c r="J38" s="381"/>
      <c r="K38" s="381"/>
      <c r="L38" s="381"/>
      <c r="M38" s="50"/>
      <c r="N38" s="382"/>
      <c r="O38" s="383"/>
      <c r="P38" s="381"/>
      <c r="Q38" s="381"/>
      <c r="R38" s="384"/>
      <c r="S38" s="381"/>
      <c r="T38" s="385"/>
      <c r="U38" s="383"/>
      <c r="V38" s="381"/>
      <c r="W38" s="380"/>
      <c r="X38" s="380"/>
      <c r="Y38" s="381"/>
      <c r="Z38" s="381"/>
      <c r="AA38" s="382"/>
      <c r="AB38" s="386"/>
      <c r="AC38" s="85"/>
      <c r="AD38" s="406"/>
      <c r="AE38" s="406"/>
      <c r="AF38" s="85"/>
      <c r="AG38" s="386"/>
      <c r="AH38" s="386"/>
      <c r="AI38" s="386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5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2371.754764216736</v>
      </c>
      <c r="D39" s="30">
        <f t="shared" si="0"/>
        <v>30206.793559595735</v>
      </c>
      <c r="E39" s="30">
        <f t="shared" si="0"/>
        <v>559.0461922718091</v>
      </c>
      <c r="F39" s="30">
        <f t="shared" si="0"/>
        <v>0</v>
      </c>
      <c r="G39" s="30">
        <f t="shared" si="0"/>
        <v>81626.426717656504</v>
      </c>
      <c r="H39" s="31">
        <f t="shared" si="0"/>
        <v>901.47507222871172</v>
      </c>
      <c r="I39" s="29">
        <f t="shared" si="0"/>
        <v>10813.947689830464</v>
      </c>
      <c r="J39" s="30">
        <f t="shared" si="0"/>
        <v>22072.809138704921</v>
      </c>
      <c r="K39" s="30">
        <f t="shared" si="0"/>
        <v>1210.6115887731312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12924.183224602528</v>
      </c>
      <c r="V39" s="260">
        <f t="shared" si="0"/>
        <v>5282.0430207350282</v>
      </c>
      <c r="W39" s="260">
        <f t="shared" si="0"/>
        <v>2236.9731673803872</v>
      </c>
      <c r="X39" s="260">
        <f t="shared" si="0"/>
        <v>911.2388328688387</v>
      </c>
      <c r="Y39" s="260">
        <f t="shared" si="0"/>
        <v>13505.256582034748</v>
      </c>
      <c r="Z39" s="260">
        <f t="shared" si="0"/>
        <v>5445.8706880566269</v>
      </c>
      <c r="AA39" s="268">
        <f t="shared" si="0"/>
        <v>0</v>
      </c>
      <c r="AB39" s="271">
        <f t="shared" si="0"/>
        <v>3659.775376518035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SUM(AJ8:AJ37)</f>
        <v>7123.6784525712346</v>
      </c>
      <c r="AK39" s="271">
        <f t="shared" si="1"/>
        <v>25023.644582430523</v>
      </c>
      <c r="AL39" s="271">
        <f t="shared" si="1"/>
        <v>89610.379808400481</v>
      </c>
      <c r="AM39" s="271">
        <f t="shared" si="1"/>
        <v>16331.281659342449</v>
      </c>
      <c r="AN39" s="271">
        <f t="shared" si="1"/>
        <v>181915.42495117188</v>
      </c>
      <c r="AO39" s="271">
        <f t="shared" si="1"/>
        <v>75717.920700861607</v>
      </c>
      <c r="AP39" s="271">
        <f t="shared" si="1"/>
        <v>15438.236255617139</v>
      </c>
      <c r="AQ39" s="271">
        <f t="shared" si="1"/>
        <v>103591.93577753702</v>
      </c>
      <c r="AR39" s="271">
        <f t="shared" si="1"/>
        <v>13069.181863587697</v>
      </c>
      <c r="AS39" s="271">
        <f t="shared" si="1"/>
        <v>22237.23285777092</v>
      </c>
    </row>
    <row r="40" spans="1:55" ht="15.75" thickBot="1" x14ac:dyDescent="0.3">
      <c r="A40" s="47" t="s">
        <v>172</v>
      </c>
      <c r="B40" s="32">
        <f>Projection!$AC$30</f>
        <v>0.66681052199999991</v>
      </c>
      <c r="C40" s="33">
        <f>Projection!$AC$28</f>
        <v>1.4286753599999999</v>
      </c>
      <c r="D40" s="33">
        <f>Projection!$AC$31</f>
        <v>2.1930447000000002</v>
      </c>
      <c r="E40" s="33">
        <f>Projection!$AC$26</f>
        <v>4.4235360000000004</v>
      </c>
      <c r="F40" s="33">
        <f>Projection!$AC$23</f>
        <v>0</v>
      </c>
      <c r="G40" s="33">
        <f>Projection!$AC$24</f>
        <v>5.9975000000000001E-2</v>
      </c>
      <c r="H40" s="34">
        <f>Projection!$AC$29</f>
        <v>3.7390305000000001</v>
      </c>
      <c r="I40" s="32">
        <f>Projection!$AC$30</f>
        <v>0.66681052199999991</v>
      </c>
      <c r="J40" s="33">
        <f>Projection!$AC$28</f>
        <v>1.4286753599999999</v>
      </c>
      <c r="K40" s="33">
        <f>Projection!$AC$26</f>
        <v>4.4235360000000004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2">
        <v>15.77</v>
      </c>
      <c r="P40" s="263">
        <v>15.77</v>
      </c>
      <c r="Q40" s="263">
        <v>15.77</v>
      </c>
      <c r="R40" s="263">
        <v>15.77</v>
      </c>
      <c r="S40" s="263">
        <f>Projection!$AC$28</f>
        <v>1.4286753599999999</v>
      </c>
      <c r="T40" s="264">
        <f>Projection!$AC$28</f>
        <v>1.4286753599999999</v>
      </c>
      <c r="U40" s="262">
        <f>Projection!$AC$27</f>
        <v>0.26450000000000001</v>
      </c>
      <c r="V40" s="263">
        <f>Projection!$AC$27</f>
        <v>0.26450000000000001</v>
      </c>
      <c r="W40" s="263">
        <f>Projection!$AC$22</f>
        <v>0.85935360000000005</v>
      </c>
      <c r="X40" s="263">
        <f>Projection!$AC$22</f>
        <v>0.85935360000000005</v>
      </c>
      <c r="Y40" s="263">
        <f>Projection!$AC$31</f>
        <v>2.1930447000000002</v>
      </c>
      <c r="Z40" s="263">
        <f>Projection!$AC$31</f>
        <v>2.1930447000000002</v>
      </c>
      <c r="AA40" s="269">
        <v>0</v>
      </c>
      <c r="AB40" s="272">
        <f>Projection!$AC$27</f>
        <v>0.26450000000000001</v>
      </c>
      <c r="AC40" s="272">
        <f>Projection!$AC$30</f>
        <v>0.66681052199999991</v>
      </c>
      <c r="AD40" s="397">
        <f>SUM(AD8:AD38)</f>
        <v>563.97661831197445</v>
      </c>
      <c r="AE40" s="397">
        <f>SUM(AE8:AE38)</f>
        <v>224.57726707129547</v>
      </c>
      <c r="AF40" s="275">
        <f>SUM(AF8:AF37)</f>
        <v>773.22824027154161</v>
      </c>
      <c r="AG40" s="275">
        <f>SUM(AG8:AG37)</f>
        <v>542.47709031801958</v>
      </c>
      <c r="AH40" s="275">
        <f>SUM(AH8:AH37)</f>
        <v>221.09038777437473</v>
      </c>
      <c r="AI40" s="275">
        <f>IF(SUM(AG40:AH40)&gt;0, AG40/(AG40+AH40),0)</f>
        <v>0.7104507537084731</v>
      </c>
      <c r="AJ40" s="310">
        <v>6.5000000000000002E-2</v>
      </c>
      <c r="AK40" s="310">
        <f t="shared" ref="AK40:AS40" si="2">$AJ$40</f>
        <v>6.5000000000000002E-2</v>
      </c>
      <c r="AL40" s="310">
        <f t="shared" si="2"/>
        <v>6.5000000000000002E-2</v>
      </c>
      <c r="AM40" s="310">
        <f t="shared" si="2"/>
        <v>6.5000000000000002E-2</v>
      </c>
      <c r="AN40" s="310">
        <f t="shared" si="2"/>
        <v>6.5000000000000002E-2</v>
      </c>
      <c r="AO40" s="310">
        <f t="shared" si="2"/>
        <v>6.5000000000000002E-2</v>
      </c>
      <c r="AP40" s="310">
        <f t="shared" si="2"/>
        <v>6.5000000000000002E-2</v>
      </c>
      <c r="AQ40" s="310">
        <f t="shared" si="2"/>
        <v>6.5000000000000002E-2</v>
      </c>
      <c r="AR40" s="310">
        <f t="shared" si="2"/>
        <v>6.5000000000000002E-2</v>
      </c>
      <c r="AS40" s="310">
        <f t="shared" si="2"/>
        <v>6.5000000000000002E-2</v>
      </c>
    </row>
    <row r="41" spans="1:55" ht="16.5" thickTop="1" thickBot="1" x14ac:dyDescent="0.3">
      <c r="A41" s="48" t="s">
        <v>26</v>
      </c>
      <c r="B41" s="35">
        <f t="shared" ref="B41:AC41" si="3">B40*B39</f>
        <v>0</v>
      </c>
      <c r="C41" s="36">
        <f>C40*C39</f>
        <v>3388.4675915990601</v>
      </c>
      <c r="D41" s="36">
        <f t="shared" si="3"/>
        <v>66244.848519865569</v>
      </c>
      <c r="E41" s="36">
        <f t="shared" si="3"/>
        <v>2472.9609571772694</v>
      </c>
      <c r="F41" s="36">
        <f t="shared" si="3"/>
        <v>0</v>
      </c>
      <c r="G41" s="36">
        <f t="shared" si="3"/>
        <v>4895.5449423914488</v>
      </c>
      <c r="H41" s="37">
        <f t="shared" si="3"/>
        <v>3370.6427900528561</v>
      </c>
      <c r="I41" s="35">
        <f t="shared" si="3"/>
        <v>7210.8541039365446</v>
      </c>
      <c r="J41" s="36">
        <f t="shared" si="3"/>
        <v>31534.87854245054</v>
      </c>
      <c r="K41" s="36">
        <f t="shared" si="3"/>
        <v>5355.1839449551417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3418.4464629073686</v>
      </c>
      <c r="V41" s="266">
        <f t="shared" si="3"/>
        <v>1397.1003789844151</v>
      </c>
      <c r="W41" s="266">
        <f t="shared" si="3"/>
        <v>1922.3509444917383</v>
      </c>
      <c r="X41" s="266">
        <f t="shared" si="3"/>
        <v>783.07637148563492</v>
      </c>
      <c r="Y41" s="266">
        <f t="shared" si="3"/>
        <v>29617.631369371422</v>
      </c>
      <c r="Z41" s="266">
        <f t="shared" si="3"/>
        <v>11943.03784932794</v>
      </c>
      <c r="AA41" s="270">
        <f t="shared" si="3"/>
        <v>0</v>
      </c>
      <c r="AB41" s="273">
        <f t="shared" si="3"/>
        <v>968.01058708902031</v>
      </c>
      <c r="AC41" s="273">
        <f t="shared" si="3"/>
        <v>0</v>
      </c>
      <c r="AJ41" s="276">
        <f t="shared" ref="AJ41:AK41" si="4">AJ40*AJ39</f>
        <v>463.03909941713027</v>
      </c>
      <c r="AK41" s="276">
        <f t="shared" si="4"/>
        <v>1626.5368978579841</v>
      </c>
      <c r="AL41" s="276">
        <f t="shared" ref="AL41:AS41" si="5">AL40*AL39</f>
        <v>5824.6746875460312</v>
      </c>
      <c r="AM41" s="276">
        <f t="shared" si="5"/>
        <v>1061.5333078572592</v>
      </c>
      <c r="AN41" s="276">
        <f t="shared" si="5"/>
        <v>11824.502621826172</v>
      </c>
      <c r="AO41" s="276">
        <f t="shared" si="5"/>
        <v>4921.6648455560044</v>
      </c>
      <c r="AP41" s="276">
        <f t="shared" si="5"/>
        <v>1003.4853566151141</v>
      </c>
      <c r="AQ41" s="276">
        <f t="shared" si="5"/>
        <v>6733.4758255399065</v>
      </c>
      <c r="AR41" s="276">
        <f t="shared" si="5"/>
        <v>849.49682113320034</v>
      </c>
      <c r="AS41" s="276">
        <f t="shared" si="5"/>
        <v>1445.4201357551099</v>
      </c>
    </row>
    <row r="42" spans="1:55" ht="49.5" customHeight="1" thickTop="1" thickBot="1" x14ac:dyDescent="0.3">
      <c r="A42" s="640">
        <f>AUGUST!$A$42+31</f>
        <v>44075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/>
      <c r="AK42" s="276" t="s">
        <v>197</v>
      </c>
      <c r="AL42" s="276">
        <v>361.58</v>
      </c>
      <c r="AM42" s="276">
        <v>447.1</v>
      </c>
      <c r="AN42" s="276">
        <v>221.11</v>
      </c>
      <c r="AO42" s="276">
        <v>830.13</v>
      </c>
      <c r="AP42" s="276">
        <v>1.55</v>
      </c>
      <c r="AQ42" s="276" t="s">
        <v>197</v>
      </c>
      <c r="AR42" s="276">
        <v>48.23</v>
      </c>
      <c r="AS42" s="276">
        <v>187.99</v>
      </c>
    </row>
    <row r="43" spans="1:5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55" ht="61.5" customHeight="1" thickTop="1" thickBot="1" x14ac:dyDescent="0.3">
      <c r="A44" s="280" t="s">
        <v>135</v>
      </c>
      <c r="B44" s="281">
        <f>SUM(B41:AC41)</f>
        <v>174523.03535608598</v>
      </c>
      <c r="C44" s="12"/>
      <c r="D44" s="280" t="s">
        <v>135</v>
      </c>
      <c r="E44" s="281">
        <f>SUM(B41:H41)+P41+R41+T41+V41+X41+Z41</f>
        <v>94495.679400884197</v>
      </c>
      <c r="F44" s="12"/>
      <c r="G44" s="280" t="s">
        <v>135</v>
      </c>
      <c r="H44" s="281">
        <f>SUM(I41:N41)+O41+Q41+S41+U41+W41+Y41</f>
        <v>79059.345368112758</v>
      </c>
      <c r="I44" s="12"/>
      <c r="J44" s="280" t="s">
        <v>198</v>
      </c>
      <c r="K44" s="281">
        <v>156360.69999999998</v>
      </c>
      <c r="L44" s="12"/>
      <c r="M44" s="12"/>
      <c r="N44" s="12"/>
      <c r="O44" s="12"/>
      <c r="P44" s="12"/>
      <c r="Q44" s="12"/>
      <c r="R44" s="298" t="s">
        <v>135</v>
      </c>
      <c r="S44" s="299"/>
      <c r="T44" s="295" t="s">
        <v>167</v>
      </c>
      <c r="U44" s="253" t="s">
        <v>168</v>
      </c>
    </row>
    <row r="45" spans="1:55" ht="60" customHeight="1" thickBot="1" x14ac:dyDescent="0.4">
      <c r="A45" s="282" t="s">
        <v>183</v>
      </c>
      <c r="B45" s="283">
        <f>SUM(AJ41:AS41)</f>
        <v>35753.829599103912</v>
      </c>
      <c r="C45" s="370">
        <f>B45/B49</f>
        <v>46.239684141060231</v>
      </c>
      <c r="D45" s="282" t="s">
        <v>183</v>
      </c>
      <c r="E45" s="283">
        <f>AJ41*(1-$AI$40)+AK41+AL41*0.5+AN41+AO41*(1-$AI$40)+AP41*(1-$AI$40)+AQ41*(1-$AI$40)+AR41*0.5+AS41*0.5</f>
        <v>21310.2035895511</v>
      </c>
      <c r="F45" s="24"/>
      <c r="G45" s="282" t="s">
        <v>183</v>
      </c>
      <c r="H45" s="283">
        <f>AJ41*AI40+AL41*0.5+AM41+AO41*AI40+AP41*AI40+AQ41*AI40+AR41*0.5+AS41*0.5</f>
        <v>14443.626009552818</v>
      </c>
      <c r="I45" s="12"/>
      <c r="J45" s="12"/>
      <c r="K45" s="286"/>
      <c r="L45" s="12"/>
      <c r="M45" s="12"/>
      <c r="N45" s="12"/>
      <c r="O45" s="12"/>
      <c r="P45" s="12"/>
      <c r="Q45" s="12"/>
      <c r="R45" s="296" t="s">
        <v>141</v>
      </c>
      <c r="S45" s="297"/>
      <c r="T45" s="252">
        <f>$W$39+$X$39</f>
        <v>3148.2120002492256</v>
      </c>
      <c r="U45" s="254">
        <f>(T45*8.34*0.895)/27000</f>
        <v>0.87034069753556653</v>
      </c>
    </row>
    <row r="46" spans="1:55" ht="32.25" thickBot="1" x14ac:dyDescent="0.3">
      <c r="A46" s="284" t="s">
        <v>184</v>
      </c>
      <c r="B46" s="285">
        <f>SUM(AJ42:AS42)</f>
        <v>2097.69</v>
      </c>
      <c r="C46" s="12"/>
      <c r="D46" s="284" t="s">
        <v>184</v>
      </c>
      <c r="E46" s="285">
        <f>AJ42*(1-$AI$40)+AL42*0.5+AN42+AO42*(1-$AI$40)+AP42*(1-$AI$40)+AR42*0.5+AS42*0.5</f>
        <v>760.8223171557371</v>
      </c>
      <c r="F46" s="23"/>
      <c r="G46" s="284" t="s">
        <v>184</v>
      </c>
      <c r="H46" s="285">
        <f>AJ42*AI40+AL42*0.5+AM42+AO42*AI40+AP42*AI40+AR42*0.5+AS42*0.5</f>
        <v>1336.8676828442626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296" t="s">
        <v>145</v>
      </c>
      <c r="S46" s="297"/>
      <c r="T46" s="252">
        <f>$M$39+$N$39+$F$39</f>
        <v>0</v>
      </c>
      <c r="U46" s="255">
        <f>(((T46*8.34)*0.005)/(8.34*1.055))/400</f>
        <v>0</v>
      </c>
    </row>
    <row r="47" spans="1:55" ht="24.75" thickTop="1" thickBot="1" x14ac:dyDescent="0.4">
      <c r="A47" s="284" t="s">
        <v>185</v>
      </c>
      <c r="B47" s="285">
        <f>K44</f>
        <v>156360.69999999998</v>
      </c>
      <c r="C47" s="12"/>
      <c r="D47" s="284" t="s">
        <v>187</v>
      </c>
      <c r="E47" s="285">
        <f>K44*0.5</f>
        <v>78180.349999999991</v>
      </c>
      <c r="F47" s="24"/>
      <c r="G47" s="284" t="s">
        <v>185</v>
      </c>
      <c r="H47" s="285">
        <f>K44*0.5</f>
        <v>78180.349999999991</v>
      </c>
      <c r="I47" s="12"/>
      <c r="J47" s="280" t="s">
        <v>198</v>
      </c>
      <c r="K47" s="281">
        <v>54301.440000000002</v>
      </c>
      <c r="L47" s="12"/>
      <c r="M47" s="12"/>
      <c r="N47" s="12"/>
      <c r="O47" s="12"/>
      <c r="P47" s="12"/>
      <c r="Q47" s="12"/>
      <c r="R47" s="296" t="s">
        <v>148</v>
      </c>
      <c r="S47" s="297"/>
      <c r="T47" s="252">
        <f>$G$39</f>
        <v>81626.426717656504</v>
      </c>
      <c r="U47" s="254">
        <f>T47/40000</f>
        <v>2.0406606679414128</v>
      </c>
    </row>
    <row r="48" spans="1:55" ht="24" thickBot="1" x14ac:dyDescent="0.3">
      <c r="A48" s="284" t="s">
        <v>186</v>
      </c>
      <c r="B48" s="285">
        <f>K47</f>
        <v>54301.440000000002</v>
      </c>
      <c r="C48" s="12"/>
      <c r="D48" s="284" t="s">
        <v>186</v>
      </c>
      <c r="E48" s="285">
        <f>K47*0.5</f>
        <v>27150.720000000001</v>
      </c>
      <c r="F48" s="23"/>
      <c r="G48" s="284" t="s">
        <v>186</v>
      </c>
      <c r="H48" s="285">
        <f>K47*0.5</f>
        <v>27150.720000000001</v>
      </c>
      <c r="I48" s="12"/>
      <c r="J48" s="12"/>
      <c r="K48" s="86"/>
      <c r="L48" s="12"/>
      <c r="M48" s="12"/>
      <c r="N48" s="12"/>
      <c r="O48" s="12"/>
      <c r="P48" s="12"/>
      <c r="Q48" s="12"/>
      <c r="R48" s="296" t="s">
        <v>150</v>
      </c>
      <c r="S48" s="297"/>
      <c r="T48" s="252">
        <f>$L$39</f>
        <v>0</v>
      </c>
      <c r="U48" s="254">
        <f>T48*9.34*0.107</f>
        <v>0</v>
      </c>
    </row>
    <row r="49" spans="1:21" ht="46.5" customHeight="1" thickTop="1" thickBot="1" x14ac:dyDescent="0.3">
      <c r="A49" s="289" t="s">
        <v>194</v>
      </c>
      <c r="B49" s="290">
        <f>AF40</f>
        <v>773.22824027154161</v>
      </c>
      <c r="C49" s="370">
        <f>B44/B49</f>
        <v>225.70701154784146</v>
      </c>
      <c r="D49" s="289" t="s">
        <v>195</v>
      </c>
      <c r="E49" s="290">
        <f>AH40</f>
        <v>221.09038777437473</v>
      </c>
      <c r="F49" s="23"/>
      <c r="G49" s="289" t="s">
        <v>196</v>
      </c>
      <c r="H49" s="290">
        <f>AG40</f>
        <v>542.47709031801958</v>
      </c>
      <c r="I49" s="12"/>
      <c r="J49" s="12"/>
      <c r="K49" s="86"/>
      <c r="L49" s="12"/>
      <c r="M49" s="12"/>
      <c r="N49" s="12"/>
      <c r="O49" s="12"/>
      <c r="P49" s="12"/>
      <c r="Q49" s="12"/>
      <c r="R49" s="296" t="s">
        <v>152</v>
      </c>
      <c r="S49" s="297"/>
      <c r="T49" s="252">
        <f>$E$39+$K$39</f>
        <v>1769.6577810449403</v>
      </c>
      <c r="U49" s="254">
        <f>(T49*8.34*1.04)/45000</f>
        <v>0.34109563843714213</v>
      </c>
    </row>
    <row r="50" spans="1:21" ht="47.25" customHeight="1" thickTop="1" thickBot="1" x14ac:dyDescent="0.3">
      <c r="A50" s="289" t="s">
        <v>223</v>
      </c>
      <c r="B50" s="290">
        <f>SUM(E50+H50)</f>
        <v>788.55388538326997</v>
      </c>
      <c r="C50" s="370"/>
      <c r="D50" s="289" t="s">
        <v>224</v>
      </c>
      <c r="E50" s="290">
        <f>AE40</f>
        <v>224.57726707129547</v>
      </c>
      <c r="F50" s="23"/>
      <c r="G50" s="289" t="s">
        <v>225</v>
      </c>
      <c r="H50" s="290">
        <f>AD40</f>
        <v>563.97661831197445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1" ht="48" customHeight="1" thickTop="1" thickBot="1" x14ac:dyDescent="0.3">
      <c r="A51" s="289" t="s">
        <v>190</v>
      </c>
      <c r="B51" s="291">
        <f>(SUM(B44:B48)/B50)</f>
        <v>536.4715117085201</v>
      </c>
      <c r="C51" s="12"/>
      <c r="D51" s="289" t="s">
        <v>188</v>
      </c>
      <c r="E51" s="292">
        <f>SUM(E44:E48)/E50</f>
        <v>988.06873109354467</v>
      </c>
      <c r="F51" s="371">
        <f>E44/E49</f>
        <v>427.4074524547766</v>
      </c>
      <c r="G51" s="289" t="s">
        <v>189</v>
      </c>
      <c r="H51" s="292">
        <f>SUM(H44:H48)/H50</f>
        <v>354.92767352596428</v>
      </c>
      <c r="I51" s="370">
        <f>H44/H49</f>
        <v>145.73766667596107</v>
      </c>
      <c r="J51" s="12"/>
      <c r="K51" s="86"/>
      <c r="L51" s="12"/>
      <c r="M51" s="12"/>
      <c r="N51" s="12"/>
      <c r="O51" s="12"/>
      <c r="P51" s="12"/>
      <c r="Q51" s="12"/>
      <c r="R51" s="296" t="s">
        <v>153</v>
      </c>
      <c r="S51" s="297"/>
      <c r="T51" s="252">
        <f>$U$39+$V$39+$AB$39</f>
        <v>21866.00162185559</v>
      </c>
      <c r="U51" s="254">
        <f>T51/2000/8</f>
        <v>1.3666251013659745</v>
      </c>
    </row>
    <row r="52" spans="1:21" ht="48" customHeight="1" thickTop="1" thickBot="1" x14ac:dyDescent="0.3">
      <c r="A52" s="279" t="s">
        <v>191</v>
      </c>
      <c r="B52" s="292">
        <f>B51/1000</f>
        <v>0.53647151170852014</v>
      </c>
      <c r="C52" s="12"/>
      <c r="D52" s="279" t="s">
        <v>192</v>
      </c>
      <c r="E52" s="292">
        <f>E51/1000</f>
        <v>0.98806873109354465</v>
      </c>
      <c r="F52" s="12"/>
      <c r="G52" s="279" t="s">
        <v>193</v>
      </c>
      <c r="H52" s="292">
        <f>H51/1000</f>
        <v>0.35492767352596427</v>
      </c>
      <c r="I52" s="12"/>
      <c r="J52" s="12"/>
      <c r="K52" s="86"/>
      <c r="L52" s="12"/>
      <c r="M52" s="12"/>
      <c r="N52" s="12"/>
      <c r="O52" s="12"/>
      <c r="P52" s="12"/>
      <c r="Q52" s="12"/>
      <c r="R52" s="296" t="s">
        <v>154</v>
      </c>
      <c r="S52" s="297"/>
      <c r="T52" s="252">
        <f>$C$39+$J$39+$S$39+$T$39</f>
        <v>24444.563902921658</v>
      </c>
      <c r="U52" s="254">
        <f>(T52*8.34*1.4)/45000</f>
        <v>6.342549514011405</v>
      </c>
    </row>
    <row r="53" spans="1:21" ht="48" customHeight="1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6" t="s">
        <v>155</v>
      </c>
      <c r="S53" s="297"/>
      <c r="T53" s="252">
        <f>$H$39</f>
        <v>901.47507222871172</v>
      </c>
      <c r="U53" s="254">
        <f>(T53*8.34*1.135)/45000</f>
        <v>0.18962828636021692</v>
      </c>
    </row>
    <row r="54" spans="1:21" ht="47.25" customHeight="1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6" t="s">
        <v>156</v>
      </c>
      <c r="S54" s="297"/>
      <c r="T54" s="252">
        <f>$B$39+$I$39+$AC$39</f>
        <v>10813.947689830464</v>
      </c>
      <c r="U54" s="254">
        <f>(T54*8.34*1.029*0.03)/3300</f>
        <v>0.84367077383134959</v>
      </c>
    </row>
    <row r="55" spans="1:21" ht="78.75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49157.920829687107</v>
      </c>
      <c r="U55" s="257">
        <f>(T55*1.54*8.34)/45000</f>
        <v>14.030326043737094</v>
      </c>
    </row>
    <row r="56" spans="1:21" ht="71.25" customHeight="1" thickTop="1" x14ac:dyDescent="0.25">
      <c r="A56" s="301"/>
      <c r="B56" s="301"/>
      <c r="C56" s="301"/>
      <c r="D56" s="301"/>
      <c r="E56" s="301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94.5" customHeight="1" x14ac:dyDescent="0.25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46.5" customHeight="1" x14ac:dyDescent="0.25">
      <c r="A58" s="672"/>
      <c r="B58" s="673"/>
      <c r="C58" s="673"/>
      <c r="D58" s="673"/>
      <c r="E58" s="673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8.75" x14ac:dyDescent="0.25">
      <c r="A59" s="672"/>
      <c r="B59" s="673"/>
      <c r="C59" s="673"/>
      <c r="D59" s="673"/>
      <c r="E59" s="673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ht="15" customHeight="1" x14ac:dyDescent="0.25">
      <c r="A60" s="277"/>
      <c r="B60" s="27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x14ac:dyDescent="0.25">
      <c r="A61" s="278"/>
      <c r="B61" s="27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 ht="15" customHeight="1" x14ac:dyDescent="0.25">
      <c r="A62" s="277"/>
      <c r="B62" s="27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21" x14ac:dyDescent="0.25">
      <c r="A63" s="278"/>
      <c r="B63" s="278"/>
      <c r="C63" s="12"/>
      <c r="D63" s="12"/>
      <c r="E63" s="12"/>
      <c r="F63" s="12"/>
      <c r="G63" s="12"/>
      <c r="H63" s="12"/>
      <c r="I63" s="12"/>
      <c r="J63" s="12"/>
      <c r="K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5" spans="1:25" x14ac:dyDescent="0.25">
      <c r="A65" s="12"/>
      <c r="B65" s="12"/>
      <c r="C65" s="12"/>
      <c r="D65" s="12"/>
      <c r="E65" s="12"/>
      <c r="F65" s="12"/>
      <c r="G65" s="12"/>
    </row>
    <row r="66" spans="1:25" x14ac:dyDescent="0.25">
      <c r="A66" s="12"/>
      <c r="B66" s="12"/>
      <c r="C66" s="12"/>
      <c r="D66" s="12"/>
      <c r="E66" s="12"/>
      <c r="F66" s="12"/>
      <c r="G66" s="12"/>
    </row>
    <row r="68" spans="1:25" x14ac:dyDescent="0.25">
      <c r="A68" s="45"/>
      <c r="B68" s="45"/>
      <c r="C68" s="45"/>
      <c r="D68" s="45"/>
      <c r="E68" s="45"/>
      <c r="F68" s="45"/>
      <c r="G68" s="45"/>
      <c r="H68" s="45"/>
    </row>
    <row r="69" spans="1:25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x14ac:dyDescent="0.25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93" customHeight="1" x14ac:dyDescent="0.25">
      <c r="A71" s="12"/>
      <c r="B71" s="12"/>
      <c r="S71" s="12"/>
      <c r="T71" s="12"/>
      <c r="U71" s="12"/>
      <c r="V71" s="12"/>
      <c r="W71" s="12"/>
      <c r="X71" s="12"/>
      <c r="Y71" s="12"/>
    </row>
    <row r="72" spans="1:25" ht="75" customHeight="1" x14ac:dyDescent="0.25">
      <c r="A72" s="12"/>
      <c r="B72" s="12"/>
    </row>
    <row r="73" spans="1:25" ht="51.75" customHeight="1" x14ac:dyDescent="0.25">
      <c r="A73" s="12"/>
      <c r="B73" s="12"/>
    </row>
    <row r="74" spans="1:25" x14ac:dyDescent="0.25">
      <c r="A74" s="12"/>
      <c r="B74" s="12"/>
      <c r="C74" s="12"/>
      <c r="D74" s="12"/>
    </row>
    <row r="75" spans="1:25" x14ac:dyDescent="0.25">
      <c r="A75" s="12"/>
      <c r="B75" s="12"/>
      <c r="C75" s="12"/>
      <c r="D75" s="12"/>
      <c r="E75" s="12"/>
    </row>
    <row r="76" spans="1:25" x14ac:dyDescent="0.25">
      <c r="A76" s="12"/>
      <c r="B76" s="12"/>
      <c r="C76" s="12"/>
      <c r="D76" s="12"/>
      <c r="E76" s="12"/>
    </row>
  </sheetData>
  <sheetProtection algorithmName="SHA-512" hashValue="eVWwg/4qcIa2GRl4GiCzCT1JyuLzEWxtEchvG6gCgHJf5cbqxVUPohXnZYL3lMotpdf2DcK76Vul/dVB9Jm1qg==" saltValue="3fGBcOaXcY5MmOXQjjpQXQ==" spinCount="100000" sheet="1" selectLockedCells="1" selectUnlockedCells="1"/>
  <mergeCells count="34">
    <mergeCell ref="AO4:AO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G4:AG5"/>
    <mergeCell ref="AH4:AH5"/>
    <mergeCell ref="AI4:AI5"/>
    <mergeCell ref="O4:T5"/>
    <mergeCell ref="U4:AA5"/>
    <mergeCell ref="AB4:AB5"/>
    <mergeCell ref="AC4:AC5"/>
    <mergeCell ref="AD4:AD5"/>
    <mergeCell ref="AE4:AE5"/>
    <mergeCell ref="B4:H5"/>
    <mergeCell ref="I4:N5"/>
    <mergeCell ref="J43:K43"/>
    <mergeCell ref="A42:K42"/>
    <mergeCell ref="AF4:AF5"/>
    <mergeCell ref="R43:U43"/>
    <mergeCell ref="A43:B43"/>
    <mergeCell ref="D43:E43"/>
    <mergeCell ref="G43:H43"/>
    <mergeCell ref="R55:S55"/>
    <mergeCell ref="A55:E55"/>
    <mergeCell ref="A58:E58"/>
    <mergeCell ref="A59:E59"/>
    <mergeCell ref="J46:K46"/>
    <mergeCell ref="A54:E54"/>
  </mergeCells>
  <printOptions horizontalCentered="1"/>
  <pageMargins left="0.33" right="0.19" top="0.75" bottom="0.75" header="0.3" footer="0.3"/>
  <pageSetup paperSize="17" scale="67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C67"/>
  <sheetViews>
    <sheetView topLeftCell="AH18" zoomScale="75" zoomScaleNormal="75" workbookViewId="0">
      <selection activeCell="K47" sqref="K47"/>
    </sheetView>
  </sheetViews>
  <sheetFormatPr defaultRowHeight="15" x14ac:dyDescent="0.25"/>
  <cols>
    <col min="1" max="1" width="38.710937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6" width="20.42578125" customWidth="1"/>
    <col min="47" max="47" width="20.285156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58" t="s">
        <v>206</v>
      </c>
    </row>
    <row r="4" spans="1:55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</row>
    <row r="5" spans="1:55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4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>
        <v>44105</v>
      </c>
      <c r="B8" s="49"/>
      <c r="C8" s="50">
        <v>79.03801679611162</v>
      </c>
      <c r="D8" s="50">
        <v>998.83613344828336</v>
      </c>
      <c r="E8" s="50">
        <v>18.496322941283395</v>
      </c>
      <c r="F8" s="50">
        <v>0</v>
      </c>
      <c r="G8" s="50">
        <v>2776.843628056848</v>
      </c>
      <c r="H8" s="51">
        <v>29.992547720670768</v>
      </c>
      <c r="I8" s="49">
        <v>351.82557740211524</v>
      </c>
      <c r="J8" s="50">
        <v>712.57480796177981</v>
      </c>
      <c r="K8" s="50">
        <v>39.081379041075621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402.75118047229023</v>
      </c>
      <c r="V8" s="54">
        <v>178.3103547695755</v>
      </c>
      <c r="W8" s="54">
        <v>70.058692339682551</v>
      </c>
      <c r="X8" s="54">
        <v>31.017141330615708</v>
      </c>
      <c r="Y8" s="54">
        <v>321.34106808102928</v>
      </c>
      <c r="Z8" s="54">
        <v>142.26759008967039</v>
      </c>
      <c r="AA8" s="55">
        <v>0</v>
      </c>
      <c r="AB8" s="56">
        <v>105.7140069272773</v>
      </c>
      <c r="AC8" s="57">
        <v>0</v>
      </c>
      <c r="AD8" s="405">
        <v>17.53261267968017</v>
      </c>
      <c r="AE8" s="405">
        <v>7.4858844474766162</v>
      </c>
      <c r="AF8" s="57">
        <v>24.397958522372786</v>
      </c>
      <c r="AG8" s="58">
        <v>16.648677016966854</v>
      </c>
      <c r="AH8" s="58">
        <v>7.370882195449413</v>
      </c>
      <c r="AI8" s="58">
        <v>0.69312999750473214</v>
      </c>
      <c r="AJ8" s="57">
        <v>254.65051590601601</v>
      </c>
      <c r="AK8" s="57">
        <v>841.39441204071045</v>
      </c>
      <c r="AL8" s="57">
        <v>2813.2666768391923</v>
      </c>
      <c r="AM8" s="57">
        <v>537.66838073730469</v>
      </c>
      <c r="AN8" s="57">
        <v>6063.847412109375</v>
      </c>
      <c r="AO8" s="57">
        <v>2583.5236021677656</v>
      </c>
      <c r="AP8" s="57">
        <v>601.01932675043724</v>
      </c>
      <c r="AQ8" s="57">
        <v>3379.2349876403814</v>
      </c>
      <c r="AR8" s="57">
        <v>414.7694196065267</v>
      </c>
      <c r="AS8" s="57">
        <v>600.67289230028791</v>
      </c>
    </row>
    <row r="9" spans="1:55" x14ac:dyDescent="0.25">
      <c r="A9" s="11">
        <v>44106</v>
      </c>
      <c r="B9" s="59"/>
      <c r="C9" s="60">
        <v>79.668506956100401</v>
      </c>
      <c r="D9" s="60">
        <v>999.12139116922981</v>
      </c>
      <c r="E9" s="50">
        <v>18.448732416331779</v>
      </c>
      <c r="F9" s="60">
        <v>0</v>
      </c>
      <c r="G9" s="60">
        <v>2776.2555075327577</v>
      </c>
      <c r="H9" s="61">
        <v>30.261061676343306</v>
      </c>
      <c r="I9" s="59">
        <v>351.13709826469449</v>
      </c>
      <c r="J9" s="60">
        <v>712.85719375610154</v>
      </c>
      <c r="K9" s="60">
        <v>39.065377016862186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409.28664322210204</v>
      </c>
      <c r="V9" s="62">
        <v>181.39279021906097</v>
      </c>
      <c r="W9" s="62">
        <v>70.708326713622498</v>
      </c>
      <c r="X9" s="62">
        <v>31.337403471886205</v>
      </c>
      <c r="Y9" s="66">
        <v>321.969304412562</v>
      </c>
      <c r="Z9" s="66">
        <v>142.69439635876932</v>
      </c>
      <c r="AA9" s="67">
        <v>0</v>
      </c>
      <c r="AB9" s="68">
        <v>105.43778247303419</v>
      </c>
      <c r="AC9" s="69">
        <v>0</v>
      </c>
      <c r="AD9" s="406">
        <v>17.517276301401658</v>
      </c>
      <c r="AE9" s="406">
        <v>7.4874981607182303</v>
      </c>
      <c r="AF9" s="69">
        <v>24.313255609406351</v>
      </c>
      <c r="AG9" s="68">
        <v>16.58749167720779</v>
      </c>
      <c r="AH9" s="68">
        <v>7.3514526992062112</v>
      </c>
      <c r="AI9" s="68">
        <v>0.69290823423069237</v>
      </c>
      <c r="AJ9" s="69">
        <v>248.8625844160716</v>
      </c>
      <c r="AK9" s="69">
        <v>832.62349526087451</v>
      </c>
      <c r="AL9" s="69">
        <v>2941.3289082845054</v>
      </c>
      <c r="AM9" s="69">
        <v>537.66838073730469</v>
      </c>
      <c r="AN9" s="69">
        <v>6063.847412109375</v>
      </c>
      <c r="AO9" s="69">
        <v>2583.7619064331052</v>
      </c>
      <c r="AP9" s="69">
        <v>617.9250034014384</v>
      </c>
      <c r="AQ9" s="69">
        <v>3374.3136852264392</v>
      </c>
      <c r="AR9" s="69">
        <v>412.46521348953257</v>
      </c>
      <c r="AS9" s="69">
        <v>683.30687745412195</v>
      </c>
    </row>
    <row r="10" spans="1:55" x14ac:dyDescent="0.25">
      <c r="A10" s="11">
        <v>44107</v>
      </c>
      <c r="B10" s="59"/>
      <c r="C10" s="60">
        <v>79.27273939847916</v>
      </c>
      <c r="D10" s="60">
        <v>999.54253133138081</v>
      </c>
      <c r="E10" s="50">
        <v>18.956044648587703</v>
      </c>
      <c r="F10" s="60">
        <v>0</v>
      </c>
      <c r="G10" s="60">
        <v>2778.179804229746</v>
      </c>
      <c r="H10" s="61">
        <v>30.201437032222813</v>
      </c>
      <c r="I10" s="59">
        <v>351.389521169663</v>
      </c>
      <c r="J10" s="60">
        <v>711.64417797724229</v>
      </c>
      <c r="K10" s="60">
        <v>38.997275483608234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402.0577371950867</v>
      </c>
      <c r="V10" s="62">
        <v>177.38744556281665</v>
      </c>
      <c r="W10" s="62">
        <v>70.195208511204086</v>
      </c>
      <c r="X10" s="62">
        <v>30.970051255374631</v>
      </c>
      <c r="Y10" s="66">
        <v>327.79082546967925</v>
      </c>
      <c r="Z10" s="66">
        <v>144.62096318464785</v>
      </c>
      <c r="AA10" s="67">
        <v>0</v>
      </c>
      <c r="AB10" s="68">
        <v>102.23490434752435</v>
      </c>
      <c r="AC10" s="69">
        <v>0</v>
      </c>
      <c r="AD10" s="406">
        <v>17.510420360751112</v>
      </c>
      <c r="AE10" s="406">
        <v>7.4908151730714794</v>
      </c>
      <c r="AF10" s="69">
        <v>24.862963628768906</v>
      </c>
      <c r="AG10" s="68">
        <v>16.999932644831091</v>
      </c>
      <c r="AH10" s="68">
        <v>7.500352182361576</v>
      </c>
      <c r="AI10" s="68">
        <v>0.6938667352129313</v>
      </c>
      <c r="AJ10" s="69">
        <v>246.53626173337298</v>
      </c>
      <c r="AK10" s="69">
        <v>801.48496341705334</v>
      </c>
      <c r="AL10" s="69">
        <v>2914.4964004516601</v>
      </c>
      <c r="AM10" s="69">
        <v>537.66838073730469</v>
      </c>
      <c r="AN10" s="69">
        <v>6063.847412109375</v>
      </c>
      <c r="AO10" s="69">
        <v>2543.3807735443115</v>
      </c>
      <c r="AP10" s="69">
        <v>598.2868240674336</v>
      </c>
      <c r="AQ10" s="69">
        <v>3420.7457873026533</v>
      </c>
      <c r="AR10" s="69">
        <v>424.74379771550491</v>
      </c>
      <c r="AS10" s="69">
        <v>577.20446243286131</v>
      </c>
    </row>
    <row r="11" spans="1:55" x14ac:dyDescent="0.25">
      <c r="A11" s="11">
        <v>44108</v>
      </c>
      <c r="B11" s="59"/>
      <c r="C11" s="60">
        <v>79.032199966906916</v>
      </c>
      <c r="D11" s="60">
        <v>999.00663248698038</v>
      </c>
      <c r="E11" s="50">
        <v>18.764547941585349</v>
      </c>
      <c r="F11" s="60">
        <v>0</v>
      </c>
      <c r="G11" s="60">
        <v>2788.4960970560719</v>
      </c>
      <c r="H11" s="61">
        <v>30.103734572728555</v>
      </c>
      <c r="I11" s="59">
        <v>258.31190640131598</v>
      </c>
      <c r="J11" s="60">
        <v>563.11552152633647</v>
      </c>
      <c r="K11" s="60">
        <v>30.886638291676839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327.19139939242535</v>
      </c>
      <c r="V11" s="62">
        <v>184.68278667834036</v>
      </c>
      <c r="W11" s="62">
        <v>55.429166497725454</v>
      </c>
      <c r="X11" s="62">
        <v>31.28692548479814</v>
      </c>
      <c r="Y11" s="66">
        <v>248.51931459133957</v>
      </c>
      <c r="Z11" s="66">
        <v>140.27642428055296</v>
      </c>
      <c r="AA11" s="67">
        <v>0</v>
      </c>
      <c r="AB11" s="68">
        <v>87.658638493221247</v>
      </c>
      <c r="AC11" s="69">
        <v>0</v>
      </c>
      <c r="AD11" s="406">
        <v>13.853698284417918</v>
      </c>
      <c r="AE11" s="406">
        <v>7.4862649051317769</v>
      </c>
      <c r="AF11" s="69">
        <v>20.955320668882802</v>
      </c>
      <c r="AG11" s="68">
        <v>13.175121360229253</v>
      </c>
      <c r="AH11" s="68">
        <v>7.4366811968493174</v>
      </c>
      <c r="AI11" s="68">
        <v>0.63920277344712928</v>
      </c>
      <c r="AJ11" s="69">
        <v>227.41192474365235</v>
      </c>
      <c r="AK11" s="69">
        <v>749.48192923863735</v>
      </c>
      <c r="AL11" s="69">
        <v>2829.488126118978</v>
      </c>
      <c r="AM11" s="69">
        <v>537.66838073730469</v>
      </c>
      <c r="AN11" s="69">
        <v>6063.847412109375</v>
      </c>
      <c r="AO11" s="69">
        <v>2563.1581836700434</v>
      </c>
      <c r="AP11" s="69">
        <v>594.60589911142995</v>
      </c>
      <c r="AQ11" s="69">
        <v>2906.8404038747153</v>
      </c>
      <c r="AR11" s="69">
        <v>422.46308994293219</v>
      </c>
      <c r="AS11" s="69">
        <v>682.77213366826379</v>
      </c>
    </row>
    <row r="12" spans="1:55" x14ac:dyDescent="0.25">
      <c r="A12" s="11">
        <v>44109</v>
      </c>
      <c r="B12" s="59"/>
      <c r="C12" s="60">
        <v>79.898613854249305</v>
      </c>
      <c r="D12" s="60">
        <v>1003.3519668579103</v>
      </c>
      <c r="E12" s="50">
        <v>18.564747225741563</v>
      </c>
      <c r="F12" s="60">
        <v>0</v>
      </c>
      <c r="G12" s="60">
        <v>2824.4076099395788</v>
      </c>
      <c r="H12" s="61">
        <v>30.266180388132764</v>
      </c>
      <c r="I12" s="59">
        <v>248.61728027661587</v>
      </c>
      <c r="J12" s="60">
        <v>548.52486855188999</v>
      </c>
      <c r="K12" s="60">
        <v>30.075299619634933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314.56584394058325</v>
      </c>
      <c r="V12" s="62">
        <v>175.19024115853668</v>
      </c>
      <c r="W12" s="62">
        <v>52.690982869270776</v>
      </c>
      <c r="X12" s="62">
        <v>29.345035939411968</v>
      </c>
      <c r="Y12" s="66">
        <v>230.55062853584158</v>
      </c>
      <c r="Z12" s="66">
        <v>128.39989143918436</v>
      </c>
      <c r="AA12" s="67">
        <v>0</v>
      </c>
      <c r="AB12" s="68">
        <v>87.377541399001473</v>
      </c>
      <c r="AC12" s="69">
        <v>0</v>
      </c>
      <c r="AD12" s="406">
        <v>13.499530473729534</v>
      </c>
      <c r="AE12" s="406">
        <v>7.5188781033157843</v>
      </c>
      <c r="AF12" s="69">
        <v>19.989833205772783</v>
      </c>
      <c r="AG12" s="68">
        <v>12.602176874388896</v>
      </c>
      <c r="AH12" s="68">
        <v>7.0184937375582983</v>
      </c>
      <c r="AI12" s="68">
        <v>0.64229083315405755</v>
      </c>
      <c r="AJ12" s="69">
        <v>252.64586698214214</v>
      </c>
      <c r="AK12" s="69">
        <v>775.31918535232546</v>
      </c>
      <c r="AL12" s="69">
        <v>2852.2250049591066</v>
      </c>
      <c r="AM12" s="69">
        <v>537.66838073730469</v>
      </c>
      <c r="AN12" s="69">
        <v>6063.847412109375</v>
      </c>
      <c r="AO12" s="69">
        <v>2605.8284577687587</v>
      </c>
      <c r="AP12" s="69">
        <v>596.00275077819822</v>
      </c>
      <c r="AQ12" s="69">
        <v>2820.8827452659611</v>
      </c>
      <c r="AR12" s="69">
        <v>427.50394522349046</v>
      </c>
      <c r="AS12" s="69">
        <v>754.90085821151729</v>
      </c>
    </row>
    <row r="13" spans="1:55" x14ac:dyDescent="0.25">
      <c r="A13" s="11">
        <v>44110</v>
      </c>
      <c r="B13" s="59"/>
      <c r="C13" s="60">
        <v>79.532537714640384</v>
      </c>
      <c r="D13" s="60">
        <v>1004.1933554967239</v>
      </c>
      <c r="E13" s="50">
        <v>18.620033843318609</v>
      </c>
      <c r="F13" s="60">
        <v>0</v>
      </c>
      <c r="G13" s="60">
        <v>2820.802351760869</v>
      </c>
      <c r="H13" s="61">
        <v>30.348205806811766</v>
      </c>
      <c r="I13" s="59">
        <v>248.78340643246915</v>
      </c>
      <c r="J13" s="60">
        <v>548.04810342788642</v>
      </c>
      <c r="K13" s="60">
        <v>30.099250995119441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315.16777079883724</v>
      </c>
      <c r="V13" s="62">
        <v>182.96656092554596</v>
      </c>
      <c r="W13" s="62">
        <v>53.26578498275228</v>
      </c>
      <c r="X13" s="62">
        <v>30.922760498611655</v>
      </c>
      <c r="Y13" s="66">
        <v>235.20333697123917</v>
      </c>
      <c r="Z13" s="66">
        <v>136.54424617962465</v>
      </c>
      <c r="AA13" s="67">
        <v>0</v>
      </c>
      <c r="AB13" s="68">
        <v>90.284606334897092</v>
      </c>
      <c r="AC13" s="69">
        <v>0</v>
      </c>
      <c r="AD13" s="406">
        <v>13.4808621340174</v>
      </c>
      <c r="AE13" s="406">
        <v>7.5257306253307199</v>
      </c>
      <c r="AF13" s="69">
        <v>20.401365884807365</v>
      </c>
      <c r="AG13" s="68">
        <v>12.700073047479886</v>
      </c>
      <c r="AH13" s="68">
        <v>7.3728626601346168</v>
      </c>
      <c r="AI13" s="68">
        <v>0.6326963445940903</v>
      </c>
      <c r="AJ13" s="69">
        <v>240.98899628321331</v>
      </c>
      <c r="AK13" s="69">
        <v>764.05910844802861</v>
      </c>
      <c r="AL13" s="69">
        <v>2888.0026167551678</v>
      </c>
      <c r="AM13" s="69">
        <v>537.66838073730469</v>
      </c>
      <c r="AN13" s="69">
        <v>6063.847412109375</v>
      </c>
      <c r="AO13" s="69">
        <v>2581.8702416737869</v>
      </c>
      <c r="AP13" s="69">
        <v>596.95562529563904</v>
      </c>
      <c r="AQ13" s="69">
        <v>2823.263508860271</v>
      </c>
      <c r="AR13" s="69">
        <v>431.66885220209758</v>
      </c>
      <c r="AS13" s="69">
        <v>722.42137171427396</v>
      </c>
    </row>
    <row r="14" spans="1:55" x14ac:dyDescent="0.25">
      <c r="A14" s="11">
        <v>44111</v>
      </c>
      <c r="B14" s="59"/>
      <c r="C14" s="60">
        <v>78.691866457462623</v>
      </c>
      <c r="D14" s="60">
        <v>1004.2829477310178</v>
      </c>
      <c r="E14" s="50">
        <v>18.560716387132803</v>
      </c>
      <c r="F14" s="60">
        <v>0</v>
      </c>
      <c r="G14" s="60">
        <v>2776.9502260843892</v>
      </c>
      <c r="H14" s="61">
        <v>30.198994205395469</v>
      </c>
      <c r="I14" s="59">
        <v>271.8530148665115</v>
      </c>
      <c r="J14" s="60">
        <v>626.06896120707336</v>
      </c>
      <c r="K14" s="60">
        <v>34.295735238989195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351.82863544026964</v>
      </c>
      <c r="V14" s="62">
        <v>183.02072422041218</v>
      </c>
      <c r="W14" s="62">
        <v>60.152629374109694</v>
      </c>
      <c r="X14" s="62">
        <v>31.291306854642411</v>
      </c>
      <c r="Y14" s="66">
        <v>270.32268219870991</v>
      </c>
      <c r="Z14" s="66">
        <v>140.62145057437084</v>
      </c>
      <c r="AA14" s="67">
        <v>0</v>
      </c>
      <c r="AB14" s="68">
        <v>95.259873300127751</v>
      </c>
      <c r="AC14" s="69">
        <v>0</v>
      </c>
      <c r="AD14" s="406">
        <v>14.740731444908187</v>
      </c>
      <c r="AE14" s="406">
        <v>7.5262942780136948</v>
      </c>
      <c r="AF14" s="69">
        <v>21.867576534218262</v>
      </c>
      <c r="AG14" s="68">
        <v>14.168658128931911</v>
      </c>
      <c r="AH14" s="68">
        <v>7.3705145368384652</v>
      </c>
      <c r="AI14" s="68">
        <v>0.65780883735838469</v>
      </c>
      <c r="AJ14" s="69">
        <v>246.57065215110779</v>
      </c>
      <c r="AK14" s="69">
        <v>772.25030651092527</v>
      </c>
      <c r="AL14" s="69">
        <v>2951.623808924357</v>
      </c>
      <c r="AM14" s="69">
        <v>537.66838073730469</v>
      </c>
      <c r="AN14" s="69">
        <v>6063.847412109375</v>
      </c>
      <c r="AO14" s="69">
        <v>2561.1953608194995</v>
      </c>
      <c r="AP14" s="69">
        <v>602.8162177085876</v>
      </c>
      <c r="AQ14" s="69">
        <v>2900.8698392232254</v>
      </c>
      <c r="AR14" s="69">
        <v>435.54935522079472</v>
      </c>
      <c r="AS14" s="69">
        <v>775.70597127278643</v>
      </c>
    </row>
    <row r="15" spans="1:55" x14ac:dyDescent="0.25">
      <c r="A15" s="11">
        <v>44112</v>
      </c>
      <c r="B15" s="59"/>
      <c r="C15" s="60">
        <v>78.836196009318655</v>
      </c>
      <c r="D15" s="60">
        <v>1004.5244568506887</v>
      </c>
      <c r="E15" s="50">
        <v>18.669557743767903</v>
      </c>
      <c r="F15" s="60">
        <v>0</v>
      </c>
      <c r="G15" s="60">
        <v>2775.9492368062383</v>
      </c>
      <c r="H15" s="61">
        <v>30.178697242339524</v>
      </c>
      <c r="I15" s="59">
        <v>297.04178449312866</v>
      </c>
      <c r="J15" s="60">
        <v>684.44766766230373</v>
      </c>
      <c r="K15" s="60">
        <v>37.525324668486931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368.86111656820702</v>
      </c>
      <c r="V15" s="62">
        <v>184.89202896758141</v>
      </c>
      <c r="W15" s="62">
        <v>63.660612709624601</v>
      </c>
      <c r="X15" s="62">
        <v>31.909950169620032</v>
      </c>
      <c r="Y15" s="66">
        <v>289.25955778358696</v>
      </c>
      <c r="Z15" s="66">
        <v>144.99166253806885</v>
      </c>
      <c r="AA15" s="67">
        <v>0</v>
      </c>
      <c r="AB15" s="68">
        <v>98.293950011994951</v>
      </c>
      <c r="AC15" s="69">
        <v>0</v>
      </c>
      <c r="AD15" s="406">
        <v>15.494454309442993</v>
      </c>
      <c r="AE15" s="406">
        <v>7.5281815287961509</v>
      </c>
      <c r="AF15" s="69">
        <v>22.644930639531861</v>
      </c>
      <c r="AG15" s="68">
        <v>14.845082416478206</v>
      </c>
      <c r="AH15" s="68">
        <v>7.4411134296560766</v>
      </c>
      <c r="AI15" s="68">
        <v>0.66611109939847368</v>
      </c>
      <c r="AJ15" s="69">
        <v>238.84877662658693</v>
      </c>
      <c r="AK15" s="69">
        <v>764.66240018208805</v>
      </c>
      <c r="AL15" s="69">
        <v>2941.0746720631919</v>
      </c>
      <c r="AM15" s="69">
        <v>470.08486061096193</v>
      </c>
      <c r="AN15" s="69">
        <v>6063.847412109375</v>
      </c>
      <c r="AO15" s="69">
        <v>2599.6109359741208</v>
      </c>
      <c r="AP15" s="69">
        <v>603.78851571083078</v>
      </c>
      <c r="AQ15" s="69">
        <v>2952.7131211598708</v>
      </c>
      <c r="AR15" s="69">
        <v>436.92934939066566</v>
      </c>
      <c r="AS15" s="69">
        <v>732.5017713864645</v>
      </c>
    </row>
    <row r="16" spans="1:55" x14ac:dyDescent="0.25">
      <c r="A16" s="11">
        <v>44113</v>
      </c>
      <c r="B16" s="59"/>
      <c r="C16" s="60">
        <v>78.955224080880384</v>
      </c>
      <c r="D16" s="60">
        <v>1003.2539938608824</v>
      </c>
      <c r="E16" s="50">
        <v>18.409653032819435</v>
      </c>
      <c r="F16" s="60">
        <v>0</v>
      </c>
      <c r="G16" s="60">
        <v>2777.654582977299</v>
      </c>
      <c r="H16" s="61">
        <v>30.038581329584208</v>
      </c>
      <c r="I16" s="59">
        <v>299.45138171513872</v>
      </c>
      <c r="J16" s="60">
        <v>681.22096331914429</v>
      </c>
      <c r="K16" s="60">
        <v>37.397886162002919</v>
      </c>
      <c r="L16" s="50">
        <v>0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359.64551127673803</v>
      </c>
      <c r="V16" s="62">
        <v>181.08694204832341</v>
      </c>
      <c r="W16" s="62">
        <v>62.260987775390788</v>
      </c>
      <c r="X16" s="62">
        <v>31.349346875284667</v>
      </c>
      <c r="Y16" s="66">
        <v>283.17728208046628</v>
      </c>
      <c r="Z16" s="66">
        <v>142.58403472759795</v>
      </c>
      <c r="AA16" s="67">
        <v>0</v>
      </c>
      <c r="AB16" s="68">
        <v>98.078077088461342</v>
      </c>
      <c r="AC16" s="69">
        <v>0</v>
      </c>
      <c r="AD16" s="406">
        <v>15.421052009522654</v>
      </c>
      <c r="AE16" s="406">
        <v>7.5191683134936227</v>
      </c>
      <c r="AF16" s="69">
        <v>21.984301981661055</v>
      </c>
      <c r="AG16" s="68">
        <v>14.45558991919642</v>
      </c>
      <c r="AH16" s="68">
        <v>7.2786076619696312</v>
      </c>
      <c r="AI16" s="68">
        <v>0.66510805679446994</v>
      </c>
      <c r="AJ16" s="69">
        <v>241.23739172617596</v>
      </c>
      <c r="AK16" s="69">
        <v>771.35390335718785</v>
      </c>
      <c r="AL16" s="69">
        <v>2900.0111498514816</v>
      </c>
      <c r="AM16" s="69">
        <v>451.84803771972656</v>
      </c>
      <c r="AN16" s="69">
        <v>6063.847412109375</v>
      </c>
      <c r="AO16" s="69">
        <v>2618.0766175587978</v>
      </c>
      <c r="AP16" s="69">
        <v>598.27306232452372</v>
      </c>
      <c r="AQ16" s="69">
        <v>2962.4650608062743</v>
      </c>
      <c r="AR16" s="69">
        <v>433.29929440816244</v>
      </c>
      <c r="AS16" s="69">
        <v>752.93970766067514</v>
      </c>
    </row>
    <row r="17" spans="1:55" x14ac:dyDescent="0.25">
      <c r="A17" s="11">
        <v>44114</v>
      </c>
      <c r="B17" s="49"/>
      <c r="C17" s="50">
        <v>79.497176190217132</v>
      </c>
      <c r="D17" s="50">
        <v>1000.9027420043919</v>
      </c>
      <c r="E17" s="50">
        <v>18.517278014620157</v>
      </c>
      <c r="F17" s="50">
        <v>0</v>
      </c>
      <c r="G17" s="50">
        <v>2775.8233956654908</v>
      </c>
      <c r="H17" s="51">
        <v>30.193250846862824</v>
      </c>
      <c r="I17" s="49">
        <v>299.18363515535987</v>
      </c>
      <c r="J17" s="50">
        <v>680.70019620259814</v>
      </c>
      <c r="K17" s="50">
        <v>37.332947036623949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368.322980590832</v>
      </c>
      <c r="V17" s="62">
        <v>184.15574997116767</v>
      </c>
      <c r="W17" s="62">
        <v>64.141881812765789</v>
      </c>
      <c r="X17" s="62">
        <v>32.069941253309622</v>
      </c>
      <c r="Y17" s="66">
        <v>290.14615899857961</v>
      </c>
      <c r="Z17" s="66">
        <v>145.06855756305498</v>
      </c>
      <c r="AA17" s="67">
        <v>0</v>
      </c>
      <c r="AB17" s="68">
        <v>97.552558268441999</v>
      </c>
      <c r="AC17" s="69">
        <v>0</v>
      </c>
      <c r="AD17" s="406">
        <v>15.407683173274039</v>
      </c>
      <c r="AE17" s="406">
        <v>7.5014651469417641</v>
      </c>
      <c r="AF17" s="69">
        <v>22.491695772939266</v>
      </c>
      <c r="AG17" s="68">
        <v>14.816934770632374</v>
      </c>
      <c r="AH17" s="68">
        <v>7.4082364629615389</v>
      </c>
      <c r="AI17" s="68">
        <v>0.66667359341808807</v>
      </c>
      <c r="AJ17" s="69">
        <v>241.77478469212852</v>
      </c>
      <c r="AK17" s="69">
        <v>785.38692557017009</v>
      </c>
      <c r="AL17" s="69">
        <v>2921.1881945292153</v>
      </c>
      <c r="AM17" s="69">
        <v>475.20979175567629</v>
      </c>
      <c r="AN17" s="69">
        <v>6524.3997604370115</v>
      </c>
      <c r="AO17" s="69">
        <v>2474.9366675059009</v>
      </c>
      <c r="AP17" s="69">
        <v>598.56534962654121</v>
      </c>
      <c r="AQ17" s="69">
        <v>2948.1485184987382</v>
      </c>
      <c r="AR17" s="69">
        <v>423.16638078689573</v>
      </c>
      <c r="AS17" s="69">
        <v>751.74813629786172</v>
      </c>
    </row>
    <row r="18" spans="1:55" x14ac:dyDescent="0.25">
      <c r="A18" s="11">
        <v>44115</v>
      </c>
      <c r="B18" s="59"/>
      <c r="C18" s="60">
        <v>78.736387876670307</v>
      </c>
      <c r="D18" s="60">
        <v>1001.720449956259</v>
      </c>
      <c r="E18" s="50">
        <v>18.373912448187681</v>
      </c>
      <c r="F18" s="60">
        <v>0</v>
      </c>
      <c r="G18" s="60">
        <v>2784.109424209596</v>
      </c>
      <c r="H18" s="61">
        <v>30.207554819186598</v>
      </c>
      <c r="I18" s="59">
        <v>299.25897170702626</v>
      </c>
      <c r="J18" s="60">
        <v>680.81564092636143</v>
      </c>
      <c r="K18" s="60">
        <v>37.219659194350228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371.71530390715611</v>
      </c>
      <c r="V18" s="62">
        <v>185.81561154388763</v>
      </c>
      <c r="W18" s="62">
        <v>64.891471980930149</v>
      </c>
      <c r="X18" s="62">
        <v>32.438396868188377</v>
      </c>
      <c r="Y18" s="66">
        <v>292.92957383395333</v>
      </c>
      <c r="Z18" s="66">
        <v>146.43165704805554</v>
      </c>
      <c r="AA18" s="67">
        <v>0</v>
      </c>
      <c r="AB18" s="68">
        <v>97.535291661156208</v>
      </c>
      <c r="AC18" s="69">
        <v>0</v>
      </c>
      <c r="AD18" s="406">
        <v>15.41095477380134</v>
      </c>
      <c r="AE18" s="406">
        <v>7.5067054256224246</v>
      </c>
      <c r="AF18" s="69">
        <v>22.757613076104061</v>
      </c>
      <c r="AG18" s="68">
        <v>14.999104971405748</v>
      </c>
      <c r="AH18" s="68">
        <v>7.4978561107854054</v>
      </c>
      <c r="AI18" s="68">
        <v>0.66671693641676821</v>
      </c>
      <c r="AJ18" s="69">
        <v>232.41963907877602</v>
      </c>
      <c r="AK18" s="69">
        <v>768.98200203577687</v>
      </c>
      <c r="AL18" s="69">
        <v>2883.4538154602051</v>
      </c>
      <c r="AM18" s="69">
        <v>508.72581481933594</v>
      </c>
      <c r="AN18" s="69">
        <v>7445.296875</v>
      </c>
      <c r="AO18" s="69">
        <v>2375.0605958302822</v>
      </c>
      <c r="AP18" s="69">
        <v>597.50073623657215</v>
      </c>
      <c r="AQ18" s="69">
        <v>3021.2960508982346</v>
      </c>
      <c r="AR18" s="69">
        <v>428.05205853780114</v>
      </c>
      <c r="AS18" s="69">
        <v>686.02686201731365</v>
      </c>
    </row>
    <row r="19" spans="1:55" x14ac:dyDescent="0.25">
      <c r="A19" s="11">
        <v>44116</v>
      </c>
      <c r="B19" s="59"/>
      <c r="C19" s="60">
        <v>79.712057006358791</v>
      </c>
      <c r="D19" s="60">
        <v>1001.8124364852911</v>
      </c>
      <c r="E19" s="50">
        <v>18.550339748462047</v>
      </c>
      <c r="F19" s="60">
        <v>0</v>
      </c>
      <c r="G19" s="60">
        <v>2812.7673659006805</v>
      </c>
      <c r="H19" s="61">
        <v>30.240746913353703</v>
      </c>
      <c r="I19" s="59">
        <v>299.20319620768225</v>
      </c>
      <c r="J19" s="60">
        <v>680.73850479126111</v>
      </c>
      <c r="K19" s="60">
        <v>37.300671749313679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359.41840318283329</v>
      </c>
      <c r="V19" s="62">
        <v>179.70341493579707</v>
      </c>
      <c r="W19" s="62">
        <v>62.856983795020405</v>
      </c>
      <c r="X19" s="62">
        <v>31.427479896690862</v>
      </c>
      <c r="Y19" s="66">
        <v>283.78138211622121</v>
      </c>
      <c r="Z19" s="66">
        <v>141.8861221625977</v>
      </c>
      <c r="AA19" s="67">
        <v>0</v>
      </c>
      <c r="AB19" s="68">
        <v>97.607822031444371</v>
      </c>
      <c r="AC19" s="69">
        <v>0</v>
      </c>
      <c r="AD19" s="406">
        <v>15.40714930782166</v>
      </c>
      <c r="AE19" s="406">
        <v>7.5078361423390341</v>
      </c>
      <c r="AF19" s="69">
        <v>22.305411734183622</v>
      </c>
      <c r="AG19" s="68">
        <v>14.700367417636809</v>
      </c>
      <c r="AH19" s="68">
        <v>7.3499470321124445</v>
      </c>
      <c r="AI19" s="68">
        <v>0.66667382232292727</v>
      </c>
      <c r="AJ19" s="69">
        <v>251.78727728525797</v>
      </c>
      <c r="AK19" s="69">
        <v>771.82617766062413</v>
      </c>
      <c r="AL19" s="69">
        <v>2877.0642345428464</v>
      </c>
      <c r="AM19" s="69">
        <v>508.72581481933594</v>
      </c>
      <c r="AN19" s="69">
        <v>7445.296875</v>
      </c>
      <c r="AO19" s="69">
        <v>2427.2468551635739</v>
      </c>
      <c r="AP19" s="69">
        <v>583.76891841888414</v>
      </c>
      <c r="AQ19" s="69">
        <v>3029.5355197906497</v>
      </c>
      <c r="AR19" s="69">
        <v>417.08545751571654</v>
      </c>
      <c r="AS19" s="69">
        <v>685.40546595255546</v>
      </c>
    </row>
    <row r="20" spans="1:55" x14ac:dyDescent="0.25">
      <c r="A20" s="11">
        <v>44117</v>
      </c>
      <c r="B20" s="59"/>
      <c r="C20" s="60">
        <v>79.632400580246895</v>
      </c>
      <c r="D20" s="60">
        <v>1001.7439655939719</v>
      </c>
      <c r="E20" s="50">
        <v>18.43409838428099</v>
      </c>
      <c r="F20" s="60">
        <v>0</v>
      </c>
      <c r="G20" s="60">
        <v>2751.8590328216565</v>
      </c>
      <c r="H20" s="61">
        <v>30.223339003324533</v>
      </c>
      <c r="I20" s="59">
        <v>291.10062799453726</v>
      </c>
      <c r="J20" s="60">
        <v>680.64912707010944</v>
      </c>
      <c r="K20" s="60">
        <v>37.30735298196474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356.06232776216922</v>
      </c>
      <c r="V20" s="62">
        <v>170.82905817986381</v>
      </c>
      <c r="W20" s="62">
        <v>61.447261389765195</v>
      </c>
      <c r="X20" s="62">
        <v>29.480731244213295</v>
      </c>
      <c r="Y20" s="66">
        <v>276.49282881801412</v>
      </c>
      <c r="Z20" s="66">
        <v>132.65376833692108</v>
      </c>
      <c r="AA20" s="67">
        <v>0</v>
      </c>
      <c r="AB20" s="68">
        <v>97.864830308488479</v>
      </c>
      <c r="AC20" s="69">
        <v>0</v>
      </c>
      <c r="AD20" s="406">
        <v>15.407239373837129</v>
      </c>
      <c r="AE20" s="406">
        <v>7.5069662545409255</v>
      </c>
      <c r="AF20" s="69">
        <v>21.806481576959357</v>
      </c>
      <c r="AG20" s="68">
        <v>14.547138420212663</v>
      </c>
      <c r="AH20" s="68">
        <v>6.9793228931450981</v>
      </c>
      <c r="AI20" s="68">
        <v>0.67577936793474569</v>
      </c>
      <c r="AJ20" s="69">
        <v>254.97442072232565</v>
      </c>
      <c r="AK20" s="69">
        <v>781.04626773198436</v>
      </c>
      <c r="AL20" s="69">
        <v>2845.4050763448081</v>
      </c>
      <c r="AM20" s="69">
        <v>508.72581481933594</v>
      </c>
      <c r="AN20" s="69">
        <v>7445.296875</v>
      </c>
      <c r="AO20" s="69">
        <v>2401.7850105285643</v>
      </c>
      <c r="AP20" s="69">
        <v>615.39534680048621</v>
      </c>
      <c r="AQ20" s="69">
        <v>3003.4506244500481</v>
      </c>
      <c r="AR20" s="69">
        <v>422.26882079442345</v>
      </c>
      <c r="AS20" s="69">
        <v>725.22141497929886</v>
      </c>
    </row>
    <row r="21" spans="1:55" x14ac:dyDescent="0.25">
      <c r="A21" s="11">
        <v>44118</v>
      </c>
      <c r="B21" s="59"/>
      <c r="C21" s="60">
        <v>79.799380036195245</v>
      </c>
      <c r="D21" s="60">
        <v>1002.3189764658607</v>
      </c>
      <c r="E21" s="50">
        <v>18.858123940726138</v>
      </c>
      <c r="F21" s="60">
        <v>0</v>
      </c>
      <c r="G21" s="60">
        <v>2750.9293323516808</v>
      </c>
      <c r="H21" s="61">
        <v>30.175040560960838</v>
      </c>
      <c r="I21" s="59">
        <v>277.56461254755692</v>
      </c>
      <c r="J21" s="60">
        <v>681.09370400111027</v>
      </c>
      <c r="K21" s="60">
        <v>37.330348300933814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360.03446684249235</v>
      </c>
      <c r="V21" s="62">
        <v>180.01145672962454</v>
      </c>
      <c r="W21" s="62">
        <v>62.3700574998403</v>
      </c>
      <c r="X21" s="62">
        <v>31.184028032983907</v>
      </c>
      <c r="Y21" s="66">
        <v>283.18006675590124</v>
      </c>
      <c r="Z21" s="66">
        <v>141.58548980207192</v>
      </c>
      <c r="AA21" s="67">
        <v>0</v>
      </c>
      <c r="AB21" s="68">
        <v>97.603006792067674</v>
      </c>
      <c r="AC21" s="69">
        <v>0</v>
      </c>
      <c r="AD21" s="406">
        <v>15.420331747631256</v>
      </c>
      <c r="AE21" s="406">
        <v>7.5118112132433721</v>
      </c>
      <c r="AF21" s="69">
        <v>22.338706217871753</v>
      </c>
      <c r="AG21" s="68">
        <v>14.739166433632736</v>
      </c>
      <c r="AH21" s="68">
        <v>7.3693467294044996</v>
      </c>
      <c r="AI21" s="68">
        <v>0.6666737977782623</v>
      </c>
      <c r="AJ21" s="69">
        <v>252.65585417747496</v>
      </c>
      <c r="AK21" s="69">
        <v>785.96960741678868</v>
      </c>
      <c r="AL21" s="69">
        <v>3006.955651092529</v>
      </c>
      <c r="AM21" s="69">
        <v>508.72581481933594</v>
      </c>
      <c r="AN21" s="69">
        <v>7445.296875</v>
      </c>
      <c r="AO21" s="69">
        <v>2420.8819137573241</v>
      </c>
      <c r="AP21" s="69">
        <v>585.07164907455444</v>
      </c>
      <c r="AQ21" s="69">
        <v>3043.536167907715</v>
      </c>
      <c r="AR21" s="69">
        <v>427.88627189000448</v>
      </c>
      <c r="AS21" s="69">
        <v>738.47623958587644</v>
      </c>
    </row>
    <row r="22" spans="1:55" x14ac:dyDescent="0.25">
      <c r="A22" s="11">
        <v>44119</v>
      </c>
      <c r="B22" s="59"/>
      <c r="C22" s="60">
        <v>79.700002356370319</v>
      </c>
      <c r="D22" s="60">
        <v>993.3626779556264</v>
      </c>
      <c r="E22" s="50">
        <v>18.671152262886348</v>
      </c>
      <c r="F22" s="60">
        <v>0</v>
      </c>
      <c r="G22" s="60">
        <v>2767.0750693003315</v>
      </c>
      <c r="H22" s="61">
        <v>30.285478524367058</v>
      </c>
      <c r="I22" s="59">
        <v>280.65190175374352</v>
      </c>
      <c r="J22" s="60">
        <v>680.80635112126811</v>
      </c>
      <c r="K22" s="60">
        <v>37.301040989160526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356.71746123947804</v>
      </c>
      <c r="V22" s="62">
        <v>178.95879841594703</v>
      </c>
      <c r="W22" s="62">
        <v>62.962808070665083</v>
      </c>
      <c r="X22" s="62">
        <v>31.587319662088664</v>
      </c>
      <c r="Y22" s="66">
        <v>287.94518922370912</v>
      </c>
      <c r="Z22" s="66">
        <v>144.45697413879387</v>
      </c>
      <c r="AA22" s="67">
        <v>0</v>
      </c>
      <c r="AB22" s="68">
        <v>98.157318194704985</v>
      </c>
      <c r="AC22" s="69">
        <v>0</v>
      </c>
      <c r="AD22" s="406">
        <v>15.410505043409076</v>
      </c>
      <c r="AE22" s="406">
        <v>7.5347895372351159</v>
      </c>
      <c r="AF22" s="69">
        <v>22.366918494304048</v>
      </c>
      <c r="AG22" s="68">
        <v>14.720191758558405</v>
      </c>
      <c r="AH22" s="68">
        <v>7.3848580902391712</v>
      </c>
      <c r="AI22" s="68">
        <v>0.6659198626217584</v>
      </c>
      <c r="AJ22" s="69">
        <v>240.88272248903908</v>
      </c>
      <c r="AK22" s="69">
        <v>767.12129313151047</v>
      </c>
      <c r="AL22" s="69">
        <v>2886.2667911529538</v>
      </c>
      <c r="AM22" s="69">
        <v>508.72581481933594</v>
      </c>
      <c r="AN22" s="69">
        <v>7445.296875</v>
      </c>
      <c r="AO22" s="69">
        <v>2504.7937981923428</v>
      </c>
      <c r="AP22" s="69">
        <v>563.24796067873626</v>
      </c>
      <c r="AQ22" s="69">
        <v>3026.5132686614988</v>
      </c>
      <c r="AR22" s="69">
        <v>445.82960100173949</v>
      </c>
      <c r="AS22" s="69">
        <v>538.54835265477493</v>
      </c>
    </row>
    <row r="23" spans="1:55" x14ac:dyDescent="0.25">
      <c r="A23" s="11">
        <v>44120</v>
      </c>
      <c r="B23" s="59"/>
      <c r="C23" s="60">
        <v>79.954047890503944</v>
      </c>
      <c r="D23" s="60">
        <v>986.33633524576692</v>
      </c>
      <c r="E23" s="50">
        <v>18.640867551664542</v>
      </c>
      <c r="F23" s="60">
        <v>0</v>
      </c>
      <c r="G23" s="60">
        <v>2800.1678288777753</v>
      </c>
      <c r="H23" s="61">
        <v>30.301762410004965</v>
      </c>
      <c r="I23" s="59">
        <v>279.45104265213018</v>
      </c>
      <c r="J23" s="60">
        <v>681.21886425018397</v>
      </c>
      <c r="K23" s="60">
        <v>37.310891568660736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355.19413932197358</v>
      </c>
      <c r="V23" s="62">
        <v>177.57720198068807</v>
      </c>
      <c r="W23" s="62">
        <v>62.83470033079778</v>
      </c>
      <c r="X23" s="62">
        <v>31.413835524813258</v>
      </c>
      <c r="Y23" s="66">
        <v>278.73172426123006</v>
      </c>
      <c r="Z23" s="66">
        <v>139.35027135313962</v>
      </c>
      <c r="AA23" s="67">
        <v>0</v>
      </c>
      <c r="AB23" s="68">
        <v>97.832793384127072</v>
      </c>
      <c r="AC23" s="69">
        <v>0</v>
      </c>
      <c r="AD23" s="406">
        <v>15.420976504166461</v>
      </c>
      <c r="AE23" s="406">
        <v>7.5418943309831334</v>
      </c>
      <c r="AF23" s="69">
        <v>22.406229372819297</v>
      </c>
      <c r="AG23" s="68">
        <v>14.773943247987582</v>
      </c>
      <c r="AH23" s="68">
        <v>7.3861452477991758</v>
      </c>
      <c r="AI23" s="68">
        <v>0.6666915274637335</v>
      </c>
      <c r="AJ23" s="69">
        <v>248.48135166168217</v>
      </c>
      <c r="AK23" s="69">
        <v>769.65670795440678</v>
      </c>
      <c r="AL23" s="69">
        <v>2811.6395094553627</v>
      </c>
      <c r="AM23" s="69">
        <v>508.72581481933594</v>
      </c>
      <c r="AN23" s="69">
        <v>7445.296875</v>
      </c>
      <c r="AO23" s="69">
        <v>2388.5167667388919</v>
      </c>
      <c r="AP23" s="69">
        <v>679.32378943761182</v>
      </c>
      <c r="AQ23" s="69">
        <v>3059.3378044128422</v>
      </c>
      <c r="AR23" s="69">
        <v>469.50876951217651</v>
      </c>
      <c r="AS23" s="69">
        <v>620.28951485951745</v>
      </c>
    </row>
    <row r="24" spans="1:55" x14ac:dyDescent="0.25">
      <c r="A24" s="11">
        <v>44121</v>
      </c>
      <c r="B24" s="59"/>
      <c r="C24" s="60">
        <v>79.786788610617407</v>
      </c>
      <c r="D24" s="60">
        <v>984.95410588582399</v>
      </c>
      <c r="E24" s="50">
        <v>18.883864233891181</v>
      </c>
      <c r="F24" s="60">
        <v>0</v>
      </c>
      <c r="G24" s="60">
        <v>2776.1636823018453</v>
      </c>
      <c r="H24" s="61">
        <v>30.325680011510883</v>
      </c>
      <c r="I24" s="59">
        <v>279.20217429796827</v>
      </c>
      <c r="J24" s="60">
        <v>680.5173287073784</v>
      </c>
      <c r="K24" s="60">
        <v>37.288814729452163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351.61751210422824</v>
      </c>
      <c r="V24" s="62">
        <v>176.97918593620696</v>
      </c>
      <c r="W24" s="62">
        <v>61.47805016445956</v>
      </c>
      <c r="X24" s="62">
        <v>30.943667185228659</v>
      </c>
      <c r="Y24" s="66">
        <v>279.68359961284557</v>
      </c>
      <c r="Z24" s="66">
        <v>140.77278313861956</v>
      </c>
      <c r="AA24" s="67">
        <v>0</v>
      </c>
      <c r="AB24" s="68">
        <v>97.734565284516947</v>
      </c>
      <c r="AC24" s="69">
        <v>0</v>
      </c>
      <c r="AD24" s="406">
        <v>15.40621261390956</v>
      </c>
      <c r="AE24" s="406">
        <v>7.5283412801426772</v>
      </c>
      <c r="AF24" s="69">
        <v>22.218625914388209</v>
      </c>
      <c r="AG24" s="68">
        <v>14.628342364305505</v>
      </c>
      <c r="AH24" s="68">
        <v>7.3628645733193707</v>
      </c>
      <c r="AI24" s="68">
        <v>0.66519051936516471</v>
      </c>
      <c r="AJ24" s="69">
        <v>226.70107792218525</v>
      </c>
      <c r="AK24" s="69">
        <v>759.76596953074147</v>
      </c>
      <c r="AL24" s="69">
        <v>2857.2302663167316</v>
      </c>
      <c r="AM24" s="69">
        <v>508.72581481933594</v>
      </c>
      <c r="AN24" s="69">
        <v>7445.296875</v>
      </c>
      <c r="AO24" s="69">
        <v>2316.9162776947028</v>
      </c>
      <c r="AP24" s="69">
        <v>584.47543589274085</v>
      </c>
      <c r="AQ24" s="69">
        <v>3033.0847184499103</v>
      </c>
      <c r="AR24" s="69">
        <v>455.32978874842325</v>
      </c>
      <c r="AS24" s="69">
        <v>637.98328542709339</v>
      </c>
    </row>
    <row r="25" spans="1:55" x14ac:dyDescent="0.25">
      <c r="A25" s="11">
        <v>44122</v>
      </c>
      <c r="B25" s="59"/>
      <c r="C25" s="60">
        <v>79.652808248996791</v>
      </c>
      <c r="D25" s="60">
        <v>986.48975187937288</v>
      </c>
      <c r="E25" s="50">
        <v>18.864879904190698</v>
      </c>
      <c r="F25" s="60">
        <v>0</v>
      </c>
      <c r="G25" s="60">
        <v>2777.5139714558936</v>
      </c>
      <c r="H25" s="61">
        <v>30.221199468771637</v>
      </c>
      <c r="I25" s="59">
        <v>279.22584451039643</v>
      </c>
      <c r="J25" s="60">
        <v>680.63234669367591</v>
      </c>
      <c r="K25" s="60">
        <v>37.297750358780256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351.29585806882903</v>
      </c>
      <c r="V25" s="62">
        <v>176.39434040563378</v>
      </c>
      <c r="W25" s="62">
        <v>62.588593589242443</v>
      </c>
      <c r="X25" s="62">
        <v>31.427281106535538</v>
      </c>
      <c r="Y25" s="66">
        <v>280.20535828248853</v>
      </c>
      <c r="Z25" s="66">
        <v>140.69804188434171</v>
      </c>
      <c r="AA25" s="67">
        <v>0</v>
      </c>
      <c r="AB25" s="68">
        <v>98.170574135249097</v>
      </c>
      <c r="AC25" s="69">
        <v>0</v>
      </c>
      <c r="AD25" s="406">
        <v>15.409566317985039</v>
      </c>
      <c r="AE25" s="406">
        <v>7.5410003461747825</v>
      </c>
      <c r="AF25" s="69">
        <v>22.517981380224246</v>
      </c>
      <c r="AG25" s="68">
        <v>14.830756869596316</v>
      </c>
      <c r="AH25" s="68">
        <v>7.4468898953434346</v>
      </c>
      <c r="AI25" s="68">
        <v>0.6657236747705666</v>
      </c>
      <c r="AJ25" s="69">
        <v>249.65412329037983</v>
      </c>
      <c r="AK25" s="69">
        <v>773.15815223058064</v>
      </c>
      <c r="AL25" s="69">
        <v>2875.6628332773848</v>
      </c>
      <c r="AM25" s="69">
        <v>508.72581481933594</v>
      </c>
      <c r="AN25" s="69">
        <v>7445.296875</v>
      </c>
      <c r="AO25" s="69">
        <v>2431.5777889251708</v>
      </c>
      <c r="AP25" s="69">
        <v>579.18662627538038</v>
      </c>
      <c r="AQ25" s="69">
        <v>3097.6758224487303</v>
      </c>
      <c r="AR25" s="69">
        <v>466.69326635996492</v>
      </c>
      <c r="AS25" s="69">
        <v>482.75591945648182</v>
      </c>
    </row>
    <row r="26" spans="1:55" x14ac:dyDescent="0.25">
      <c r="A26" s="11">
        <v>44123</v>
      </c>
      <c r="B26" s="59"/>
      <c r="C26" s="60">
        <v>79.390125731626938</v>
      </c>
      <c r="D26" s="60">
        <v>962.87701536814291</v>
      </c>
      <c r="E26" s="50">
        <v>18.614082154134898</v>
      </c>
      <c r="F26" s="60">
        <v>0</v>
      </c>
      <c r="G26" s="60">
        <v>2703.249179331463</v>
      </c>
      <c r="H26" s="61">
        <v>30.173328266541198</v>
      </c>
      <c r="I26" s="59">
        <v>279.04965701103208</v>
      </c>
      <c r="J26" s="60">
        <v>680.08439737955882</v>
      </c>
      <c r="K26" s="60">
        <v>37.273675919572582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351.45656258151416</v>
      </c>
      <c r="V26" s="62">
        <v>175.6685033703657</v>
      </c>
      <c r="W26" s="62">
        <v>61.810526559285861</v>
      </c>
      <c r="X26" s="62">
        <v>30.894750160443021</v>
      </c>
      <c r="Y26" s="66">
        <v>267.47411579330731</v>
      </c>
      <c r="Z26" s="66">
        <v>133.6915642337008</v>
      </c>
      <c r="AA26" s="67">
        <v>0</v>
      </c>
      <c r="AB26" s="68">
        <v>98.138262383141296</v>
      </c>
      <c r="AC26" s="69">
        <v>0</v>
      </c>
      <c r="AD26" s="406">
        <v>15.396710831401357</v>
      </c>
      <c r="AE26" s="406">
        <v>7.5315271465599078</v>
      </c>
      <c r="AF26" s="69">
        <v>22.469739685455998</v>
      </c>
      <c r="AG26" s="68">
        <v>14.824152451119115</v>
      </c>
      <c r="AH26" s="68">
        <v>7.4095548414130104</v>
      </c>
      <c r="AI26" s="68">
        <v>0.66674226911758716</v>
      </c>
      <c r="AJ26" s="69">
        <v>244.22568297386169</v>
      </c>
      <c r="AK26" s="69">
        <v>768.78112611770609</v>
      </c>
      <c r="AL26" s="69">
        <v>2810.8268137613936</v>
      </c>
      <c r="AM26" s="69">
        <v>508.72581481933594</v>
      </c>
      <c r="AN26" s="69">
        <v>7445.296875</v>
      </c>
      <c r="AO26" s="69">
        <v>2492.034087371826</v>
      </c>
      <c r="AP26" s="69">
        <v>583.97450491587324</v>
      </c>
      <c r="AQ26" s="69">
        <v>3119.9451085408523</v>
      </c>
      <c r="AR26" s="69">
        <v>473.90312846501666</v>
      </c>
      <c r="AS26" s="69">
        <v>611.06886787414544</v>
      </c>
    </row>
    <row r="27" spans="1:55" x14ac:dyDescent="0.25">
      <c r="A27" s="11">
        <v>44124</v>
      </c>
      <c r="B27" s="59"/>
      <c r="C27" s="60">
        <v>79.72</v>
      </c>
      <c r="D27" s="60">
        <v>959.7</v>
      </c>
      <c r="E27" s="450">
        <v>19.079999999999998</v>
      </c>
      <c r="F27" s="60">
        <v>0</v>
      </c>
      <c r="G27" s="60">
        <v>2610.2800000000002</v>
      </c>
      <c r="H27" s="61">
        <v>30.21</v>
      </c>
      <c r="I27" s="59">
        <v>279</v>
      </c>
      <c r="J27" s="60">
        <v>679.99</v>
      </c>
      <c r="K27" s="60">
        <v>37.270000000000003</v>
      </c>
      <c r="L27" s="4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359.16</v>
      </c>
      <c r="V27" s="62">
        <v>178.33</v>
      </c>
      <c r="W27" s="62">
        <v>63.63</v>
      </c>
      <c r="X27" s="62">
        <v>31.59</v>
      </c>
      <c r="Y27" s="62">
        <v>269.20999999999998</v>
      </c>
      <c r="Z27" s="62">
        <v>133.66999999999999</v>
      </c>
      <c r="AA27" s="72">
        <v>0</v>
      </c>
      <c r="AB27" s="69">
        <v>97.8</v>
      </c>
      <c r="AC27" s="69">
        <v>0</v>
      </c>
      <c r="AD27" s="406">
        <v>15.4</v>
      </c>
      <c r="AE27" s="406">
        <v>7.52</v>
      </c>
      <c r="AF27" s="69">
        <v>22.62</v>
      </c>
      <c r="AG27" s="69">
        <v>14.92</v>
      </c>
      <c r="AH27" s="69">
        <v>7.41</v>
      </c>
      <c r="AI27" s="69">
        <v>0.67</v>
      </c>
      <c r="AJ27" s="69">
        <v>239.41</v>
      </c>
      <c r="AK27" s="69">
        <v>766.98</v>
      </c>
      <c r="AL27" s="69">
        <v>2829.99</v>
      </c>
      <c r="AM27" s="69">
        <v>508.73</v>
      </c>
      <c r="AN27" s="69">
        <v>7445.3</v>
      </c>
      <c r="AO27" s="69">
        <v>2441.4899999999998</v>
      </c>
      <c r="AP27" s="69">
        <v>582.80999999999995</v>
      </c>
      <c r="AQ27" s="69">
        <v>3092.4</v>
      </c>
      <c r="AR27" s="69">
        <v>454.35</v>
      </c>
      <c r="AS27" s="69">
        <v>592.45000000000005</v>
      </c>
      <c r="AT27" s="449"/>
      <c r="AU27" s="449"/>
      <c r="AV27" s="449"/>
      <c r="AW27" s="449"/>
      <c r="AX27" s="449"/>
      <c r="AY27" s="449"/>
      <c r="AZ27" s="449"/>
      <c r="BA27" s="449"/>
      <c r="BB27" s="449"/>
      <c r="BC27" s="449"/>
    </row>
    <row r="28" spans="1:55" x14ac:dyDescent="0.25">
      <c r="A28" s="11">
        <v>44125</v>
      </c>
      <c r="B28" s="59"/>
      <c r="C28" s="60">
        <v>76.666140711307278</v>
      </c>
      <c r="D28" s="60">
        <v>924.79224564234505</v>
      </c>
      <c r="E28" s="50">
        <v>18.335041679441936</v>
      </c>
      <c r="F28" s="60">
        <v>0</v>
      </c>
      <c r="G28" s="60">
        <v>2605.3140996297157</v>
      </c>
      <c r="H28" s="61">
        <v>29.227848659952549</v>
      </c>
      <c r="I28" s="59">
        <v>274.27331422170016</v>
      </c>
      <c r="J28" s="60">
        <v>680.0374818801896</v>
      </c>
      <c r="K28" s="60">
        <v>37.348808078964538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349.28490456034831</v>
      </c>
      <c r="V28" s="62">
        <v>149.97952531619237</v>
      </c>
      <c r="W28" s="62">
        <v>60.803220811478177</v>
      </c>
      <c r="X28" s="62">
        <v>26.108308936166846</v>
      </c>
      <c r="Y28" s="66">
        <v>254.93561467351236</v>
      </c>
      <c r="Z28" s="66">
        <v>109.46686208226605</v>
      </c>
      <c r="AA28" s="67">
        <v>0</v>
      </c>
      <c r="AB28" s="68">
        <v>96.181862099966764</v>
      </c>
      <c r="AC28" s="69">
        <v>0</v>
      </c>
      <c r="AD28" s="406">
        <v>15.392537333599705</v>
      </c>
      <c r="AE28" s="406">
        <v>7.249867159248284</v>
      </c>
      <c r="AF28" s="69">
        <v>20.506323912408618</v>
      </c>
      <c r="AG28" s="68">
        <v>14.089382111135601</v>
      </c>
      <c r="AH28" s="68">
        <v>6.049843017654581</v>
      </c>
      <c r="AI28" s="68">
        <v>0.69959901739188657</v>
      </c>
      <c r="AJ28" s="69">
        <v>256.33601387341821</v>
      </c>
      <c r="AK28" s="69">
        <v>787.27843475341786</v>
      </c>
      <c r="AL28" s="69">
        <v>2826.1566434224446</v>
      </c>
      <c r="AM28" s="69">
        <v>508.72581481933594</v>
      </c>
      <c r="AN28" s="69">
        <v>7445.296875</v>
      </c>
      <c r="AO28" s="69">
        <v>2370.3155648549396</v>
      </c>
      <c r="AP28" s="69">
        <v>566.80451176961265</v>
      </c>
      <c r="AQ28" s="69">
        <v>3033.270872879029</v>
      </c>
      <c r="AR28" s="69">
        <v>460.49443969726565</v>
      </c>
      <c r="AS28" s="69">
        <v>645.12104237874348</v>
      </c>
    </row>
    <row r="29" spans="1:55" x14ac:dyDescent="0.25">
      <c r="A29" s="11">
        <v>44126</v>
      </c>
      <c r="B29" s="59"/>
      <c r="C29" s="60">
        <v>74.105990592639159</v>
      </c>
      <c r="D29" s="60">
        <v>895.97795041402128</v>
      </c>
      <c r="E29" s="50">
        <v>17.298094350099557</v>
      </c>
      <c r="F29" s="60">
        <v>0</v>
      </c>
      <c r="G29" s="60">
        <v>2537.4835516611715</v>
      </c>
      <c r="H29" s="61">
        <v>28.236656296253255</v>
      </c>
      <c r="I29" s="59">
        <v>265.49726947148639</v>
      </c>
      <c r="J29" s="60">
        <v>665.83751376469888</v>
      </c>
      <c r="K29" s="60">
        <v>36.454848212997092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351.77247393670189</v>
      </c>
      <c r="V29" s="62">
        <v>167.61536872907902</v>
      </c>
      <c r="W29" s="62">
        <v>62.593816886812753</v>
      </c>
      <c r="X29" s="62">
        <v>29.82520371827459</v>
      </c>
      <c r="Y29" s="66">
        <v>262.84517459273451</v>
      </c>
      <c r="Z29" s="66">
        <v>125.24257616003226</v>
      </c>
      <c r="AA29" s="67">
        <v>0</v>
      </c>
      <c r="AB29" s="68">
        <v>93.511997164620396</v>
      </c>
      <c r="AC29" s="69">
        <v>0</v>
      </c>
      <c r="AD29" s="406">
        <v>15.073388485921043</v>
      </c>
      <c r="AE29" s="406">
        <v>7.0246596793515552</v>
      </c>
      <c r="AF29" s="69">
        <v>21.773221781518753</v>
      </c>
      <c r="AG29" s="68">
        <v>14.595938966351905</v>
      </c>
      <c r="AH29" s="68">
        <v>6.9547900221221743</v>
      </c>
      <c r="AI29" s="68">
        <v>0.67728284152977902</v>
      </c>
      <c r="AJ29" s="69">
        <v>249.68026679356888</v>
      </c>
      <c r="AK29" s="69">
        <v>776.43145853678413</v>
      </c>
      <c r="AL29" s="69">
        <v>2863.8638486226396</v>
      </c>
      <c r="AM29" s="69">
        <v>508.72581481933594</v>
      </c>
      <c r="AN29" s="69">
        <v>7445.296875</v>
      </c>
      <c r="AO29" s="69">
        <v>2423.0614381154373</v>
      </c>
      <c r="AP29" s="69">
        <v>584.12219400405888</v>
      </c>
      <c r="AQ29" s="69">
        <v>2994.9350318908691</v>
      </c>
      <c r="AR29" s="69">
        <v>496.81095924377445</v>
      </c>
      <c r="AS29" s="69">
        <v>549.55702676773069</v>
      </c>
    </row>
    <row r="30" spans="1:55" x14ac:dyDescent="0.25">
      <c r="A30" s="11">
        <v>44127</v>
      </c>
      <c r="B30" s="59"/>
      <c r="C30" s="60">
        <v>73.651076336701152</v>
      </c>
      <c r="D30" s="60">
        <v>895.32831865946514</v>
      </c>
      <c r="E30" s="50">
        <v>17.637994996209937</v>
      </c>
      <c r="F30" s="60">
        <v>0</v>
      </c>
      <c r="G30" s="60">
        <v>2599.0666783650681</v>
      </c>
      <c r="H30" s="61">
        <v>28.278301356236188</v>
      </c>
      <c r="I30" s="59">
        <v>225.3407926877338</v>
      </c>
      <c r="J30" s="60">
        <v>549.95529203414856</v>
      </c>
      <c r="K30" s="60">
        <v>30.132351964712093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280.63607214477935</v>
      </c>
      <c r="V30" s="62">
        <v>164.46931437730447</v>
      </c>
      <c r="W30" s="62">
        <v>49.030280949658369</v>
      </c>
      <c r="X30" s="62">
        <v>28.734640667849511</v>
      </c>
      <c r="Y30" s="66">
        <v>210.1467573214095</v>
      </c>
      <c r="Z30" s="66">
        <v>123.15841235632466</v>
      </c>
      <c r="AA30" s="67">
        <v>0</v>
      </c>
      <c r="AB30" s="68">
        <v>83.706472025977632</v>
      </c>
      <c r="AC30" s="69">
        <v>0</v>
      </c>
      <c r="AD30" s="406">
        <v>12.447803203720433</v>
      </c>
      <c r="AE30" s="406">
        <v>7.0190177563492115</v>
      </c>
      <c r="AF30" s="69">
        <v>18.718432155582615</v>
      </c>
      <c r="AG30" s="68">
        <v>11.643312487454601</v>
      </c>
      <c r="AH30" s="68">
        <v>6.8236688436276269</v>
      </c>
      <c r="AI30" s="68">
        <v>0.6304935429732339</v>
      </c>
      <c r="AJ30" s="69">
        <v>245.22801238695777</v>
      </c>
      <c r="AK30" s="69">
        <v>795.1321094830829</v>
      </c>
      <c r="AL30" s="69">
        <v>2892.5068684895837</v>
      </c>
      <c r="AM30" s="69">
        <v>508.72581481933594</v>
      </c>
      <c r="AN30" s="69">
        <v>7445.296875</v>
      </c>
      <c r="AO30" s="69">
        <v>2550.4627014160155</v>
      </c>
      <c r="AP30" s="69">
        <v>676.14380350112913</v>
      </c>
      <c r="AQ30" s="69">
        <v>2830.5963611602788</v>
      </c>
      <c r="AR30" s="69">
        <v>550.13049882253006</v>
      </c>
      <c r="AS30" s="69">
        <v>551.93100760777793</v>
      </c>
    </row>
    <row r="31" spans="1:55" x14ac:dyDescent="0.25">
      <c r="A31" s="11">
        <v>44128</v>
      </c>
      <c r="B31" s="59"/>
      <c r="C31" s="60">
        <v>74.377658843994141</v>
      </c>
      <c r="D31" s="60">
        <v>895.29671548207784</v>
      </c>
      <c r="E31" s="50">
        <v>17.271656571825289</v>
      </c>
      <c r="F31" s="60">
        <v>0</v>
      </c>
      <c r="G31" s="60">
        <v>2613.4595190683963</v>
      </c>
      <c r="H31" s="61">
        <v>28.149885757764235</v>
      </c>
      <c r="I31" s="59">
        <v>225.95012494722997</v>
      </c>
      <c r="J31" s="60">
        <v>550.67330849965424</v>
      </c>
      <c r="K31" s="60">
        <v>30.174213730295484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287.22136212770289</v>
      </c>
      <c r="V31" s="62">
        <v>167.49289309927906</v>
      </c>
      <c r="W31" s="62">
        <v>49.444447100502231</v>
      </c>
      <c r="X31" s="62">
        <v>28.833487283843667</v>
      </c>
      <c r="Y31" s="66">
        <v>216.02391982831688</v>
      </c>
      <c r="Z31" s="66">
        <v>125.97416516186649</v>
      </c>
      <c r="AA31" s="67">
        <v>0</v>
      </c>
      <c r="AB31" s="68">
        <v>83.716161526574112</v>
      </c>
      <c r="AC31" s="69">
        <v>0</v>
      </c>
      <c r="AD31" s="406">
        <v>12.467962005322835</v>
      </c>
      <c r="AE31" s="406">
        <v>7.0187598884380584</v>
      </c>
      <c r="AF31" s="69">
        <v>19.16747387978765</v>
      </c>
      <c r="AG31" s="68">
        <v>11.926862340602074</v>
      </c>
      <c r="AH31" s="68">
        <v>6.9551396324626076</v>
      </c>
      <c r="AI31" s="68">
        <v>0.63165242528921639</v>
      </c>
      <c r="AJ31" s="69">
        <v>229.42170432408651</v>
      </c>
      <c r="AK31" s="69">
        <v>772.34442955652878</v>
      </c>
      <c r="AL31" s="69">
        <v>3090.3951365152989</v>
      </c>
      <c r="AM31" s="69">
        <v>508.72581481933594</v>
      </c>
      <c r="AN31" s="69">
        <v>7445.296875</v>
      </c>
      <c r="AO31" s="69">
        <v>2466.9772220611576</v>
      </c>
      <c r="AP31" s="69">
        <v>626.04237070083627</v>
      </c>
      <c r="AQ31" s="69">
        <v>2833.081483586629</v>
      </c>
      <c r="AR31" s="69">
        <v>527.38023386001589</v>
      </c>
      <c r="AS31" s="69">
        <v>537.25275630950932</v>
      </c>
    </row>
    <row r="32" spans="1:55" x14ac:dyDescent="0.25">
      <c r="A32" s="11">
        <v>44129</v>
      </c>
      <c r="B32" s="59"/>
      <c r="C32" s="60">
        <v>73.896348750591727</v>
      </c>
      <c r="D32" s="60">
        <v>893.40435682932673</v>
      </c>
      <c r="E32" s="50">
        <v>17.192825326323479</v>
      </c>
      <c r="F32" s="60">
        <v>0</v>
      </c>
      <c r="G32" s="60">
        <v>2622.3715943654379</v>
      </c>
      <c r="H32" s="61">
        <v>28.395125319560453</v>
      </c>
      <c r="I32" s="59">
        <v>226.01262070337938</v>
      </c>
      <c r="J32" s="60">
        <v>550.90595448811848</v>
      </c>
      <c r="K32" s="60">
        <v>30.176539501547804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283.99049500555481</v>
      </c>
      <c r="V32" s="62">
        <v>166.46519834534021</v>
      </c>
      <c r="W32" s="62">
        <v>47.832052118591967</v>
      </c>
      <c r="X32" s="62">
        <v>28.037459644662825</v>
      </c>
      <c r="Y32" s="66">
        <v>209.91670214486996</v>
      </c>
      <c r="Z32" s="66">
        <v>123.04575706965822</v>
      </c>
      <c r="AA32" s="67">
        <v>0</v>
      </c>
      <c r="AB32" s="68">
        <v>84.09983420901824</v>
      </c>
      <c r="AC32" s="69">
        <v>0</v>
      </c>
      <c r="AD32" s="406">
        <v>12.472293043483948</v>
      </c>
      <c r="AE32" s="406">
        <v>7.0193228182537606</v>
      </c>
      <c r="AF32" s="69">
        <v>18.641298074192463</v>
      </c>
      <c r="AG32" s="68">
        <v>11.575762159665024</v>
      </c>
      <c r="AH32" s="68">
        <v>6.785302951316841</v>
      </c>
      <c r="AI32" s="68">
        <v>0.63045156093594423</v>
      </c>
      <c r="AJ32" s="69">
        <v>261.80947726567581</v>
      </c>
      <c r="AK32" s="69">
        <v>835.69682585398368</v>
      </c>
      <c r="AL32" s="69">
        <v>2847.8005447387695</v>
      </c>
      <c r="AM32" s="69">
        <v>508.72581481933594</v>
      </c>
      <c r="AN32" s="69">
        <v>7445.296875</v>
      </c>
      <c r="AO32" s="69">
        <v>2557.9551959991454</v>
      </c>
      <c r="AP32" s="69">
        <v>1141.5835872650148</v>
      </c>
      <c r="AQ32" s="69">
        <v>2804.7389109293613</v>
      </c>
      <c r="AR32" s="69">
        <v>594.06602090199772</v>
      </c>
      <c r="AS32" s="69">
        <v>542.47409995396936</v>
      </c>
    </row>
    <row r="33" spans="1:55" x14ac:dyDescent="0.25">
      <c r="A33" s="11">
        <v>44130</v>
      </c>
      <c r="B33" s="59"/>
      <c r="C33" s="60">
        <v>74.371097675959504</v>
      </c>
      <c r="D33" s="60">
        <v>890.3381732940685</v>
      </c>
      <c r="E33" s="50">
        <v>17.248422246674693</v>
      </c>
      <c r="F33" s="60">
        <v>0</v>
      </c>
      <c r="G33" s="60">
        <v>2707.3925136566181</v>
      </c>
      <c r="H33" s="61">
        <v>28.340637141466161</v>
      </c>
      <c r="I33" s="59">
        <v>222.10753655433663</v>
      </c>
      <c r="J33" s="60">
        <v>539.41842912038157</v>
      </c>
      <c r="K33" s="60">
        <v>29.516426643729176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280.0706385316077</v>
      </c>
      <c r="V33" s="62">
        <v>167.43354303357262</v>
      </c>
      <c r="W33" s="62">
        <v>49.50161840098275</v>
      </c>
      <c r="X33" s="62">
        <v>29.593360440162872</v>
      </c>
      <c r="Y33" s="66">
        <v>208.66362736338792</v>
      </c>
      <c r="Z33" s="66">
        <v>124.74456663812791</v>
      </c>
      <c r="AA33" s="67">
        <v>0</v>
      </c>
      <c r="AB33" s="68">
        <v>83.058362600538672</v>
      </c>
      <c r="AC33" s="69">
        <v>0</v>
      </c>
      <c r="AD33" s="406">
        <v>12.210484175269357</v>
      </c>
      <c r="AE33" s="406">
        <v>7.0158575482427841</v>
      </c>
      <c r="AF33" s="69">
        <v>18.668333129088072</v>
      </c>
      <c r="AG33" s="68">
        <v>11.518028862256836</v>
      </c>
      <c r="AH33" s="68">
        <v>6.8857784996015097</v>
      </c>
      <c r="AI33" s="68">
        <v>0.62585032736909652</v>
      </c>
      <c r="AJ33" s="69">
        <v>283.55622754096981</v>
      </c>
      <c r="AK33" s="69">
        <v>888.88029969533295</v>
      </c>
      <c r="AL33" s="69">
        <v>2671.5493235270183</v>
      </c>
      <c r="AM33" s="69">
        <v>508.72581481933594</v>
      </c>
      <c r="AN33" s="69">
        <v>7445.296875</v>
      </c>
      <c r="AO33" s="69">
        <v>2667.0855378468832</v>
      </c>
      <c r="AP33" s="69">
        <v>1188.6335521062213</v>
      </c>
      <c r="AQ33" s="69">
        <v>2802.6651372273764</v>
      </c>
      <c r="AR33" s="69">
        <v>604.27694803873692</v>
      </c>
      <c r="AS33" s="69">
        <v>584.91132729848232</v>
      </c>
    </row>
    <row r="34" spans="1:55" x14ac:dyDescent="0.25">
      <c r="A34" s="11">
        <v>44131</v>
      </c>
      <c r="B34" s="59"/>
      <c r="C34" s="60">
        <v>75.387478454908631</v>
      </c>
      <c r="D34" s="60">
        <v>891.09432487487777</v>
      </c>
      <c r="E34" s="50">
        <v>17.489073650538927</v>
      </c>
      <c r="F34" s="60">
        <v>0</v>
      </c>
      <c r="G34" s="60">
        <v>2730.5343203226726</v>
      </c>
      <c r="H34" s="61">
        <v>28.350999762614666</v>
      </c>
      <c r="I34" s="59">
        <v>194.96401724815377</v>
      </c>
      <c r="J34" s="60">
        <v>458.85849224726309</v>
      </c>
      <c r="K34" s="60">
        <v>24.999373755852371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235.33301216806959</v>
      </c>
      <c r="V34" s="62">
        <v>164.75407255974781</v>
      </c>
      <c r="W34" s="62">
        <v>40.475666375755523</v>
      </c>
      <c r="X34" s="62">
        <v>28.336572134694194</v>
      </c>
      <c r="Y34" s="66">
        <v>177.73096840027853</v>
      </c>
      <c r="Z34" s="66">
        <v>124.42751059091215</v>
      </c>
      <c r="AA34" s="67">
        <v>0</v>
      </c>
      <c r="AB34" s="68">
        <v>76.012727006276023</v>
      </c>
      <c r="AC34" s="69">
        <v>0</v>
      </c>
      <c r="AD34" s="406">
        <v>10.389047620669324</v>
      </c>
      <c r="AE34" s="406">
        <v>7.0217105441803058</v>
      </c>
      <c r="AF34" s="69">
        <v>16.900846774048265</v>
      </c>
      <c r="AG34" s="68">
        <v>9.8358854354692351</v>
      </c>
      <c r="AH34" s="68">
        <v>6.8859960096347992</v>
      </c>
      <c r="AI34" s="68">
        <v>0.58820447135445175</v>
      </c>
      <c r="AJ34" s="69">
        <v>302.0623644510905</v>
      </c>
      <c r="AK34" s="69">
        <v>883.38318847020469</v>
      </c>
      <c r="AL34" s="69">
        <v>2781.9309949239096</v>
      </c>
      <c r="AM34" s="69">
        <v>508.72581481933594</v>
      </c>
      <c r="AN34" s="69">
        <v>7445.296875</v>
      </c>
      <c r="AO34" s="69">
        <v>2669.6216046651198</v>
      </c>
      <c r="AP34" s="69">
        <v>1125.2381095886233</v>
      </c>
      <c r="AQ34" s="69">
        <v>2645.3838331858319</v>
      </c>
      <c r="AR34" s="69">
        <v>571.86326761245721</v>
      </c>
      <c r="AS34" s="69">
        <v>567.51555420557645</v>
      </c>
    </row>
    <row r="35" spans="1:55" x14ac:dyDescent="0.25">
      <c r="A35" s="11">
        <v>44132</v>
      </c>
      <c r="B35" s="59"/>
      <c r="C35" s="60">
        <v>75.32662283579522</v>
      </c>
      <c r="D35" s="60">
        <v>891.66168378194254</v>
      </c>
      <c r="E35" s="50">
        <v>17.65039795786139</v>
      </c>
      <c r="F35" s="60">
        <v>0</v>
      </c>
      <c r="G35" s="60">
        <v>2730.6197255452503</v>
      </c>
      <c r="H35" s="61">
        <v>28.323515369494871</v>
      </c>
      <c r="I35" s="59">
        <v>194.45694626172389</v>
      </c>
      <c r="J35" s="60">
        <v>457.70403203964202</v>
      </c>
      <c r="K35" s="60">
        <v>24.91912801414729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236.94532562247136</v>
      </c>
      <c r="V35" s="62">
        <v>165.85824332351555</v>
      </c>
      <c r="W35" s="62">
        <v>40.155322220495769</v>
      </c>
      <c r="X35" s="62">
        <v>28.108135014204858</v>
      </c>
      <c r="Y35" s="66">
        <v>171.83464506010833</v>
      </c>
      <c r="Z35" s="66">
        <v>120.28172447343054</v>
      </c>
      <c r="AA35" s="67">
        <v>0</v>
      </c>
      <c r="AB35" s="68">
        <v>75.718661620882727</v>
      </c>
      <c r="AC35" s="69">
        <v>0</v>
      </c>
      <c r="AD35" s="406">
        <v>10.358122218196911</v>
      </c>
      <c r="AE35" s="406">
        <v>7.0268902308225556</v>
      </c>
      <c r="AF35" s="69">
        <v>16.536980564064471</v>
      </c>
      <c r="AG35" s="68">
        <v>9.6245149100449723</v>
      </c>
      <c r="AH35" s="68">
        <v>6.7370188950866243</v>
      </c>
      <c r="AI35" s="68">
        <v>0.58824038288062941</v>
      </c>
      <c r="AJ35" s="69">
        <v>282.10059234301247</v>
      </c>
      <c r="AK35" s="69">
        <v>820.24238834381117</v>
      </c>
      <c r="AL35" s="69">
        <v>2837.8652135213219</v>
      </c>
      <c r="AM35" s="69">
        <v>508.72581481933594</v>
      </c>
      <c r="AN35" s="69">
        <v>7445.296875</v>
      </c>
      <c r="AO35" s="69">
        <v>2551.9801699320474</v>
      </c>
      <c r="AP35" s="69">
        <v>1057.1299956639607</v>
      </c>
      <c r="AQ35" s="69">
        <v>2643.5890221913655</v>
      </c>
      <c r="AR35" s="69">
        <v>545.1328954060873</v>
      </c>
      <c r="AS35" s="69">
        <v>533.65771735509247</v>
      </c>
    </row>
    <row r="36" spans="1:55" x14ac:dyDescent="0.25">
      <c r="A36" s="11">
        <v>44133</v>
      </c>
      <c r="B36" s="59"/>
      <c r="C36" s="60">
        <v>74.83</v>
      </c>
      <c r="D36" s="60">
        <v>891.94</v>
      </c>
      <c r="E36" s="450">
        <v>17.739999999999998</v>
      </c>
      <c r="F36" s="60">
        <v>0</v>
      </c>
      <c r="G36" s="60">
        <v>2724.44</v>
      </c>
      <c r="H36" s="61">
        <v>28.3</v>
      </c>
      <c r="I36" s="59">
        <v>194.43</v>
      </c>
      <c r="J36" s="60">
        <v>457.51</v>
      </c>
      <c r="K36" s="60">
        <v>24.93</v>
      </c>
      <c r="L36" s="4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237.49</v>
      </c>
      <c r="V36" s="62">
        <v>166.27</v>
      </c>
      <c r="W36" s="62">
        <v>40.22</v>
      </c>
      <c r="X36" s="62">
        <v>28.16</v>
      </c>
      <c r="Y36" s="66">
        <v>168.89</v>
      </c>
      <c r="Z36" s="66">
        <v>118.24</v>
      </c>
      <c r="AA36" s="67">
        <v>0</v>
      </c>
      <c r="AB36" s="68">
        <v>75.760000000000005</v>
      </c>
      <c r="AC36" s="69">
        <v>0</v>
      </c>
      <c r="AD36" s="406">
        <v>10.36</v>
      </c>
      <c r="AE36" s="406">
        <v>7.03</v>
      </c>
      <c r="AF36" s="69">
        <v>16.48</v>
      </c>
      <c r="AG36" s="68">
        <v>9.59</v>
      </c>
      <c r="AH36" s="68">
        <v>6.71</v>
      </c>
      <c r="AI36" s="68">
        <v>0.59</v>
      </c>
      <c r="AJ36" s="69">
        <v>250.97</v>
      </c>
      <c r="AK36" s="69">
        <v>775.28</v>
      </c>
      <c r="AL36" s="69">
        <v>2948.26</v>
      </c>
      <c r="AM36" s="69">
        <v>508.73</v>
      </c>
      <c r="AN36" s="69">
        <v>7445.3</v>
      </c>
      <c r="AO36" s="69">
        <v>2540.73</v>
      </c>
      <c r="AP36" s="69">
        <v>923.3</v>
      </c>
      <c r="AQ36" s="69">
        <v>2614.08</v>
      </c>
      <c r="AR36" s="69">
        <v>512.6</v>
      </c>
      <c r="AS36" s="69">
        <v>599.73</v>
      </c>
      <c r="AT36" s="449"/>
      <c r="AU36" s="449"/>
      <c r="AV36" s="449"/>
      <c r="AW36" s="449"/>
      <c r="AX36" s="449"/>
      <c r="AY36" s="449"/>
      <c r="AZ36" s="449"/>
      <c r="BA36" s="449"/>
      <c r="BB36" s="449"/>
      <c r="BC36" s="449"/>
    </row>
    <row r="37" spans="1:55" x14ac:dyDescent="0.25">
      <c r="A37" s="11">
        <v>44134</v>
      </c>
      <c r="B37" s="59"/>
      <c r="C37" s="60">
        <v>73.532009251912982</v>
      </c>
      <c r="D37" s="60">
        <v>891.26420637766603</v>
      </c>
      <c r="E37" s="50">
        <v>17.831107552349554</v>
      </c>
      <c r="F37" s="60">
        <v>0</v>
      </c>
      <c r="G37" s="60">
        <v>2680.019408798219</v>
      </c>
      <c r="H37" s="61">
        <v>28.09634362260503</v>
      </c>
      <c r="I37" s="59">
        <v>192.27482005755115</v>
      </c>
      <c r="J37" s="60">
        <v>427.85628786087028</v>
      </c>
      <c r="K37" s="60">
        <v>23.306904386977376</v>
      </c>
      <c r="L37" s="5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247.47944217082292</v>
      </c>
      <c r="V37" s="62">
        <v>169.26163077000328</v>
      </c>
      <c r="W37" s="62">
        <v>40.188559056936612</v>
      </c>
      <c r="X37" s="62">
        <v>27.486650950095186</v>
      </c>
      <c r="Y37" s="66">
        <v>170.08730135690448</v>
      </c>
      <c r="Z37" s="66">
        <v>116.32988077073018</v>
      </c>
      <c r="AA37" s="67">
        <v>0</v>
      </c>
      <c r="AB37" s="68">
        <v>75.769293043349364</v>
      </c>
      <c r="AC37" s="69">
        <v>0</v>
      </c>
      <c r="AD37" s="406">
        <v>10.367063401084962</v>
      </c>
      <c r="AE37" s="406">
        <v>7.023686542399453</v>
      </c>
      <c r="AF37" s="69">
        <v>16.361332508590493</v>
      </c>
      <c r="AG37" s="68">
        <v>9.6115979396425359</v>
      </c>
      <c r="AH37" s="68">
        <v>6.5737773097393166</v>
      </c>
      <c r="AI37" s="68">
        <v>0.59384461537335187</v>
      </c>
      <c r="AJ37" s="69">
        <v>263.47955263455708</v>
      </c>
      <c r="AK37" s="69">
        <v>784.12040236790972</v>
      </c>
      <c r="AL37" s="69">
        <v>2884.5873277028395</v>
      </c>
      <c r="AM37" s="69">
        <v>508.72581481933594</v>
      </c>
      <c r="AN37" s="69">
        <v>7445.296875</v>
      </c>
      <c r="AO37" s="69">
        <v>2464.864546966553</v>
      </c>
      <c r="AP37" s="69">
        <v>557.39866859118138</v>
      </c>
      <c r="AQ37" s="69">
        <v>2575.7828692118333</v>
      </c>
      <c r="AR37" s="69">
        <v>484.00478967030847</v>
      </c>
      <c r="AS37" s="69">
        <v>619.69250602722173</v>
      </c>
    </row>
    <row r="38" spans="1:55" ht="15.75" thickBot="1" x14ac:dyDescent="0.3">
      <c r="A38" s="11">
        <v>44135</v>
      </c>
      <c r="B38" s="73"/>
      <c r="C38" s="74">
        <v>73.341980508963971</v>
      </c>
      <c r="D38" s="74">
        <v>891.49673309326147</v>
      </c>
      <c r="E38" s="50">
        <v>17.926113685468799</v>
      </c>
      <c r="F38" s="74">
        <v>0</v>
      </c>
      <c r="G38" s="74">
        <v>2653.3744162241624</v>
      </c>
      <c r="H38" s="75">
        <v>28.201181399822325</v>
      </c>
      <c r="I38" s="76">
        <v>191.29449179967256</v>
      </c>
      <c r="J38" s="74">
        <v>421.47453311284369</v>
      </c>
      <c r="K38" s="74">
        <v>22.966695020596177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254.34529402201665</v>
      </c>
      <c r="V38" s="80">
        <v>178.04666321861217</v>
      </c>
      <c r="W38" s="81">
        <v>42.735155289710796</v>
      </c>
      <c r="X38" s="81">
        <v>29.915441646833038</v>
      </c>
      <c r="Y38" s="80">
        <v>180.62053795140235</v>
      </c>
      <c r="Z38" s="80">
        <v>126.43789701182423</v>
      </c>
      <c r="AA38" s="82">
        <v>0</v>
      </c>
      <c r="AB38" s="83">
        <v>75.697580263350417</v>
      </c>
      <c r="AC38" s="84">
        <v>0</v>
      </c>
      <c r="AD38" s="406">
        <v>10.371485731122549</v>
      </c>
      <c r="AE38" s="406">
        <v>7.0254013444716596</v>
      </c>
      <c r="AF38" s="85">
        <v>17.174627158376911</v>
      </c>
      <c r="AG38" s="83">
        <v>9.9993051633782297</v>
      </c>
      <c r="AH38" s="83">
        <v>6.999708509212768</v>
      </c>
      <c r="AI38" s="83">
        <v>0.58822854995998897</v>
      </c>
      <c r="AJ38" s="84">
        <v>234.445424969991</v>
      </c>
      <c r="AK38" s="84">
        <v>752.9800710042316</v>
      </c>
      <c r="AL38" s="84">
        <v>2884.3337572733558</v>
      </c>
      <c r="AM38" s="84">
        <v>508.72581481933594</v>
      </c>
      <c r="AN38" s="84">
        <v>7445.296875</v>
      </c>
      <c r="AO38" s="84">
        <v>2452.4755133310955</v>
      </c>
      <c r="AP38" s="84">
        <v>535.01989369392379</v>
      </c>
      <c r="AQ38" s="84">
        <v>2569.1670791625979</v>
      </c>
      <c r="AR38" s="84">
        <v>464.38756297429399</v>
      </c>
      <c r="AS38" s="84">
        <v>531.95004987716675</v>
      </c>
    </row>
    <row r="39" spans="1:5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2407.9934797247265</v>
      </c>
      <c r="D39" s="30">
        <f t="shared" si="0"/>
        <v>29750.926574522655</v>
      </c>
      <c r="E39" s="30">
        <f t="shared" si="0"/>
        <v>566.59968284040679</v>
      </c>
      <c r="F39" s="30">
        <f t="shared" si="0"/>
        <v>0</v>
      </c>
      <c r="G39" s="30">
        <f t="shared" si="0"/>
        <v>84609.553154296926</v>
      </c>
      <c r="H39" s="31">
        <f t="shared" si="0"/>
        <v>916.04731548488292</v>
      </c>
      <c r="I39" s="29">
        <f t="shared" si="0"/>
        <v>8227.9045688120532</v>
      </c>
      <c r="J39" s="30">
        <f t="shared" si="0"/>
        <v>19035.980051581068</v>
      </c>
      <c r="K39" s="30">
        <f t="shared" si="0"/>
        <v>1042.5826086560885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10236.91987419812</v>
      </c>
      <c r="V39" s="260">
        <f t="shared" si="0"/>
        <v>5420.9996487920225</v>
      </c>
      <c r="W39" s="260">
        <f t="shared" si="0"/>
        <v>1772.4148661770803</v>
      </c>
      <c r="X39" s="260">
        <f t="shared" si="0"/>
        <v>937.02661325152815</v>
      </c>
      <c r="Y39" s="260">
        <f t="shared" si="0"/>
        <v>7849.6092465136289</v>
      </c>
      <c r="Z39" s="260">
        <f t="shared" si="0"/>
        <v>4140.6152413489563</v>
      </c>
      <c r="AA39" s="268">
        <f t="shared" si="0"/>
        <v>0</v>
      </c>
      <c r="AB39" s="271">
        <f t="shared" si="0"/>
        <v>2849.5693543794332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SUM(AJ8:AJ38)</f>
        <v>7739.8095414447789</v>
      </c>
      <c r="AK39" s="271">
        <f t="shared" si="1"/>
        <v>24443.073541253405</v>
      </c>
      <c r="AL39" s="271">
        <f t="shared" si="1"/>
        <v>89166.450208918264</v>
      </c>
      <c r="AM39" s="271">
        <f t="shared" si="1"/>
        <v>15844.071836814881</v>
      </c>
      <c r="AN39" s="271">
        <f t="shared" si="1"/>
        <v>217450.26709442138</v>
      </c>
      <c r="AO39" s="271">
        <f t="shared" si="1"/>
        <v>77631.175336507149</v>
      </c>
      <c r="AP39" s="271">
        <f t="shared" si="1"/>
        <v>20944.410229390458</v>
      </c>
      <c r="AQ39" s="271">
        <f t="shared" si="1"/>
        <v>91363.543344844191</v>
      </c>
      <c r="AR39" s="271">
        <f t="shared" si="1"/>
        <v>14534.61347703934</v>
      </c>
      <c r="AS39" s="271">
        <f t="shared" si="1"/>
        <v>19616.193192987444</v>
      </c>
    </row>
    <row r="40" spans="1:55" ht="15.75" thickBot="1" x14ac:dyDescent="0.3">
      <c r="A40" s="47" t="s">
        <v>172</v>
      </c>
      <c r="B40" s="32">
        <f>Projection!$AD$30</f>
        <v>0.66681052199999991</v>
      </c>
      <c r="C40" s="33">
        <f>Projection!$AD$28</f>
        <v>1.4286753599999999</v>
      </c>
      <c r="D40" s="33">
        <f>Projection!$AD$31</f>
        <v>2.1114878399999997</v>
      </c>
      <c r="E40" s="33">
        <f>Projection!$AD$26</f>
        <v>4.4235360000000004</v>
      </c>
      <c r="F40" s="33">
        <f>Projection!$AD$23</f>
        <v>0</v>
      </c>
      <c r="G40" s="33">
        <f>Projection!$AD$24</f>
        <v>7.2805000000000009E-2</v>
      </c>
      <c r="H40" s="34">
        <f>Projection!$AD$29</f>
        <v>3.7390305000000001</v>
      </c>
      <c r="I40" s="32">
        <f>Projection!$AD$30</f>
        <v>0.66681052199999991</v>
      </c>
      <c r="J40" s="33">
        <f>Projection!$AD$28</f>
        <v>1.4286753599999999</v>
      </c>
      <c r="K40" s="33">
        <f>Projection!$AD$26</f>
        <v>4.4235360000000004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2">
        <v>15.77</v>
      </c>
      <c r="P40" s="263">
        <v>15.77</v>
      </c>
      <c r="Q40" s="263">
        <v>15.77</v>
      </c>
      <c r="R40" s="263">
        <v>15.77</v>
      </c>
      <c r="S40" s="263">
        <f>Projection!$AD$28</f>
        <v>1.4286753599999999</v>
      </c>
      <c r="T40" s="264">
        <f>Projection!$AD$28</f>
        <v>1.4286753599999999</v>
      </c>
      <c r="U40" s="262">
        <f>Projection!$AD$27</f>
        <v>0.26450000000000001</v>
      </c>
      <c r="V40" s="263">
        <f>Projection!$AD$27</f>
        <v>0.26450000000000001</v>
      </c>
      <c r="W40" s="263">
        <f>Projection!$AD$22</f>
        <v>0.85935360000000005</v>
      </c>
      <c r="X40" s="263">
        <f>Projection!$AD$22</f>
        <v>0.85935360000000005</v>
      </c>
      <c r="Y40" s="263">
        <f>Projection!$AD$31</f>
        <v>2.1114878399999997</v>
      </c>
      <c r="Z40" s="263">
        <f>Projection!$AD$31</f>
        <v>2.1114878399999997</v>
      </c>
      <c r="AA40" s="269">
        <v>0</v>
      </c>
      <c r="AB40" s="272">
        <f>Projection!$AD$27</f>
        <v>0.26450000000000001</v>
      </c>
      <c r="AC40" s="272">
        <f>Projection!$AD$30</f>
        <v>0.66681052199999991</v>
      </c>
      <c r="AD40" s="397">
        <f>SUM(AD8:AD38)</f>
        <v>440.45815490349958</v>
      </c>
      <c r="AE40" s="397">
        <f>SUM(AE8:AE38)</f>
        <v>227.77622587088882</v>
      </c>
      <c r="AF40" s="275">
        <f>SUM(AF8:AF38)</f>
        <v>648.64577983833044</v>
      </c>
      <c r="AG40" s="275">
        <f>SUM(AG8:AG38)</f>
        <v>418.69349216679853</v>
      </c>
      <c r="AH40" s="275">
        <f>SUM(AH8:AH38)</f>
        <v>221.50700586700566</v>
      </c>
      <c r="AI40" s="275">
        <f>IF(SUM(AG40:AH40)&gt;0, AG40/(AG40+AH40),0)</f>
        <v>0.65400369642431988</v>
      </c>
      <c r="AJ40" s="310">
        <v>6.5000000000000002E-2</v>
      </c>
      <c r="AK40" s="310">
        <f t="shared" ref="AK40:AS40" si="2">$AJ$40</f>
        <v>6.5000000000000002E-2</v>
      </c>
      <c r="AL40" s="310">
        <f t="shared" si="2"/>
        <v>6.5000000000000002E-2</v>
      </c>
      <c r="AM40" s="310">
        <f t="shared" si="2"/>
        <v>6.5000000000000002E-2</v>
      </c>
      <c r="AN40" s="310">
        <f t="shared" si="2"/>
        <v>6.5000000000000002E-2</v>
      </c>
      <c r="AO40" s="310">
        <f t="shared" si="2"/>
        <v>6.5000000000000002E-2</v>
      </c>
      <c r="AP40" s="310">
        <f t="shared" si="2"/>
        <v>6.5000000000000002E-2</v>
      </c>
      <c r="AQ40" s="310">
        <f t="shared" si="2"/>
        <v>6.5000000000000002E-2</v>
      </c>
      <c r="AR40" s="310">
        <f t="shared" si="2"/>
        <v>6.5000000000000002E-2</v>
      </c>
      <c r="AS40" s="310">
        <f t="shared" si="2"/>
        <v>6.5000000000000002E-2</v>
      </c>
    </row>
    <row r="41" spans="1:5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3440.2409515233762</v>
      </c>
      <c r="D41" s="36">
        <f t="shared" si="3"/>
        <v>62818.719690837432</v>
      </c>
      <c r="E41" s="36">
        <f t="shared" si="3"/>
        <v>2506.3740946331218</v>
      </c>
      <c r="F41" s="36">
        <f t="shared" si="3"/>
        <v>0</v>
      </c>
      <c r="G41" s="36">
        <f t="shared" si="3"/>
        <v>6159.9985173985888</v>
      </c>
      <c r="H41" s="37">
        <f t="shared" si="3"/>
        <v>3425.1288520410994</v>
      </c>
      <c r="I41" s="35">
        <f t="shared" si="3"/>
        <v>5486.4533404957492</v>
      </c>
      <c r="J41" s="36">
        <f t="shared" si="3"/>
        <v>27196.235653145399</v>
      </c>
      <c r="K41" s="36">
        <f t="shared" si="3"/>
        <v>4611.901702364119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2707.6653067254028</v>
      </c>
      <c r="V41" s="266">
        <f t="shared" si="3"/>
        <v>1433.8544071054901</v>
      </c>
      <c r="W41" s="266">
        <f t="shared" si="3"/>
        <v>1523.1310959427922</v>
      </c>
      <c r="X41" s="266">
        <f t="shared" si="3"/>
        <v>805.23719339350851</v>
      </c>
      <c r="Y41" s="266">
        <f t="shared" si="3"/>
        <v>16574.354472765088</v>
      </c>
      <c r="Z41" s="266">
        <f t="shared" si="3"/>
        <v>8742.858732226985</v>
      </c>
      <c r="AA41" s="270">
        <f t="shared" si="3"/>
        <v>0</v>
      </c>
      <c r="AB41" s="273">
        <f t="shared" si="3"/>
        <v>753.71109423336009</v>
      </c>
      <c r="AC41" s="273">
        <f t="shared" si="3"/>
        <v>0</v>
      </c>
      <c r="AJ41" s="276">
        <f t="shared" ref="AJ41:AS41" si="4">AJ40*AJ39</f>
        <v>503.08762019391065</v>
      </c>
      <c r="AK41" s="276">
        <f t="shared" si="4"/>
        <v>1588.7997801814713</v>
      </c>
      <c r="AL41" s="276">
        <f t="shared" si="4"/>
        <v>5795.8192635796877</v>
      </c>
      <c r="AM41" s="276">
        <f t="shared" si="4"/>
        <v>1029.8646693929672</v>
      </c>
      <c r="AN41" s="276">
        <f t="shared" si="4"/>
        <v>14134.26736113739</v>
      </c>
      <c r="AO41" s="276">
        <f t="shared" si="4"/>
        <v>5046.0263968729651</v>
      </c>
      <c r="AP41" s="276">
        <f t="shared" si="4"/>
        <v>1361.3866649103797</v>
      </c>
      <c r="AQ41" s="276">
        <f t="shared" si="4"/>
        <v>5938.6303174148725</v>
      </c>
      <c r="AR41" s="276">
        <f t="shared" si="4"/>
        <v>944.74987600755719</v>
      </c>
      <c r="AS41" s="276">
        <f t="shared" si="4"/>
        <v>1275.0525575441839</v>
      </c>
    </row>
    <row r="42" spans="1:55" ht="49.5" customHeight="1" thickTop="1" thickBot="1" x14ac:dyDescent="0.3">
      <c r="A42" s="640">
        <f>SEPTEMBER!$A$42+30</f>
        <v>44105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341.47</v>
      </c>
      <c r="AK42" s="276" t="s">
        <v>197</v>
      </c>
      <c r="AL42" s="276">
        <v>993.44</v>
      </c>
      <c r="AM42" s="276">
        <v>560.07000000000005</v>
      </c>
      <c r="AN42" s="276">
        <v>378.72</v>
      </c>
      <c r="AO42" s="276">
        <v>3354.12</v>
      </c>
      <c r="AP42" s="276">
        <v>226.73</v>
      </c>
      <c r="AQ42" s="276" t="s">
        <v>197</v>
      </c>
      <c r="AR42" s="276">
        <v>46.84</v>
      </c>
      <c r="AS42" s="276">
        <v>146.44</v>
      </c>
    </row>
    <row r="43" spans="1:5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55" ht="24.75" thickTop="1" thickBot="1" x14ac:dyDescent="0.3">
      <c r="A44" s="280" t="s">
        <v>135</v>
      </c>
      <c r="B44" s="281">
        <f>SUM(B41:AC41)</f>
        <v>148185.86510483152</v>
      </c>
      <c r="C44" s="12"/>
      <c r="D44" s="280" t="s">
        <v>135</v>
      </c>
      <c r="E44" s="281">
        <f>SUM(B41:H41)+P41+R41+T41+V41+X41+Z41</f>
        <v>89332.412439159612</v>
      </c>
      <c r="F44" s="12"/>
      <c r="G44" s="280" t="s">
        <v>135</v>
      </c>
      <c r="H44" s="281">
        <f>SUM(I41:N41)+O41+Q41+S41+U41+W41+Y41</f>
        <v>58099.74157143855</v>
      </c>
      <c r="I44" s="12"/>
      <c r="J44" s="280" t="s">
        <v>198</v>
      </c>
      <c r="K44" s="281">
        <v>144410.37999999998</v>
      </c>
      <c r="L44" s="12"/>
      <c r="M44" s="12"/>
      <c r="N44" s="12"/>
      <c r="O44" s="12"/>
      <c r="P44" s="12"/>
      <c r="Q44" s="12"/>
      <c r="R44" s="317" t="s">
        <v>135</v>
      </c>
      <c r="S44" s="318"/>
      <c r="T44" s="311" t="s">
        <v>167</v>
      </c>
      <c r="U44" s="253" t="s">
        <v>168</v>
      </c>
    </row>
    <row r="45" spans="1:55" ht="24" thickBot="1" x14ac:dyDescent="0.4">
      <c r="A45" s="282" t="s">
        <v>183</v>
      </c>
      <c r="B45" s="283">
        <f>SUM(AJ41:AS41)</f>
        <v>37617.684507235383</v>
      </c>
      <c r="C45" s="12"/>
      <c r="D45" s="282" t="s">
        <v>183</v>
      </c>
      <c r="E45" s="283">
        <f>AJ41*(1-$AI$40)+AK41+AL41*0.5+AN41+AO41*(1-$AI$40)+AP41*(1-$AI$40)+AQ41*(1-$AI$40)+AR41*0.5+AS41*0.5</f>
        <v>24176.629819833939</v>
      </c>
      <c r="F45" s="24"/>
      <c r="G45" s="282" t="s">
        <v>183</v>
      </c>
      <c r="H45" s="283">
        <f>AJ41*AI40+AL41*0.5+AM41+AO41*AI40+AP41*AI40+AQ41*AI40+AR41*0.5+AS41*0.5</f>
        <v>13441.054687401449</v>
      </c>
      <c r="I45" s="12"/>
      <c r="J45" s="12"/>
      <c r="K45" s="286"/>
      <c r="L45" s="12"/>
      <c r="M45" s="12"/>
      <c r="N45" s="12"/>
      <c r="O45" s="12"/>
      <c r="P45" s="12"/>
      <c r="Q45" s="12"/>
      <c r="R45" s="315" t="s">
        <v>141</v>
      </c>
      <c r="S45" s="316"/>
      <c r="T45" s="252">
        <f>$W$39+$X$39</f>
        <v>2709.4414794286085</v>
      </c>
      <c r="U45" s="254">
        <f>(T45*8.34*0.895)/27000</f>
        <v>0.7490401494407023</v>
      </c>
    </row>
    <row r="46" spans="1:55" ht="32.25" thickBot="1" x14ac:dyDescent="0.3">
      <c r="A46" s="284" t="s">
        <v>184</v>
      </c>
      <c r="B46" s="285">
        <f>SUM(AJ42:AS42)</f>
        <v>6047.829999999999</v>
      </c>
      <c r="C46" s="12"/>
      <c r="D46" s="284" t="s">
        <v>184</v>
      </c>
      <c r="E46" s="285">
        <f>AJ42*(1-$AI$40)+AL42*0.5+AN42+AO42*(1-$AI$40)+AP42*(1-$AI$40)+AR42*0.5+AS42*0.5</f>
        <v>2329.1882214409611</v>
      </c>
      <c r="F46" s="23"/>
      <c r="G46" s="284" t="s">
        <v>184</v>
      </c>
      <c r="H46" s="285">
        <f>AJ42*AI40+AL42*0.5+AM42+AO42*AI40+AP42*AI40+AR42*0.5+AS42*0.5</f>
        <v>3718.6417785590384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15" t="s">
        <v>145</v>
      </c>
      <c r="S46" s="316"/>
      <c r="T46" s="252">
        <f>$M$39+$N$39+$F$39</f>
        <v>0</v>
      </c>
      <c r="U46" s="255">
        <f>(((T46*8.34)*0.005)/(8.34*1.055))/400</f>
        <v>0</v>
      </c>
    </row>
    <row r="47" spans="1:55" ht="24.75" thickTop="1" thickBot="1" x14ac:dyDescent="0.4">
      <c r="A47" s="284" t="s">
        <v>185</v>
      </c>
      <c r="B47" s="285">
        <f>K44</f>
        <v>144410.37999999998</v>
      </c>
      <c r="C47" s="12"/>
      <c r="D47" s="284" t="s">
        <v>187</v>
      </c>
      <c r="E47" s="285">
        <f>K44*0.5</f>
        <v>72205.189999999988</v>
      </c>
      <c r="F47" s="24"/>
      <c r="G47" s="284" t="s">
        <v>185</v>
      </c>
      <c r="H47" s="285">
        <f>K44*0.5</f>
        <v>72205.189999999988</v>
      </c>
      <c r="I47" s="12"/>
      <c r="J47" s="280" t="s">
        <v>198</v>
      </c>
      <c r="K47" s="281">
        <v>21116.079999999994</v>
      </c>
      <c r="L47" s="12"/>
      <c r="M47" s="12"/>
      <c r="N47" s="12"/>
      <c r="O47" s="12"/>
      <c r="P47" s="12"/>
      <c r="Q47" s="12"/>
      <c r="R47" s="315" t="s">
        <v>148</v>
      </c>
      <c r="S47" s="316"/>
      <c r="T47" s="252">
        <f>$G$39</f>
        <v>84609.553154296926</v>
      </c>
      <c r="U47" s="254">
        <f>T47/40000</f>
        <v>2.1152388288574233</v>
      </c>
    </row>
    <row r="48" spans="1:55" ht="24" thickBot="1" x14ac:dyDescent="0.3">
      <c r="A48" s="284" t="s">
        <v>186</v>
      </c>
      <c r="B48" s="285">
        <f>K47</f>
        <v>21116.079999999994</v>
      </c>
      <c r="C48" s="12"/>
      <c r="D48" s="284" t="s">
        <v>186</v>
      </c>
      <c r="E48" s="285">
        <f>K47*0.5</f>
        <v>10558.039999999997</v>
      </c>
      <c r="F48" s="23"/>
      <c r="G48" s="284" t="s">
        <v>186</v>
      </c>
      <c r="H48" s="285">
        <f>K47*0.5</f>
        <v>10558.039999999997</v>
      </c>
      <c r="I48" s="12"/>
      <c r="J48" s="12"/>
      <c r="K48" s="86"/>
      <c r="L48" s="12"/>
      <c r="M48" s="12"/>
      <c r="N48" s="12"/>
      <c r="O48" s="12"/>
      <c r="P48" s="12"/>
      <c r="Q48" s="12"/>
      <c r="R48" s="315" t="s">
        <v>150</v>
      </c>
      <c r="S48" s="316"/>
      <c r="T48" s="252">
        <f>$L$39</f>
        <v>0</v>
      </c>
      <c r="U48" s="254">
        <f>T48*9.34*0.107</f>
        <v>0</v>
      </c>
    </row>
    <row r="49" spans="1:25" ht="48" thickTop="1" thickBot="1" x14ac:dyDescent="0.3">
      <c r="A49" s="289" t="s">
        <v>194</v>
      </c>
      <c r="B49" s="290">
        <f>AF40</f>
        <v>648.64577983833044</v>
      </c>
      <c r="C49" s="12"/>
      <c r="D49" s="289" t="s">
        <v>195</v>
      </c>
      <c r="E49" s="290">
        <f>AH40</f>
        <v>221.50700586700566</v>
      </c>
      <c r="F49" s="23"/>
      <c r="G49" s="289" t="s">
        <v>196</v>
      </c>
      <c r="H49" s="290">
        <f>AG40</f>
        <v>418.69349216679853</v>
      </c>
      <c r="I49" s="12"/>
      <c r="J49" s="12"/>
      <c r="K49" s="86"/>
      <c r="L49" s="12"/>
      <c r="M49" s="12"/>
      <c r="N49" s="12"/>
      <c r="O49" s="12"/>
      <c r="P49" s="12"/>
      <c r="Q49" s="12"/>
      <c r="R49" s="315" t="s">
        <v>152</v>
      </c>
      <c r="S49" s="316"/>
      <c r="T49" s="252">
        <f>$E$39+$K$39</f>
        <v>1609.1822914964953</v>
      </c>
      <c r="U49" s="254">
        <f>(T49*8.34*1.04)/45000</f>
        <v>0.3101645227449778</v>
      </c>
    </row>
    <row r="50" spans="1:25" ht="48" customHeight="1" thickTop="1" thickBot="1" x14ac:dyDescent="0.3">
      <c r="A50" s="289" t="s">
        <v>223</v>
      </c>
      <c r="B50" s="290">
        <f>SUM(E50+H50)</f>
        <v>668.23438077438846</v>
      </c>
      <c r="C50" s="12"/>
      <c r="D50" s="289" t="s">
        <v>224</v>
      </c>
      <c r="E50" s="290">
        <f>AE40</f>
        <v>227.77622587088882</v>
      </c>
      <c r="F50" s="23"/>
      <c r="G50" s="289" t="s">
        <v>225</v>
      </c>
      <c r="H50" s="290">
        <f>AD40</f>
        <v>440.45815490349958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534.80911771991873</v>
      </c>
      <c r="C51" s="12"/>
      <c r="D51" s="289" t="s">
        <v>188</v>
      </c>
      <c r="E51" s="396">
        <f>SUM(E44:E48)/E50</f>
        <v>871.91479146295296</v>
      </c>
      <c r="F51" s="23"/>
      <c r="G51" s="289" t="s">
        <v>189</v>
      </c>
      <c r="H51" s="396">
        <f>SUM(H44:H48)/H50</f>
        <v>358.76885528892154</v>
      </c>
      <c r="I51" s="12"/>
      <c r="J51" s="12"/>
      <c r="K51" s="86"/>
      <c r="L51" s="12"/>
      <c r="M51" s="12"/>
      <c r="N51" s="12"/>
      <c r="O51" s="12"/>
      <c r="P51" s="12"/>
      <c r="Q51" s="12"/>
      <c r="R51" s="315" t="s">
        <v>153</v>
      </c>
      <c r="S51" s="316"/>
      <c r="T51" s="252">
        <f>$U$39+$V$39+$AB$39</f>
        <v>18507.488877369575</v>
      </c>
      <c r="U51" s="254">
        <f>T51/2000/8</f>
        <v>1.1567180548355984</v>
      </c>
    </row>
    <row r="52" spans="1:25" ht="48" thickTop="1" thickBot="1" x14ac:dyDescent="0.3">
      <c r="A52" s="279" t="s">
        <v>191</v>
      </c>
      <c r="B52" s="292">
        <f>B51/1000</f>
        <v>0.53480911771991868</v>
      </c>
      <c r="C52" s="12"/>
      <c r="D52" s="279" t="s">
        <v>192</v>
      </c>
      <c r="E52" s="292">
        <f>E51/1000</f>
        <v>0.87191479146295292</v>
      </c>
      <c r="F52" s="370">
        <f>E44/E49</f>
        <v>403.29384657384338</v>
      </c>
      <c r="G52" s="279" t="s">
        <v>193</v>
      </c>
      <c r="H52" s="292">
        <f>H51/1000</f>
        <v>0.35876885528892155</v>
      </c>
      <c r="I52" s="370">
        <f>H44/H49</f>
        <v>138.76437694496778</v>
      </c>
      <c r="J52" s="12"/>
      <c r="K52" s="86"/>
      <c r="L52" s="12"/>
      <c r="M52" s="12"/>
      <c r="N52" s="12"/>
      <c r="O52" s="12"/>
      <c r="P52" s="12"/>
      <c r="Q52" s="12"/>
      <c r="R52" s="315" t="s">
        <v>154</v>
      </c>
      <c r="S52" s="316"/>
      <c r="T52" s="252">
        <f>$C$39+$J$39+$S$39+$T$39</f>
        <v>21443.973531305794</v>
      </c>
      <c r="U52" s="254">
        <f>(T52*8.34*1.4)/45000</f>
        <v>5.5639963322561421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5" t="s">
        <v>155</v>
      </c>
      <c r="S53" s="316"/>
      <c r="T53" s="252">
        <f>$H$39</f>
        <v>916.04731548488292</v>
      </c>
      <c r="U53" s="254">
        <f>(T53*8.34*1.135)/45000</f>
        <v>0.19269360630329671</v>
      </c>
    </row>
    <row r="54" spans="1:25" ht="33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5" t="s">
        <v>156</v>
      </c>
      <c r="S54" s="316"/>
      <c r="T54" s="252">
        <f>$B$39+$I$39+$AC$39</f>
        <v>8227.9045688120532</v>
      </c>
      <c r="U54" s="254">
        <f>(T54*8.34*1.029*0.03)/3300</f>
        <v>0.64191568275368549</v>
      </c>
    </row>
    <row r="55" spans="1:25" ht="59.25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41741.151062385237</v>
      </c>
      <c r="U55" s="257">
        <f>(T55*1.54*8.34)/45000</f>
        <v>11.913481061885578</v>
      </c>
      <c r="V55" s="323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0"/>
      <c r="T56" s="675"/>
      <c r="U56" s="675"/>
      <c r="V56" s="321"/>
      <c r="W56" s="322"/>
      <c r="X56" s="320"/>
      <c r="Y56" s="320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0"/>
      <c r="T57" s="674"/>
      <c r="U57" s="674"/>
      <c r="V57" s="321"/>
      <c r="W57" s="322"/>
      <c r="X57" s="320"/>
      <c r="Y57" s="320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0"/>
      <c r="T58" s="674"/>
      <c r="U58" s="674"/>
      <c r="V58" s="321"/>
      <c r="W58" s="322"/>
      <c r="X58" s="320"/>
      <c r="Y58" s="320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0"/>
      <c r="T59" s="674"/>
      <c r="U59" s="674"/>
      <c r="V59" s="321"/>
      <c r="W59" s="322"/>
      <c r="X59" s="320"/>
      <c r="Y59" s="320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0"/>
      <c r="T60" s="674"/>
      <c r="U60" s="674"/>
      <c r="V60" s="321"/>
      <c r="W60" s="322"/>
      <c r="X60" s="320"/>
      <c r="Y60" s="320"/>
    </row>
    <row r="61" spans="1:25" x14ac:dyDescent="0.25">
      <c r="S61" s="320"/>
      <c r="T61" s="674"/>
      <c r="U61" s="674"/>
      <c r="V61" s="321"/>
      <c r="W61" s="322"/>
      <c r="X61" s="320"/>
      <c r="Y61" s="320"/>
    </row>
    <row r="62" spans="1:25" x14ac:dyDescent="0.25">
      <c r="S62" s="320"/>
      <c r="T62" s="674"/>
      <c r="U62" s="674"/>
      <c r="V62" s="321"/>
      <c r="W62" s="322"/>
      <c r="X62" s="320"/>
      <c r="Y62" s="320"/>
    </row>
    <row r="63" spans="1:25" x14ac:dyDescent="0.25">
      <c r="S63" s="320"/>
      <c r="T63" s="674"/>
      <c r="U63" s="674"/>
      <c r="V63" s="321"/>
      <c r="W63" s="322"/>
      <c r="X63" s="320"/>
      <c r="Y63" s="320"/>
    </row>
    <row r="64" spans="1:25" x14ac:dyDescent="0.25">
      <c r="S64" s="320"/>
      <c r="T64" s="320"/>
      <c r="U64" s="320"/>
      <c r="V64" s="320"/>
      <c r="W64" s="320"/>
      <c r="X64" s="320"/>
      <c r="Y64" s="320"/>
    </row>
    <row r="65" spans="19:25" x14ac:dyDescent="0.25">
      <c r="S65" s="320"/>
      <c r="T65" s="320"/>
      <c r="U65" s="320"/>
      <c r="V65" s="320"/>
      <c r="W65" s="320"/>
      <c r="X65" s="320"/>
      <c r="Y65" s="320"/>
    </row>
    <row r="66" spans="19:25" x14ac:dyDescent="0.25">
      <c r="S66" s="320"/>
      <c r="T66" s="320"/>
      <c r="U66" s="320"/>
      <c r="V66" s="320"/>
      <c r="W66" s="320"/>
      <c r="X66" s="320"/>
      <c r="Y66" s="320"/>
    </row>
    <row r="67" spans="19:25" x14ac:dyDescent="0.25">
      <c r="S67" s="320"/>
      <c r="T67" s="320"/>
      <c r="U67" s="320"/>
      <c r="V67" s="320"/>
      <c r="W67" s="320"/>
      <c r="X67" s="320"/>
      <c r="Y67" s="320"/>
    </row>
  </sheetData>
  <sheetProtection algorithmName="SHA-512" hashValue="N9D9IK2MoSNkXjXcMdJhEVyWHYtpXo/H67o5dzCdGp1LXYvcNo2ZHusDRZUyL04IHTZRb9sE77nvepT0hw4+CA==" saltValue="wpoJJ6g9tdk/XI+g+nQqDQ==" spinCount="100000" sheet="1" selectLockedCells="1" selectUnlockedCells="1"/>
  <mergeCells count="40">
    <mergeCell ref="AR4:AR5"/>
    <mergeCell ref="AS4:AS5"/>
    <mergeCell ref="AJ4:AJ5"/>
    <mergeCell ref="AK4:AK5"/>
    <mergeCell ref="AL4:AL5"/>
    <mergeCell ref="AM4:AM5"/>
    <mergeCell ref="AN4:AN5"/>
    <mergeCell ref="AO4:AO5"/>
    <mergeCell ref="O4:T5"/>
    <mergeCell ref="U4:AA5"/>
    <mergeCell ref="R43:U43"/>
    <mergeCell ref="AP4:AP5"/>
    <mergeCell ref="AQ4:AQ5"/>
    <mergeCell ref="AI4:AI5"/>
    <mergeCell ref="AB4:AB5"/>
    <mergeCell ref="AC4:AC5"/>
    <mergeCell ref="AF4:AF5"/>
    <mergeCell ref="AG4:AG5"/>
    <mergeCell ref="AH4:AH5"/>
    <mergeCell ref="AD4:AD5"/>
    <mergeCell ref="AE4:AE5"/>
    <mergeCell ref="B4:H5"/>
    <mergeCell ref="I4:N5"/>
    <mergeCell ref="G43:H43"/>
    <mergeCell ref="D43:E43"/>
    <mergeCell ref="A43:B43"/>
    <mergeCell ref="A42:K42"/>
    <mergeCell ref="J43:K43"/>
    <mergeCell ref="J46:K46"/>
    <mergeCell ref="A54:E54"/>
    <mergeCell ref="A55:E55"/>
    <mergeCell ref="R55:S55"/>
    <mergeCell ref="T62:U62"/>
    <mergeCell ref="T56:U56"/>
    <mergeCell ref="T63:U63"/>
    <mergeCell ref="T57:U57"/>
    <mergeCell ref="T58:U58"/>
    <mergeCell ref="T59:U59"/>
    <mergeCell ref="T60:U60"/>
    <mergeCell ref="T61:U61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C70"/>
  <sheetViews>
    <sheetView topLeftCell="C43" zoomScale="80" zoomScaleNormal="80" workbookViewId="0">
      <selection activeCell="K47" sqref="K47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58" t="s">
        <v>206</v>
      </c>
    </row>
    <row r="4" spans="1:55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</row>
    <row r="5" spans="1:55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4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>
        <v>44136</v>
      </c>
      <c r="B8" s="49"/>
      <c r="C8" s="50">
        <v>74.339990313848091</v>
      </c>
      <c r="D8" s="50">
        <v>891.98873424529961</v>
      </c>
      <c r="E8" s="50">
        <v>17.595191377401321</v>
      </c>
      <c r="F8" s="50">
        <v>0</v>
      </c>
      <c r="G8" s="50">
        <v>2591.6930221557627</v>
      </c>
      <c r="H8" s="51">
        <v>28.356029530366246</v>
      </c>
      <c r="I8" s="49">
        <v>191.23546284834563</v>
      </c>
      <c r="J8" s="50">
        <v>421.27364759445214</v>
      </c>
      <c r="K8" s="50">
        <v>22.960424087941675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245.07460990010577</v>
      </c>
      <c r="V8" s="54">
        <v>171.60206360758133</v>
      </c>
      <c r="W8" s="54">
        <v>41.130490708437804</v>
      </c>
      <c r="X8" s="54">
        <v>28.799707508000534</v>
      </c>
      <c r="Y8" s="54">
        <v>178.0320991676233</v>
      </c>
      <c r="Z8" s="54">
        <v>124.65867279358889</v>
      </c>
      <c r="AA8" s="55">
        <v>0</v>
      </c>
      <c r="AB8" s="56">
        <v>75.69719397756829</v>
      </c>
      <c r="AC8" s="57">
        <v>0</v>
      </c>
      <c r="AD8" s="440">
        <v>10.364191032562363</v>
      </c>
      <c r="AE8" s="405">
        <v>7.0285775308253902</v>
      </c>
      <c r="AF8" s="57">
        <v>16.901344632440107</v>
      </c>
      <c r="AG8" s="58">
        <v>9.8381653594827139</v>
      </c>
      <c r="AH8" s="58">
        <v>6.888716372895578</v>
      </c>
      <c r="AI8" s="58">
        <v>0.58816493814498227</v>
      </c>
      <c r="AJ8" s="57">
        <v>246.85367941856384</v>
      </c>
      <c r="AK8" s="57">
        <v>769.5773399353028</v>
      </c>
      <c r="AL8" s="57">
        <v>2899.4814473470055</v>
      </c>
      <c r="AM8" s="57">
        <v>508.72581481933594</v>
      </c>
      <c r="AN8" s="57">
        <v>7445.296875</v>
      </c>
      <c r="AO8" s="57">
        <v>2505.0036334991455</v>
      </c>
      <c r="AP8" s="57">
        <v>565.96186946233104</v>
      </c>
      <c r="AQ8" s="57">
        <v>2605.7283448537187</v>
      </c>
      <c r="AR8" s="57">
        <v>461.08685909907018</v>
      </c>
      <c r="AS8" s="57">
        <v>593.7586706797282</v>
      </c>
    </row>
    <row r="9" spans="1:55" x14ac:dyDescent="0.25">
      <c r="A9" s="11">
        <v>44137</v>
      </c>
      <c r="B9" s="59"/>
      <c r="C9" s="60">
        <v>74.891333766778217</v>
      </c>
      <c r="D9" s="60">
        <v>890.54733829498093</v>
      </c>
      <c r="E9" s="50">
        <v>17.452797845005989</v>
      </c>
      <c r="F9" s="60">
        <v>0</v>
      </c>
      <c r="G9" s="60">
        <v>2466.3848092397056</v>
      </c>
      <c r="H9" s="61">
        <v>28.380232093731642</v>
      </c>
      <c r="I9" s="59">
        <v>191.25759449005128</v>
      </c>
      <c r="J9" s="60">
        <v>421.3818170229593</v>
      </c>
      <c r="K9" s="60">
        <v>22.977633577088511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241.69723739743335</v>
      </c>
      <c r="V9" s="62">
        <v>170.53376996662297</v>
      </c>
      <c r="W9" s="62">
        <v>40.245146617886185</v>
      </c>
      <c r="X9" s="62">
        <v>28.395676547689412</v>
      </c>
      <c r="Y9" s="66">
        <v>176.24011962630317</v>
      </c>
      <c r="Z9" s="66">
        <v>124.3493402856795</v>
      </c>
      <c r="AA9" s="67">
        <v>0</v>
      </c>
      <c r="AB9" s="68">
        <v>75.702074601916337</v>
      </c>
      <c r="AC9" s="69">
        <v>0</v>
      </c>
      <c r="AD9" s="402">
        <v>10.369408482479047</v>
      </c>
      <c r="AE9" s="406">
        <v>7.0183296108905502</v>
      </c>
      <c r="AF9" s="69">
        <v>16.772712934679461</v>
      </c>
      <c r="AG9" s="68">
        <v>9.7358128582703589</v>
      </c>
      <c r="AH9" s="68">
        <v>6.8692753309392929</v>
      </c>
      <c r="AI9" s="68">
        <v>0.58631503472513324</v>
      </c>
      <c r="AJ9" s="69">
        <v>264.31228501001993</v>
      </c>
      <c r="AK9" s="69">
        <v>789.59911425908399</v>
      </c>
      <c r="AL9" s="69">
        <v>2867.2133410135907</v>
      </c>
      <c r="AM9" s="69">
        <v>508.72581481933594</v>
      </c>
      <c r="AN9" s="69">
        <v>7445.296875</v>
      </c>
      <c r="AO9" s="69">
        <v>2550.739916610718</v>
      </c>
      <c r="AP9" s="69">
        <v>544.31370940208433</v>
      </c>
      <c r="AQ9" s="69">
        <v>2590.6493971506757</v>
      </c>
      <c r="AR9" s="69">
        <v>446.92317975362141</v>
      </c>
      <c r="AS9" s="69">
        <v>672.97822465896616</v>
      </c>
    </row>
    <row r="10" spans="1:55" x14ac:dyDescent="0.25">
      <c r="A10" s="11">
        <v>44138</v>
      </c>
      <c r="B10" s="59"/>
      <c r="C10" s="60">
        <v>74.565144721667053</v>
      </c>
      <c r="D10" s="60">
        <v>889.56796722412298</v>
      </c>
      <c r="E10" s="50">
        <v>17.439540736377232</v>
      </c>
      <c r="F10" s="60">
        <v>0</v>
      </c>
      <c r="G10" s="60">
        <v>2442.7338475545316</v>
      </c>
      <c r="H10" s="61">
        <v>28.219765917460165</v>
      </c>
      <c r="I10" s="59">
        <v>191.75417816638935</v>
      </c>
      <c r="J10" s="60">
        <v>422.44176206588673</v>
      </c>
      <c r="K10" s="60">
        <v>23.026932792862258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234.49279128870791</v>
      </c>
      <c r="V10" s="62">
        <v>165.32731267450265</v>
      </c>
      <c r="W10" s="62">
        <v>38.576930536768089</v>
      </c>
      <c r="X10" s="62">
        <v>27.198363846598781</v>
      </c>
      <c r="Y10" s="66">
        <v>174.9130864700488</v>
      </c>
      <c r="Z10" s="66">
        <v>123.3211067119428</v>
      </c>
      <c r="AA10" s="67">
        <v>0</v>
      </c>
      <c r="AB10" s="68">
        <v>75.698137447569522</v>
      </c>
      <c r="AC10" s="69">
        <v>0</v>
      </c>
      <c r="AD10" s="402">
        <v>10.394364707059374</v>
      </c>
      <c r="AE10" s="406">
        <v>7.0106596233582241</v>
      </c>
      <c r="AF10" s="69">
        <v>16.21269663770995</v>
      </c>
      <c r="AG10" s="68">
        <v>9.3934400044541064</v>
      </c>
      <c r="AH10" s="68">
        <v>6.6227715750695255</v>
      </c>
      <c r="AI10" s="68">
        <v>0.5864957488738104</v>
      </c>
      <c r="AJ10" s="69">
        <v>276.61426210403442</v>
      </c>
      <c r="AK10" s="69">
        <v>803.41888844172138</v>
      </c>
      <c r="AL10" s="69">
        <v>2857.5770202636722</v>
      </c>
      <c r="AM10" s="69">
        <v>508.72581481933594</v>
      </c>
      <c r="AN10" s="69">
        <v>7445.296875</v>
      </c>
      <c r="AO10" s="69">
        <v>2745.3141610463463</v>
      </c>
      <c r="AP10" s="69">
        <v>556.20094725290937</v>
      </c>
      <c r="AQ10" s="69">
        <v>2583.2872778574629</v>
      </c>
      <c r="AR10" s="69">
        <v>430.35156672795614</v>
      </c>
      <c r="AS10" s="69">
        <v>693.36317167282095</v>
      </c>
    </row>
    <row r="11" spans="1:55" x14ac:dyDescent="0.25">
      <c r="A11" s="11">
        <v>44139</v>
      </c>
      <c r="B11" s="59"/>
      <c r="C11" s="60">
        <v>74.150287691753448</v>
      </c>
      <c r="D11" s="60">
        <v>889.93441543579058</v>
      </c>
      <c r="E11" s="50">
        <v>17.480924480656782</v>
      </c>
      <c r="F11" s="60">
        <v>0</v>
      </c>
      <c r="G11" s="60">
        <v>2394.0815813700369</v>
      </c>
      <c r="H11" s="61">
        <v>28.195099254449275</v>
      </c>
      <c r="I11" s="59">
        <v>191.76278161207838</v>
      </c>
      <c r="J11" s="60">
        <v>422.38204844792733</v>
      </c>
      <c r="K11" s="60">
        <v>22.995656374593548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248.33425199517646</v>
      </c>
      <c r="V11" s="62">
        <v>167.67086046209559</v>
      </c>
      <c r="W11" s="62">
        <v>41.193033267599724</v>
      </c>
      <c r="X11" s="62">
        <v>27.812801808573433</v>
      </c>
      <c r="Y11" s="66">
        <v>183.91234391370494</v>
      </c>
      <c r="Z11" s="66">
        <v>124.17433642706168</v>
      </c>
      <c r="AA11" s="67">
        <v>0</v>
      </c>
      <c r="AB11" s="68">
        <v>75.750975349214301</v>
      </c>
      <c r="AC11" s="69">
        <v>0</v>
      </c>
      <c r="AD11" s="402">
        <v>10.3925841200929</v>
      </c>
      <c r="AE11" s="406">
        <v>7.013141330638053</v>
      </c>
      <c r="AF11" s="69">
        <v>16.750567840867589</v>
      </c>
      <c r="AG11" s="68">
        <v>9.8819067867673542</v>
      </c>
      <c r="AH11" s="68">
        <v>6.6720873203414879</v>
      </c>
      <c r="AI11" s="68">
        <v>0.59695000027357337</v>
      </c>
      <c r="AJ11" s="69">
        <v>260.76254288355506</v>
      </c>
      <c r="AK11" s="69">
        <v>790.08537445068373</v>
      </c>
      <c r="AL11" s="69">
        <v>2894.4387494405109</v>
      </c>
      <c r="AM11" s="69">
        <v>508.72581481933594</v>
      </c>
      <c r="AN11" s="69">
        <v>7445.296875</v>
      </c>
      <c r="AO11" s="69">
        <v>2818.2818826039634</v>
      </c>
      <c r="AP11" s="69">
        <v>546.58947305679328</v>
      </c>
      <c r="AQ11" s="69">
        <v>2549.4372343699138</v>
      </c>
      <c r="AR11" s="69">
        <v>424.93623177210492</v>
      </c>
      <c r="AS11" s="69">
        <v>670.11090135574341</v>
      </c>
    </row>
    <row r="12" spans="1:55" x14ac:dyDescent="0.25">
      <c r="A12" s="11">
        <v>44140</v>
      </c>
      <c r="B12" s="59"/>
      <c r="C12" s="60">
        <v>73.469867082436778</v>
      </c>
      <c r="D12" s="60">
        <v>889.50160350799558</v>
      </c>
      <c r="E12" s="50">
        <v>17.480815654993037</v>
      </c>
      <c r="F12" s="60">
        <v>0</v>
      </c>
      <c r="G12" s="60">
        <v>2394.0828800201461</v>
      </c>
      <c r="H12" s="61">
        <v>28.126522094011396</v>
      </c>
      <c r="I12" s="59">
        <v>198.20013721783988</v>
      </c>
      <c r="J12" s="60">
        <v>422.47900311152159</v>
      </c>
      <c r="K12" s="60">
        <v>23.015164888898504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255.43118067165835</v>
      </c>
      <c r="V12" s="62">
        <v>178.76432044393636</v>
      </c>
      <c r="W12" s="62">
        <v>44.244863233135781</v>
      </c>
      <c r="X12" s="62">
        <v>30.964907605283681</v>
      </c>
      <c r="Y12" s="66">
        <v>182.13911436573099</v>
      </c>
      <c r="Z12" s="66">
        <v>127.47063580974567</v>
      </c>
      <c r="AA12" s="67">
        <v>0</v>
      </c>
      <c r="AB12" s="68">
        <v>76.365048106511409</v>
      </c>
      <c r="AC12" s="69">
        <v>0</v>
      </c>
      <c r="AD12" s="402">
        <v>10.39752989741994</v>
      </c>
      <c r="AE12" s="406">
        <v>7.0089630091958472</v>
      </c>
      <c r="AF12" s="69">
        <v>17.033591167794324</v>
      </c>
      <c r="AG12" s="68">
        <v>9.9008636883544412</v>
      </c>
      <c r="AH12" s="68">
        <v>6.9291507967144241</v>
      </c>
      <c r="AI12" s="68">
        <v>0.58828610617882837</v>
      </c>
      <c r="AJ12" s="69">
        <v>275.53731265068058</v>
      </c>
      <c r="AK12" s="69">
        <v>805.42014665603631</v>
      </c>
      <c r="AL12" s="69">
        <v>2945.2071296691897</v>
      </c>
      <c r="AM12" s="69">
        <v>508.72581481933594</v>
      </c>
      <c r="AN12" s="69">
        <v>7445.296875</v>
      </c>
      <c r="AO12" s="69">
        <v>2799.2193655649826</v>
      </c>
      <c r="AP12" s="69">
        <v>545.05883423487353</v>
      </c>
      <c r="AQ12" s="69">
        <v>2574.8660158793127</v>
      </c>
      <c r="AR12" s="69">
        <v>423.19669186274211</v>
      </c>
      <c r="AS12" s="69">
        <v>680.61014620463061</v>
      </c>
    </row>
    <row r="13" spans="1:55" x14ac:dyDescent="0.25">
      <c r="A13" s="11">
        <v>44141</v>
      </c>
      <c r="B13" s="59"/>
      <c r="C13" s="60">
        <v>73.251275348663967</v>
      </c>
      <c r="D13" s="60">
        <v>889.44601993560582</v>
      </c>
      <c r="E13" s="50">
        <v>17.363334808250261</v>
      </c>
      <c r="F13" s="60">
        <v>0</v>
      </c>
      <c r="G13" s="60">
        <v>2372.585398483282</v>
      </c>
      <c r="H13" s="61">
        <v>28.128394514322309</v>
      </c>
      <c r="I13" s="59">
        <v>206.63466520309478</v>
      </c>
      <c r="J13" s="60">
        <v>422.22319873174018</v>
      </c>
      <c r="K13" s="60">
        <v>23.013113795717594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252.33962248070986</v>
      </c>
      <c r="V13" s="62">
        <v>176.6066181775202</v>
      </c>
      <c r="W13" s="62">
        <v>42.889446326491807</v>
      </c>
      <c r="X13" s="62">
        <v>30.01732346574714</v>
      </c>
      <c r="Y13" s="66">
        <v>175.67829837601829</v>
      </c>
      <c r="Z13" s="66">
        <v>122.95314488608193</v>
      </c>
      <c r="AA13" s="67">
        <v>0</v>
      </c>
      <c r="AB13" s="68">
        <v>78.2977634535888</v>
      </c>
      <c r="AC13" s="69">
        <v>0</v>
      </c>
      <c r="AD13" s="402">
        <v>10.386407590512242</v>
      </c>
      <c r="AE13" s="406">
        <v>6.9933581398708053</v>
      </c>
      <c r="AF13" s="69">
        <v>16.825701635413729</v>
      </c>
      <c r="AG13" s="68">
        <v>9.7745453352900782</v>
      </c>
      <c r="AH13" s="68">
        <v>6.840976375085126</v>
      </c>
      <c r="AI13" s="68">
        <v>0.58827796717250069</v>
      </c>
      <c r="AJ13" s="69">
        <v>276.34764728546139</v>
      </c>
      <c r="AK13" s="69">
        <v>809.96122239430747</v>
      </c>
      <c r="AL13" s="69">
        <v>2934.4351801554358</v>
      </c>
      <c r="AM13" s="69">
        <v>508.72581481933594</v>
      </c>
      <c r="AN13" s="69">
        <v>7445.296875</v>
      </c>
      <c r="AO13" s="69">
        <v>2820.8249468485515</v>
      </c>
      <c r="AP13" s="69">
        <v>541.29336891174319</v>
      </c>
      <c r="AQ13" s="69">
        <v>2590.5522168477378</v>
      </c>
      <c r="AR13" s="69">
        <v>412.81488154729203</v>
      </c>
      <c r="AS13" s="69">
        <v>782.80933704376207</v>
      </c>
    </row>
    <row r="14" spans="1:55" x14ac:dyDescent="0.25">
      <c r="A14" s="11">
        <v>44142</v>
      </c>
      <c r="B14" s="59"/>
      <c r="C14" s="60">
        <v>72.781767853101414</v>
      </c>
      <c r="D14" s="60">
        <v>920.83329709370935</v>
      </c>
      <c r="E14" s="50">
        <v>17.33607316911219</v>
      </c>
      <c r="F14" s="60">
        <v>0</v>
      </c>
      <c r="G14" s="60">
        <v>2248.3025496164983</v>
      </c>
      <c r="H14" s="61">
        <v>28.117657190561349</v>
      </c>
      <c r="I14" s="59">
        <v>204.61035871505766</v>
      </c>
      <c r="J14" s="60">
        <v>407.8548325856529</v>
      </c>
      <c r="K14" s="60">
        <v>22.190592411160512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243.95624055104582</v>
      </c>
      <c r="V14" s="62">
        <v>177.10246251122334</v>
      </c>
      <c r="W14" s="62">
        <v>40.758076372549901</v>
      </c>
      <c r="X14" s="62">
        <v>29.588731472883616</v>
      </c>
      <c r="Y14" s="66">
        <v>166.34989851226948</v>
      </c>
      <c r="Z14" s="66">
        <v>120.76336558748757</v>
      </c>
      <c r="AA14" s="67">
        <v>0</v>
      </c>
      <c r="AB14" s="68">
        <v>78.353112114801561</v>
      </c>
      <c r="AC14" s="69">
        <v>0</v>
      </c>
      <c r="AD14" s="402">
        <v>10.023688599105613</v>
      </c>
      <c r="AE14" s="406">
        <v>6.9691569380570986</v>
      </c>
      <c r="AF14" s="69">
        <v>16.522951395644075</v>
      </c>
      <c r="AG14" s="68">
        <v>9.4463506842338738</v>
      </c>
      <c r="AH14" s="68">
        <v>6.8576723601884773</v>
      </c>
      <c r="AI14" s="68">
        <v>0.57938771666944466</v>
      </c>
      <c r="AJ14" s="69">
        <v>240.16417992115021</v>
      </c>
      <c r="AK14" s="69">
        <v>778.23441737492897</v>
      </c>
      <c r="AL14" s="69">
        <v>2914.5222073872878</v>
      </c>
      <c r="AM14" s="69">
        <v>508.72581481933594</v>
      </c>
      <c r="AN14" s="69">
        <v>7445.296875</v>
      </c>
      <c r="AO14" s="69">
        <v>2754.1893596649174</v>
      </c>
      <c r="AP14" s="69">
        <v>546.72050162951143</v>
      </c>
      <c r="AQ14" s="69">
        <v>2549.0926211039227</v>
      </c>
      <c r="AR14" s="69">
        <v>387.39994783401482</v>
      </c>
      <c r="AS14" s="69">
        <v>737.53836733500179</v>
      </c>
    </row>
    <row r="15" spans="1:55" x14ac:dyDescent="0.25">
      <c r="A15" s="11">
        <v>44143</v>
      </c>
      <c r="B15" s="59"/>
      <c r="C15" s="60">
        <v>21.58280993700027</v>
      </c>
      <c r="D15" s="60">
        <v>271.96666379968315</v>
      </c>
      <c r="E15" s="50">
        <v>5.5636654292543763</v>
      </c>
      <c r="F15" s="60">
        <v>0</v>
      </c>
      <c r="G15" s="60">
        <v>654.2793879191081</v>
      </c>
      <c r="H15" s="61">
        <v>8.3114723066488878</v>
      </c>
      <c r="I15" s="59">
        <v>260.49369204839081</v>
      </c>
      <c r="J15" s="60">
        <v>573.7817842801411</v>
      </c>
      <c r="K15" s="60">
        <v>31.303713417549925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345.51113908736772</v>
      </c>
      <c r="V15" s="62">
        <v>50.862062590164243</v>
      </c>
      <c r="W15" s="62">
        <v>57.580051183762336</v>
      </c>
      <c r="X15" s="62">
        <v>8.4762539783495363</v>
      </c>
      <c r="Y15" s="66">
        <v>227.25129490329857</v>
      </c>
      <c r="Z15" s="66">
        <v>33.453247312367289</v>
      </c>
      <c r="AA15" s="67">
        <v>0</v>
      </c>
      <c r="AB15" s="68">
        <v>68.377957823541223</v>
      </c>
      <c r="AC15" s="69">
        <v>0</v>
      </c>
      <c r="AD15" s="402">
        <v>14.111345381131471</v>
      </c>
      <c r="AE15" s="406">
        <v>2.0536863815203854</v>
      </c>
      <c r="AF15" s="69">
        <v>15.608243925703889</v>
      </c>
      <c r="AG15" s="68">
        <v>13.429121582626458</v>
      </c>
      <c r="AH15" s="68">
        <v>1.9768764164033432</v>
      </c>
      <c r="AI15" s="68">
        <v>0.87168137912728294</v>
      </c>
      <c r="AJ15" s="69">
        <v>226.65722099939984</v>
      </c>
      <c r="AK15" s="69">
        <v>730.33211825688682</v>
      </c>
      <c r="AL15" s="69">
        <v>1618.4480570475262</v>
      </c>
      <c r="AM15" s="69">
        <v>508.72581481933594</v>
      </c>
      <c r="AN15" s="69">
        <v>7445.296875</v>
      </c>
      <c r="AO15" s="69">
        <v>2221.0852892557778</v>
      </c>
      <c r="AP15" s="69">
        <v>557.58247766494776</v>
      </c>
      <c r="AQ15" s="69">
        <v>2381.036135101318</v>
      </c>
      <c r="AR15" s="69">
        <v>394.10833749771115</v>
      </c>
      <c r="AS15" s="69">
        <v>535.52809171676643</v>
      </c>
    </row>
    <row r="16" spans="1:55" x14ac:dyDescent="0.25">
      <c r="A16" s="11">
        <v>44144</v>
      </c>
      <c r="B16" s="59"/>
      <c r="C16" s="60">
        <v>0</v>
      </c>
      <c r="D16" s="60">
        <v>0</v>
      </c>
      <c r="E16" s="50">
        <v>0</v>
      </c>
      <c r="F16" s="60">
        <v>0</v>
      </c>
      <c r="G16" s="60">
        <v>0</v>
      </c>
      <c r="H16" s="61">
        <v>0</v>
      </c>
      <c r="I16" s="59">
        <v>279.11562140782667</v>
      </c>
      <c r="J16" s="60">
        <v>625.89350010554074</v>
      </c>
      <c r="K16" s="60">
        <v>34.220251784721967</v>
      </c>
      <c r="L16" s="50">
        <v>0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371.56990865071486</v>
      </c>
      <c r="V16" s="62">
        <v>0</v>
      </c>
      <c r="W16" s="62">
        <v>62.515354514121995</v>
      </c>
      <c r="X16" s="62">
        <v>0</v>
      </c>
      <c r="Y16" s="66">
        <v>237.1032419761022</v>
      </c>
      <c r="Z16" s="66">
        <v>0</v>
      </c>
      <c r="AA16" s="67">
        <v>0</v>
      </c>
      <c r="AB16" s="68">
        <v>63.100287077162349</v>
      </c>
      <c r="AC16" s="69">
        <v>0</v>
      </c>
      <c r="AD16" s="402">
        <v>15.386812401279107</v>
      </c>
      <c r="AE16" s="406">
        <v>2.0336767349510194E-2</v>
      </c>
      <c r="AF16" s="69">
        <v>14.961642779244327</v>
      </c>
      <c r="AG16" s="68">
        <v>14.770224643966689</v>
      </c>
      <c r="AH16" s="68">
        <v>0</v>
      </c>
      <c r="AI16" s="68">
        <v>1</v>
      </c>
      <c r="AJ16" s="69">
        <v>267.78750573794042</v>
      </c>
      <c r="AK16" s="69">
        <v>533.02534344991057</v>
      </c>
      <c r="AL16" s="69">
        <v>982.87884890238445</v>
      </c>
      <c r="AM16" s="69">
        <v>508.72581481933594</v>
      </c>
      <c r="AN16" s="69">
        <v>7445.296875</v>
      </c>
      <c r="AO16" s="69">
        <v>2002.7633917490641</v>
      </c>
      <c r="AP16" s="69">
        <v>578.4198249181112</v>
      </c>
      <c r="AQ16" s="69">
        <v>2208.0043402989704</v>
      </c>
      <c r="AR16" s="69">
        <v>438.43851469357799</v>
      </c>
      <c r="AS16" s="69">
        <v>548.63341258366893</v>
      </c>
    </row>
    <row r="17" spans="1:55" x14ac:dyDescent="0.25">
      <c r="A17" s="11">
        <v>44145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314.50934259096817</v>
      </c>
      <c r="J17" s="50">
        <v>705.27325293222896</v>
      </c>
      <c r="K17" s="50">
        <v>38.556518399715401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413.60212970309618</v>
      </c>
      <c r="V17" s="66">
        <v>0</v>
      </c>
      <c r="W17" s="62">
        <v>70.486489963531511</v>
      </c>
      <c r="X17" s="62">
        <v>0</v>
      </c>
      <c r="Y17" s="66">
        <v>262.13417661984784</v>
      </c>
      <c r="Z17" s="66">
        <v>0</v>
      </c>
      <c r="AA17" s="67">
        <v>0</v>
      </c>
      <c r="AB17" s="68">
        <v>71.561554151112276</v>
      </c>
      <c r="AC17" s="69">
        <v>0</v>
      </c>
      <c r="AD17" s="402">
        <v>17.346804807117742</v>
      </c>
      <c r="AE17" s="406">
        <v>3.8484235835351939E-2</v>
      </c>
      <c r="AF17" s="69">
        <v>16.763510724571024</v>
      </c>
      <c r="AG17" s="68">
        <v>16.590252166829455</v>
      </c>
      <c r="AH17" s="68">
        <v>0</v>
      </c>
      <c r="AI17" s="68">
        <v>1</v>
      </c>
      <c r="AJ17" s="69">
        <v>274.31650552749636</v>
      </c>
      <c r="AK17" s="69">
        <v>440.26349083582568</v>
      </c>
      <c r="AL17" s="69">
        <v>1042.4931891759238</v>
      </c>
      <c r="AM17" s="69">
        <v>508.72581481933594</v>
      </c>
      <c r="AN17" s="69">
        <v>7445.296875</v>
      </c>
      <c r="AO17" s="69">
        <v>2017.6437898000081</v>
      </c>
      <c r="AP17" s="69">
        <v>602.62358287175493</v>
      </c>
      <c r="AQ17" s="69">
        <v>2580.1132794698078</v>
      </c>
      <c r="AR17" s="69">
        <v>461.22015342712393</v>
      </c>
      <c r="AS17" s="69">
        <v>551.17950833638508</v>
      </c>
    </row>
    <row r="18" spans="1:55" x14ac:dyDescent="0.25">
      <c r="A18" s="11">
        <v>44146</v>
      </c>
      <c r="B18" s="59"/>
      <c r="C18" s="60">
        <v>0</v>
      </c>
      <c r="D18" s="60">
        <v>0</v>
      </c>
      <c r="E18" s="452">
        <v>0</v>
      </c>
      <c r="F18" s="60">
        <v>0</v>
      </c>
      <c r="G18" s="60">
        <v>0</v>
      </c>
      <c r="H18" s="61">
        <v>0</v>
      </c>
      <c r="I18" s="59">
        <v>316.70949053764411</v>
      </c>
      <c r="J18" s="60">
        <v>710.24769719441554</v>
      </c>
      <c r="K18" s="60">
        <v>38.830843250950096</v>
      </c>
      <c r="L18" s="452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403.58741060892817</v>
      </c>
      <c r="V18" s="62">
        <v>0</v>
      </c>
      <c r="W18" s="62">
        <v>67.974153391520233</v>
      </c>
      <c r="X18" s="62">
        <v>0</v>
      </c>
      <c r="Y18" s="66">
        <v>250.95169947942099</v>
      </c>
      <c r="Z18" s="66">
        <v>0</v>
      </c>
      <c r="AA18" s="67">
        <v>0</v>
      </c>
      <c r="AB18" s="68">
        <v>72.255225393507374</v>
      </c>
      <c r="AC18" s="69">
        <v>0</v>
      </c>
      <c r="AD18" s="402">
        <v>17.465904141120653</v>
      </c>
      <c r="AE18" s="406">
        <v>0</v>
      </c>
      <c r="AF18" s="69">
        <v>16.544643413358255</v>
      </c>
      <c r="AG18" s="68">
        <v>16.27257705709652</v>
      </c>
      <c r="AH18" s="68">
        <v>0</v>
      </c>
      <c r="AI18" s="68">
        <v>1</v>
      </c>
      <c r="AJ18" s="69">
        <v>274.85160807768506</v>
      </c>
      <c r="AK18" s="69">
        <v>450.89630010922747</v>
      </c>
      <c r="AL18" s="69">
        <v>1010.0527596155803</v>
      </c>
      <c r="AM18" s="69">
        <v>508.72581481933594</v>
      </c>
      <c r="AN18" s="69">
        <v>7445.296875</v>
      </c>
      <c r="AO18" s="69">
        <v>1969.4896898905436</v>
      </c>
      <c r="AP18" s="69">
        <v>590.45555241902673</v>
      </c>
      <c r="AQ18" s="69">
        <v>2569.7834892272945</v>
      </c>
      <c r="AR18" s="69">
        <v>459.66699140866604</v>
      </c>
      <c r="AS18" s="69">
        <v>524.94021212259929</v>
      </c>
      <c r="AT18" s="451"/>
      <c r="AU18" s="451"/>
      <c r="AV18" s="451"/>
      <c r="AW18" s="451"/>
      <c r="AX18" s="451"/>
      <c r="AY18" s="451"/>
      <c r="AZ18" s="451"/>
      <c r="BA18" s="451"/>
      <c r="BB18" s="451"/>
      <c r="BC18" s="451"/>
    </row>
    <row r="19" spans="1:55" x14ac:dyDescent="0.25">
      <c r="A19" s="11">
        <v>44147</v>
      </c>
      <c r="B19" s="59"/>
      <c r="C19" s="60">
        <v>0</v>
      </c>
      <c r="D19" s="60">
        <v>0</v>
      </c>
      <c r="E19" s="452">
        <v>0</v>
      </c>
      <c r="F19" s="60">
        <v>0</v>
      </c>
      <c r="G19" s="60">
        <v>0</v>
      </c>
      <c r="H19" s="61">
        <v>0</v>
      </c>
      <c r="I19" s="59">
        <v>316.66544137001057</v>
      </c>
      <c r="J19" s="60">
        <v>710.03653818766156</v>
      </c>
      <c r="K19" s="60">
        <v>38.828476491570449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410.94842711555111</v>
      </c>
      <c r="V19" s="62">
        <v>0</v>
      </c>
      <c r="W19" s="62">
        <v>69.388571421305357</v>
      </c>
      <c r="X19" s="62">
        <v>0</v>
      </c>
      <c r="Y19" s="66">
        <v>258.46381685733786</v>
      </c>
      <c r="Z19" s="66">
        <v>0</v>
      </c>
      <c r="AA19" s="67">
        <v>0</v>
      </c>
      <c r="AB19" s="68">
        <v>72.051394097010999</v>
      </c>
      <c r="AC19" s="69">
        <v>0</v>
      </c>
      <c r="AD19" s="402">
        <v>17.460952400205485</v>
      </c>
      <c r="AE19" s="406">
        <v>0</v>
      </c>
      <c r="AF19" s="69">
        <v>16.774322457446011</v>
      </c>
      <c r="AG19" s="68">
        <v>16.516992562843235</v>
      </c>
      <c r="AH19" s="68">
        <v>0</v>
      </c>
      <c r="AI19" s="68">
        <v>1</v>
      </c>
      <c r="AJ19" s="69">
        <v>276.53048310279848</v>
      </c>
      <c r="AK19" s="69">
        <v>430.61652603149406</v>
      </c>
      <c r="AL19" s="69">
        <v>1015.9644328435262</v>
      </c>
      <c r="AM19" s="69">
        <v>508.72581481933594</v>
      </c>
      <c r="AN19" s="69">
        <v>7445.296875</v>
      </c>
      <c r="AO19" s="69">
        <v>2045.3239386240641</v>
      </c>
      <c r="AP19" s="69">
        <v>940.61201788584401</v>
      </c>
      <c r="AQ19" s="69">
        <v>2590.0443272908524</v>
      </c>
      <c r="AR19" s="69">
        <v>460.0377784411113</v>
      </c>
      <c r="AS19" s="69">
        <v>537.12178681691489</v>
      </c>
    </row>
    <row r="20" spans="1:55" x14ac:dyDescent="0.25">
      <c r="A20" s="11">
        <v>44148</v>
      </c>
      <c r="B20" s="59"/>
      <c r="C20" s="60">
        <v>0</v>
      </c>
      <c r="D20" s="60">
        <v>0</v>
      </c>
      <c r="E20" s="452">
        <v>0</v>
      </c>
      <c r="F20" s="60">
        <v>0</v>
      </c>
      <c r="G20" s="60">
        <v>0</v>
      </c>
      <c r="H20" s="61">
        <v>0</v>
      </c>
      <c r="I20" s="59">
        <v>316.59232962926245</v>
      </c>
      <c r="J20" s="60">
        <v>709.89523808161368</v>
      </c>
      <c r="K20" s="60">
        <v>38.802777247627539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422.82720646327999</v>
      </c>
      <c r="V20" s="62">
        <v>0</v>
      </c>
      <c r="W20" s="62">
        <v>70.331092675526776</v>
      </c>
      <c r="X20" s="62">
        <v>0</v>
      </c>
      <c r="Y20" s="66">
        <v>266.78033649126724</v>
      </c>
      <c r="Z20" s="66">
        <v>0</v>
      </c>
      <c r="AA20" s="67">
        <v>0</v>
      </c>
      <c r="AB20" s="68">
        <v>71.73603753513882</v>
      </c>
      <c r="AC20" s="69">
        <v>0</v>
      </c>
      <c r="AD20" s="402">
        <v>17.454050301616437</v>
      </c>
      <c r="AE20" s="406">
        <v>4.7257554491600996E-2</v>
      </c>
      <c r="AF20" s="69">
        <v>17.255693923102498</v>
      </c>
      <c r="AG20" s="68">
        <v>17.002104962936826</v>
      </c>
      <c r="AH20" s="68">
        <v>0</v>
      </c>
      <c r="AI20" s="68">
        <v>1</v>
      </c>
      <c r="AJ20" s="69">
        <v>259.31306321620946</v>
      </c>
      <c r="AK20" s="69">
        <v>398.41490030288691</v>
      </c>
      <c r="AL20" s="69">
        <v>1019.8550565719603</v>
      </c>
      <c r="AM20" s="69">
        <v>508.72581481933594</v>
      </c>
      <c r="AN20" s="69">
        <v>7445.296875</v>
      </c>
      <c r="AO20" s="69">
        <v>1964.3184263865153</v>
      </c>
      <c r="AP20" s="69">
        <v>1016.2697142283123</v>
      </c>
      <c r="AQ20" s="69">
        <v>2599.7970835367846</v>
      </c>
      <c r="AR20" s="69">
        <v>448.30869398117062</v>
      </c>
      <c r="AS20" s="69">
        <v>556.3923559824625</v>
      </c>
    </row>
    <row r="21" spans="1:55" x14ac:dyDescent="0.25">
      <c r="A21" s="11">
        <v>44149</v>
      </c>
      <c r="B21" s="59"/>
      <c r="C21" s="60">
        <v>0</v>
      </c>
      <c r="D21" s="60">
        <v>0</v>
      </c>
      <c r="E21" s="452">
        <v>0</v>
      </c>
      <c r="F21" s="60">
        <v>0</v>
      </c>
      <c r="G21" s="60">
        <v>0</v>
      </c>
      <c r="H21" s="61">
        <v>0</v>
      </c>
      <c r="I21" s="59">
        <v>316.5790169239047</v>
      </c>
      <c r="J21" s="60">
        <v>709.87854235966847</v>
      </c>
      <c r="K21" s="60">
        <v>38.815977291266108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428.59560510847552</v>
      </c>
      <c r="V21" s="62">
        <v>0</v>
      </c>
      <c r="W21" s="62">
        <v>71.460007723172424</v>
      </c>
      <c r="X21" s="62">
        <v>0</v>
      </c>
      <c r="Y21" s="66">
        <v>266.71898808479341</v>
      </c>
      <c r="Z21" s="66">
        <v>0</v>
      </c>
      <c r="AA21" s="67">
        <v>0</v>
      </c>
      <c r="AB21" s="68">
        <v>71.738059038587338</v>
      </c>
      <c r="AC21" s="69">
        <v>0</v>
      </c>
      <c r="AD21" s="402">
        <v>17.456096742798628</v>
      </c>
      <c r="AE21" s="406">
        <v>0</v>
      </c>
      <c r="AF21" s="69">
        <v>17.253972413804789</v>
      </c>
      <c r="AG21" s="68">
        <v>16.998443124357021</v>
      </c>
      <c r="AH21" s="68">
        <v>0</v>
      </c>
      <c r="AI21" s="68">
        <v>1</v>
      </c>
      <c r="AJ21" s="69">
        <v>277.18413754304254</v>
      </c>
      <c r="AK21" s="69">
        <v>412.16016729672742</v>
      </c>
      <c r="AL21" s="69">
        <v>984.14225648244235</v>
      </c>
      <c r="AM21" s="69">
        <v>508.72581481933594</v>
      </c>
      <c r="AN21" s="69">
        <v>7445.296875</v>
      </c>
      <c r="AO21" s="69">
        <v>1941.506087621053</v>
      </c>
      <c r="AP21" s="69">
        <v>842.84883619944264</v>
      </c>
      <c r="AQ21" s="69">
        <v>2571.7129426320389</v>
      </c>
      <c r="AR21" s="69">
        <v>444.03313005765278</v>
      </c>
      <c r="AS21" s="69">
        <v>568.20590550104771</v>
      </c>
    </row>
    <row r="22" spans="1:55" x14ac:dyDescent="0.25">
      <c r="A22" s="11">
        <v>44150</v>
      </c>
      <c r="B22" s="59"/>
      <c r="C22" s="60">
        <v>8.0463741978009544</v>
      </c>
      <c r="D22" s="60">
        <v>0</v>
      </c>
      <c r="E22" s="452">
        <v>0</v>
      </c>
      <c r="F22" s="60">
        <v>0</v>
      </c>
      <c r="G22" s="60">
        <v>0</v>
      </c>
      <c r="H22" s="61">
        <v>0</v>
      </c>
      <c r="I22" s="59">
        <v>328.37432527542114</v>
      </c>
      <c r="J22" s="60">
        <v>710.32914667130729</v>
      </c>
      <c r="K22" s="60">
        <v>38.991872412959729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417.25681923761408</v>
      </c>
      <c r="V22" s="62">
        <v>0</v>
      </c>
      <c r="W22" s="62">
        <v>70.59296466509646</v>
      </c>
      <c r="X22" s="62">
        <v>0</v>
      </c>
      <c r="Y22" s="66">
        <v>264.46884956359332</v>
      </c>
      <c r="Z22" s="66">
        <v>0</v>
      </c>
      <c r="AA22" s="67">
        <v>0</v>
      </c>
      <c r="AB22" s="68">
        <v>71.733562167487676</v>
      </c>
      <c r="AC22" s="69">
        <v>0</v>
      </c>
      <c r="AD22" s="402">
        <v>17.13498144142704</v>
      </c>
      <c r="AE22" s="406">
        <v>0</v>
      </c>
      <c r="AF22" s="69">
        <v>17.259111790524514</v>
      </c>
      <c r="AG22" s="68">
        <v>16.943884836787614</v>
      </c>
      <c r="AH22" s="68">
        <v>0</v>
      </c>
      <c r="AI22" s="68">
        <v>1</v>
      </c>
      <c r="AJ22" s="69">
        <v>300.439369336764</v>
      </c>
      <c r="AK22" s="69">
        <v>567.26371808052068</v>
      </c>
      <c r="AL22" s="69">
        <v>1232.7097717285155</v>
      </c>
      <c r="AM22" s="69">
        <v>508.72581481933594</v>
      </c>
      <c r="AN22" s="69">
        <v>7445.296875</v>
      </c>
      <c r="AO22" s="69">
        <v>1942.6696236928306</v>
      </c>
      <c r="AP22" s="69">
        <v>571.37447074254351</v>
      </c>
      <c r="AQ22" s="69">
        <v>2478.1231960296632</v>
      </c>
      <c r="AR22" s="69">
        <v>445.05240564346309</v>
      </c>
      <c r="AS22" s="69">
        <v>621.73838259379067</v>
      </c>
    </row>
    <row r="23" spans="1:55" x14ac:dyDescent="0.25">
      <c r="A23" s="11">
        <v>44151</v>
      </c>
      <c r="B23" s="59"/>
      <c r="C23" s="60">
        <v>0</v>
      </c>
      <c r="D23" s="60">
        <v>0</v>
      </c>
      <c r="E23" s="452">
        <v>0</v>
      </c>
      <c r="F23" s="60">
        <v>0</v>
      </c>
      <c r="G23" s="60">
        <v>0</v>
      </c>
      <c r="H23" s="61">
        <v>0</v>
      </c>
      <c r="I23" s="59">
        <v>321.60568981170695</v>
      </c>
      <c r="J23" s="60">
        <v>696.22027629216575</v>
      </c>
      <c r="K23" s="60">
        <v>38.070883434017531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407.984116066826</v>
      </c>
      <c r="V23" s="62">
        <v>0</v>
      </c>
      <c r="W23" s="62">
        <v>68.198943881193841</v>
      </c>
      <c r="X23" s="62">
        <v>0</v>
      </c>
      <c r="Y23" s="66">
        <v>259.26970927715314</v>
      </c>
      <c r="Z23" s="66">
        <v>0</v>
      </c>
      <c r="AA23" s="67">
        <v>0</v>
      </c>
      <c r="AB23" s="68">
        <v>63.61799553500277</v>
      </c>
      <c r="AC23" s="69">
        <v>0</v>
      </c>
      <c r="AD23" s="402">
        <v>17.119295359430879</v>
      </c>
      <c r="AE23" s="406">
        <v>0.1031176533950615</v>
      </c>
      <c r="AF23" s="69">
        <v>16.459504701031562</v>
      </c>
      <c r="AG23" s="68">
        <v>16.189906944859594</v>
      </c>
      <c r="AH23" s="68">
        <v>0</v>
      </c>
      <c r="AI23" s="68">
        <v>1</v>
      </c>
      <c r="AJ23" s="69">
        <v>238.56008161703744</v>
      </c>
      <c r="AK23" s="69">
        <v>360.26541883150736</v>
      </c>
      <c r="AL23" s="69">
        <v>1034.8938707987468</v>
      </c>
      <c r="AM23" s="69">
        <v>508.72581481933594</v>
      </c>
      <c r="AN23" s="69">
        <v>7445.296875</v>
      </c>
      <c r="AO23" s="69">
        <v>2006.0013106028239</v>
      </c>
      <c r="AP23" s="69">
        <v>549.95632797876988</v>
      </c>
      <c r="AQ23" s="69">
        <v>2297.4925055185954</v>
      </c>
      <c r="AR23" s="69">
        <v>433.20514380137126</v>
      </c>
      <c r="AS23" s="69">
        <v>628.85275077819836</v>
      </c>
    </row>
    <row r="24" spans="1:55" x14ac:dyDescent="0.25">
      <c r="A24" s="11">
        <v>44152</v>
      </c>
      <c r="B24" s="59"/>
      <c r="C24" s="60">
        <v>0</v>
      </c>
      <c r="D24" s="60">
        <v>0</v>
      </c>
      <c r="E24" s="452">
        <v>0</v>
      </c>
      <c r="F24" s="60">
        <v>0</v>
      </c>
      <c r="G24" s="60">
        <v>0</v>
      </c>
      <c r="H24" s="61">
        <v>0</v>
      </c>
      <c r="I24" s="59">
        <v>311.77074621518432</v>
      </c>
      <c r="J24" s="60">
        <v>670.2315139770518</v>
      </c>
      <c r="K24" s="60">
        <v>36.628937261303285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394.90115812089999</v>
      </c>
      <c r="V24" s="62">
        <v>0</v>
      </c>
      <c r="W24" s="62">
        <v>66.080199321111053</v>
      </c>
      <c r="X24" s="62">
        <v>0</v>
      </c>
      <c r="Y24" s="66">
        <v>262.0558591842655</v>
      </c>
      <c r="Z24" s="66">
        <v>0</v>
      </c>
      <c r="AA24" s="67">
        <v>0</v>
      </c>
      <c r="AB24" s="68">
        <v>61.809251451492806</v>
      </c>
      <c r="AC24" s="69">
        <v>0</v>
      </c>
      <c r="AD24" s="402">
        <v>16.480101104712912</v>
      </c>
      <c r="AE24" s="406">
        <v>0</v>
      </c>
      <c r="AF24" s="69">
        <v>16.028418525060044</v>
      </c>
      <c r="AG24" s="68">
        <v>15.764194269036697</v>
      </c>
      <c r="AH24" s="68">
        <v>0</v>
      </c>
      <c r="AI24" s="68">
        <v>1</v>
      </c>
      <c r="AJ24" s="69">
        <v>272.49590115547181</v>
      </c>
      <c r="AK24" s="69">
        <v>388.49118409156802</v>
      </c>
      <c r="AL24" s="69">
        <v>1023.3807837804158</v>
      </c>
      <c r="AM24" s="69">
        <v>508.72581481933594</v>
      </c>
      <c r="AN24" s="69">
        <v>7445.296875</v>
      </c>
      <c r="AO24" s="69">
        <v>1986.3407009124753</v>
      </c>
      <c r="AP24" s="69">
        <v>525.44148729642234</v>
      </c>
      <c r="AQ24" s="69">
        <v>2210.1724395751958</v>
      </c>
      <c r="AR24" s="69">
        <v>412.97719237009682</v>
      </c>
      <c r="AS24" s="69">
        <v>619.92504510879519</v>
      </c>
    </row>
    <row r="25" spans="1:55" x14ac:dyDescent="0.25">
      <c r="A25" s="11">
        <v>44153</v>
      </c>
      <c r="B25" s="59"/>
      <c r="C25" s="60">
        <v>0</v>
      </c>
      <c r="D25" s="60">
        <v>0</v>
      </c>
      <c r="E25" s="452">
        <v>0</v>
      </c>
      <c r="F25" s="60">
        <v>0</v>
      </c>
      <c r="G25" s="60">
        <v>0</v>
      </c>
      <c r="H25" s="61">
        <v>0</v>
      </c>
      <c r="I25" s="59">
        <v>322.04966452916517</v>
      </c>
      <c r="J25" s="60">
        <v>685.43736661275022</v>
      </c>
      <c r="K25" s="60">
        <v>37.463431773583025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409.32814212374916</v>
      </c>
      <c r="V25" s="62">
        <v>0</v>
      </c>
      <c r="W25" s="62">
        <v>68.45833818117778</v>
      </c>
      <c r="X25" s="62">
        <v>0</v>
      </c>
      <c r="Y25" s="66">
        <v>269.84064057668047</v>
      </c>
      <c r="Z25" s="66">
        <v>0</v>
      </c>
      <c r="AA25" s="67">
        <v>0</v>
      </c>
      <c r="AB25" s="68">
        <v>62.754948846498962</v>
      </c>
      <c r="AC25" s="69">
        <v>0</v>
      </c>
      <c r="AD25" s="402">
        <v>16.854744924527353</v>
      </c>
      <c r="AE25" s="406">
        <v>0</v>
      </c>
      <c r="AF25" s="69">
        <v>16.514508426851702</v>
      </c>
      <c r="AG25" s="68">
        <v>16.248948746504677</v>
      </c>
      <c r="AH25" s="68">
        <v>0</v>
      </c>
      <c r="AI25" s="68">
        <v>1</v>
      </c>
      <c r="AJ25" s="69">
        <v>226.05204609235133</v>
      </c>
      <c r="AK25" s="69">
        <v>343.79911170005801</v>
      </c>
      <c r="AL25" s="69">
        <v>1020.4843009312947</v>
      </c>
      <c r="AM25" s="69">
        <v>508.72581481933594</v>
      </c>
      <c r="AN25" s="69">
        <v>7445.296875</v>
      </c>
      <c r="AO25" s="69">
        <v>2066.5033700307204</v>
      </c>
      <c r="AP25" s="69">
        <v>534.14318132400524</v>
      </c>
      <c r="AQ25" s="69">
        <v>2234.7843893686932</v>
      </c>
      <c r="AR25" s="69">
        <v>421.47631514867152</v>
      </c>
      <c r="AS25" s="69">
        <v>717.74334328969314</v>
      </c>
    </row>
    <row r="26" spans="1:55" x14ac:dyDescent="0.25">
      <c r="A26" s="11">
        <v>44154</v>
      </c>
      <c r="B26" s="59"/>
      <c r="C26" s="60">
        <v>0</v>
      </c>
      <c r="D26" s="60">
        <v>0</v>
      </c>
      <c r="E26" s="452">
        <v>0</v>
      </c>
      <c r="F26" s="60">
        <v>0</v>
      </c>
      <c r="G26" s="60">
        <v>0</v>
      </c>
      <c r="H26" s="61">
        <v>0</v>
      </c>
      <c r="I26" s="59">
        <v>344.58574910163901</v>
      </c>
      <c r="J26" s="60">
        <v>709.86660054524566</v>
      </c>
      <c r="K26" s="60">
        <v>38.836791488528227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418.04999054802693</v>
      </c>
      <c r="V26" s="62">
        <v>0</v>
      </c>
      <c r="W26" s="62">
        <v>70.32389551798498</v>
      </c>
      <c r="X26" s="62">
        <v>0</v>
      </c>
      <c r="Y26" s="66">
        <v>274.19826420148172</v>
      </c>
      <c r="Z26" s="66">
        <v>0</v>
      </c>
      <c r="AA26" s="67">
        <v>0</v>
      </c>
      <c r="AB26" s="68">
        <v>64.276466351085347</v>
      </c>
      <c r="AC26" s="69">
        <v>0</v>
      </c>
      <c r="AD26" s="402">
        <v>17.455610992788348</v>
      </c>
      <c r="AE26" s="406">
        <v>0</v>
      </c>
      <c r="AF26" s="69">
        <v>16.82045101655855</v>
      </c>
      <c r="AG26" s="68">
        <v>16.580605368729412</v>
      </c>
      <c r="AH26" s="68">
        <v>0</v>
      </c>
      <c r="AI26" s="68">
        <v>1</v>
      </c>
      <c r="AJ26" s="69">
        <v>252.05583317279815</v>
      </c>
      <c r="AK26" s="69">
        <v>373.1145896752675</v>
      </c>
      <c r="AL26" s="69">
        <v>1014.344463411967</v>
      </c>
      <c r="AM26" s="69">
        <v>500.99219532012938</v>
      </c>
      <c r="AN26" s="69">
        <v>7445.296875</v>
      </c>
      <c r="AO26" s="69">
        <v>2006.5080918629965</v>
      </c>
      <c r="AP26" s="69">
        <v>553.66000642776487</v>
      </c>
      <c r="AQ26" s="69">
        <v>2302.8787123362222</v>
      </c>
      <c r="AR26" s="69">
        <v>447.27167825698854</v>
      </c>
      <c r="AS26" s="69">
        <v>660.88681217829389</v>
      </c>
    </row>
    <row r="27" spans="1:55" x14ac:dyDescent="0.25">
      <c r="A27" s="11">
        <v>44155</v>
      </c>
      <c r="B27" s="59"/>
      <c r="C27" s="60">
        <v>0</v>
      </c>
      <c r="D27" s="60">
        <v>0</v>
      </c>
      <c r="E27" s="452">
        <v>0</v>
      </c>
      <c r="F27" s="60">
        <v>0</v>
      </c>
      <c r="G27" s="60">
        <v>0</v>
      </c>
      <c r="H27" s="61">
        <v>0</v>
      </c>
      <c r="I27" s="59">
        <v>355.39</v>
      </c>
      <c r="J27" s="60">
        <v>707.3</v>
      </c>
      <c r="K27" s="60">
        <v>38.700000000000003</v>
      </c>
      <c r="L27" s="452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409.73</v>
      </c>
      <c r="V27" s="62">
        <v>0</v>
      </c>
      <c r="W27" s="62">
        <v>71.25</v>
      </c>
      <c r="X27" s="62">
        <v>0</v>
      </c>
      <c r="Y27" s="62">
        <v>270.36</v>
      </c>
      <c r="Z27" s="62">
        <v>0</v>
      </c>
      <c r="AA27" s="72">
        <v>0</v>
      </c>
      <c r="AB27" s="69">
        <v>63.77</v>
      </c>
      <c r="AC27" s="69">
        <v>0</v>
      </c>
      <c r="AD27" s="402">
        <v>17.39</v>
      </c>
      <c r="AE27" s="406">
        <v>0</v>
      </c>
      <c r="AF27" s="69">
        <v>16.71</v>
      </c>
      <c r="AG27" s="69">
        <v>16.53</v>
      </c>
      <c r="AH27" s="69">
        <v>0</v>
      </c>
      <c r="AI27" s="69">
        <v>1</v>
      </c>
      <c r="AJ27" s="69">
        <v>247.38</v>
      </c>
      <c r="AK27" s="69">
        <v>367.99</v>
      </c>
      <c r="AL27" s="69">
        <v>1057.8800000000001</v>
      </c>
      <c r="AM27" s="69">
        <v>495.37</v>
      </c>
      <c r="AN27" s="69">
        <v>7445.3</v>
      </c>
      <c r="AO27" s="69">
        <v>1977.98</v>
      </c>
      <c r="AP27" s="69">
        <v>551.44000000000005</v>
      </c>
      <c r="AQ27" s="69">
        <v>2342.71</v>
      </c>
      <c r="AR27" s="69">
        <v>464.39</v>
      </c>
      <c r="AS27" s="69">
        <v>561.70000000000005</v>
      </c>
      <c r="AT27" s="451"/>
      <c r="AU27" s="451"/>
      <c r="AV27" s="451"/>
      <c r="AW27" s="451"/>
      <c r="AX27" s="451"/>
      <c r="AY27" s="451"/>
      <c r="AZ27" s="451"/>
      <c r="BA27" s="451"/>
      <c r="BB27" s="451"/>
      <c r="BC27" s="451"/>
    </row>
    <row r="28" spans="1:55" x14ac:dyDescent="0.25">
      <c r="A28" s="11">
        <v>44156</v>
      </c>
      <c r="B28" s="59"/>
      <c r="C28" s="60">
        <v>0</v>
      </c>
      <c r="D28" s="60">
        <v>0</v>
      </c>
      <c r="E28" s="452">
        <v>0</v>
      </c>
      <c r="F28" s="60">
        <v>0</v>
      </c>
      <c r="G28" s="60">
        <v>0</v>
      </c>
      <c r="H28" s="61">
        <v>0</v>
      </c>
      <c r="I28" s="59">
        <v>338.59925818443361</v>
      </c>
      <c r="J28" s="60">
        <v>707.04500357309814</v>
      </c>
      <c r="K28" s="60">
        <v>38.661598181724528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407.68407111697735</v>
      </c>
      <c r="V28" s="62">
        <v>0</v>
      </c>
      <c r="W28" s="62">
        <v>72.490596596399882</v>
      </c>
      <c r="X28" s="62">
        <v>0</v>
      </c>
      <c r="Y28" s="66">
        <v>271.4696620464324</v>
      </c>
      <c r="Z28" s="66">
        <v>0</v>
      </c>
      <c r="AA28" s="67">
        <v>0</v>
      </c>
      <c r="AB28" s="68">
        <v>63.772653267119061</v>
      </c>
      <c r="AC28" s="69">
        <v>0</v>
      </c>
      <c r="AD28" s="402">
        <v>17.384572681720382</v>
      </c>
      <c r="AE28" s="406">
        <v>0</v>
      </c>
      <c r="AF28" s="69">
        <v>17.179745274119927</v>
      </c>
      <c r="AG28" s="68">
        <v>16.999568314433887</v>
      </c>
      <c r="AH28" s="68">
        <v>0</v>
      </c>
      <c r="AI28" s="68">
        <v>1</v>
      </c>
      <c r="AJ28" s="69">
        <v>249.5970490455627</v>
      </c>
      <c r="AK28" s="69">
        <v>374.5325609048208</v>
      </c>
      <c r="AL28" s="69">
        <v>1069.287128639221</v>
      </c>
      <c r="AM28" s="69">
        <v>495.372802734375</v>
      </c>
      <c r="AN28" s="69">
        <v>7445.296875</v>
      </c>
      <c r="AO28" s="69">
        <v>1955.5224044799804</v>
      </c>
      <c r="AP28" s="69">
        <v>560.39884179433193</v>
      </c>
      <c r="AQ28" s="69">
        <v>2361.9725563049315</v>
      </c>
      <c r="AR28" s="69">
        <v>474.78430471420296</v>
      </c>
      <c r="AS28" s="69">
        <v>502.8686048825582</v>
      </c>
    </row>
    <row r="29" spans="1:55" x14ac:dyDescent="0.25">
      <c r="A29" s="11">
        <v>44157</v>
      </c>
      <c r="B29" s="59"/>
      <c r="C29" s="60">
        <v>0</v>
      </c>
      <c r="D29" s="60">
        <v>0</v>
      </c>
      <c r="E29" s="452">
        <v>0</v>
      </c>
      <c r="F29" s="60">
        <v>0</v>
      </c>
      <c r="G29" s="60">
        <v>0</v>
      </c>
      <c r="H29" s="61">
        <v>0</v>
      </c>
      <c r="I29" s="59">
        <v>323.13156746228566</v>
      </c>
      <c r="J29" s="60">
        <v>706.99671837488518</v>
      </c>
      <c r="K29" s="60">
        <v>38.680461114644991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404.22624607086317</v>
      </c>
      <c r="V29" s="62">
        <v>0</v>
      </c>
      <c r="W29" s="62">
        <v>70.664388656616168</v>
      </c>
      <c r="X29" s="62">
        <v>0</v>
      </c>
      <c r="Y29" s="66">
        <v>271.34535001118957</v>
      </c>
      <c r="Z29" s="66">
        <v>0</v>
      </c>
      <c r="AA29" s="67">
        <v>0</v>
      </c>
      <c r="AB29" s="68">
        <v>63.769213318825436</v>
      </c>
      <c r="AC29" s="69">
        <v>0</v>
      </c>
      <c r="AD29" s="402">
        <v>17.385755179697654</v>
      </c>
      <c r="AE29" s="406">
        <v>0</v>
      </c>
      <c r="AF29" s="69">
        <v>17.048900648620418</v>
      </c>
      <c r="AG29" s="68">
        <v>16.866341673953599</v>
      </c>
      <c r="AH29" s="68">
        <v>0</v>
      </c>
      <c r="AI29" s="68">
        <v>1</v>
      </c>
      <c r="AJ29" s="69">
        <v>265.33435995578765</v>
      </c>
      <c r="AK29" s="69">
        <v>399.78619426091518</v>
      </c>
      <c r="AL29" s="69">
        <v>1018.6218748728434</v>
      </c>
      <c r="AM29" s="69">
        <v>495.372802734375</v>
      </c>
      <c r="AN29" s="69">
        <v>7445.296875</v>
      </c>
      <c r="AO29" s="69">
        <v>1989.3857796986895</v>
      </c>
      <c r="AP29" s="69">
        <v>614.65402317047119</v>
      </c>
      <c r="AQ29" s="69">
        <v>2436.9326305389404</v>
      </c>
      <c r="AR29" s="69">
        <v>444.94903235435498</v>
      </c>
      <c r="AS29" s="69">
        <v>509.12893384297689</v>
      </c>
    </row>
    <row r="30" spans="1:55" x14ac:dyDescent="0.25">
      <c r="A30" s="11">
        <v>44158</v>
      </c>
      <c r="B30" s="59"/>
      <c r="C30" s="60">
        <v>0</v>
      </c>
      <c r="D30" s="60">
        <v>0</v>
      </c>
      <c r="E30" s="452">
        <v>0</v>
      </c>
      <c r="F30" s="60">
        <v>0</v>
      </c>
      <c r="G30" s="60">
        <v>0</v>
      </c>
      <c r="H30" s="61">
        <v>0</v>
      </c>
      <c r="I30" s="59">
        <v>315.20137349764542</v>
      </c>
      <c r="J30" s="60">
        <v>706.46002581914047</v>
      </c>
      <c r="K30" s="60">
        <v>38.667660497625683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407.26689417097106</v>
      </c>
      <c r="V30" s="62">
        <v>0</v>
      </c>
      <c r="W30" s="62">
        <v>70.207373793919785</v>
      </c>
      <c r="X30" s="62">
        <v>0</v>
      </c>
      <c r="Y30" s="66">
        <v>271.46828087170911</v>
      </c>
      <c r="Z30" s="66">
        <v>0</v>
      </c>
      <c r="AA30" s="67">
        <v>0</v>
      </c>
      <c r="AB30" s="68">
        <v>63.774458516968942</v>
      </c>
      <c r="AC30" s="69">
        <v>0</v>
      </c>
      <c r="AD30" s="402">
        <v>17.37705959210669</v>
      </c>
      <c r="AE30" s="406">
        <v>0</v>
      </c>
      <c r="AF30" s="69">
        <v>17.066212870677308</v>
      </c>
      <c r="AG30" s="68">
        <v>16.879450903698146</v>
      </c>
      <c r="AH30" s="68">
        <v>0</v>
      </c>
      <c r="AI30" s="68">
        <v>1</v>
      </c>
      <c r="AJ30" s="69">
        <v>248.72009156545002</v>
      </c>
      <c r="AK30" s="69">
        <v>377.84591784477232</v>
      </c>
      <c r="AL30" s="69">
        <v>1026.9033520380656</v>
      </c>
      <c r="AM30" s="69">
        <v>495.372802734375</v>
      </c>
      <c r="AN30" s="69">
        <v>7445.296875</v>
      </c>
      <c r="AO30" s="69">
        <v>1966.5940186818441</v>
      </c>
      <c r="AP30" s="69">
        <v>556.10608139038095</v>
      </c>
      <c r="AQ30" s="69">
        <v>2430.6378568013506</v>
      </c>
      <c r="AR30" s="69">
        <v>422.28753695487978</v>
      </c>
      <c r="AS30" s="69">
        <v>595.87096376419072</v>
      </c>
    </row>
    <row r="31" spans="1:55" x14ac:dyDescent="0.25">
      <c r="A31" s="11">
        <v>44159</v>
      </c>
      <c r="B31" s="59"/>
      <c r="C31" s="60">
        <v>0</v>
      </c>
      <c r="D31" s="60">
        <v>0</v>
      </c>
      <c r="E31" s="452">
        <v>0</v>
      </c>
      <c r="F31" s="60">
        <v>0</v>
      </c>
      <c r="G31" s="60">
        <v>0</v>
      </c>
      <c r="H31" s="61">
        <v>0</v>
      </c>
      <c r="I31" s="59">
        <v>319.86573829650911</v>
      </c>
      <c r="J31" s="60">
        <v>706.59837554295791</v>
      </c>
      <c r="K31" s="60">
        <v>38.678816595673538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405.09874556859398</v>
      </c>
      <c r="V31" s="62">
        <v>0</v>
      </c>
      <c r="W31" s="62">
        <v>69.238616049289689</v>
      </c>
      <c r="X31" s="62">
        <v>0</v>
      </c>
      <c r="Y31" s="66">
        <v>265.91377540429431</v>
      </c>
      <c r="Z31" s="66">
        <v>0</v>
      </c>
      <c r="AA31" s="67">
        <v>0</v>
      </c>
      <c r="AB31" s="68">
        <v>63.770899905099753</v>
      </c>
      <c r="AC31" s="69">
        <v>0</v>
      </c>
      <c r="AD31" s="402">
        <v>17.381003470346304</v>
      </c>
      <c r="AE31" s="406">
        <v>0</v>
      </c>
      <c r="AF31" s="69">
        <v>16.787871892584693</v>
      </c>
      <c r="AG31" s="68">
        <v>16.559884003724378</v>
      </c>
      <c r="AH31" s="68">
        <v>0</v>
      </c>
      <c r="AI31" s="68">
        <v>1</v>
      </c>
      <c r="AJ31" s="69">
        <v>259.7728107690811</v>
      </c>
      <c r="AK31" s="69">
        <v>400.73075675964355</v>
      </c>
      <c r="AL31" s="69">
        <v>995.76092624664307</v>
      </c>
      <c r="AM31" s="69">
        <v>495.372802734375</v>
      </c>
      <c r="AN31" s="69">
        <v>7445.296875</v>
      </c>
      <c r="AO31" s="69">
        <v>2020.5379355112709</v>
      </c>
      <c r="AP31" s="69">
        <v>575.49056228001905</v>
      </c>
      <c r="AQ31" s="69">
        <v>2439.7438148498536</v>
      </c>
      <c r="AR31" s="69">
        <v>449.87055412928271</v>
      </c>
      <c r="AS31" s="69">
        <v>536.90892604192106</v>
      </c>
    </row>
    <row r="32" spans="1:55" x14ac:dyDescent="0.25">
      <c r="A32" s="11">
        <v>44160</v>
      </c>
      <c r="B32" s="59"/>
      <c r="C32" s="60">
        <v>0</v>
      </c>
      <c r="D32" s="60">
        <v>0</v>
      </c>
      <c r="E32" s="452">
        <v>0</v>
      </c>
      <c r="F32" s="60">
        <v>0</v>
      </c>
      <c r="G32" s="60">
        <v>0</v>
      </c>
      <c r="H32" s="61">
        <v>0</v>
      </c>
      <c r="I32" s="59">
        <v>336.38</v>
      </c>
      <c r="J32" s="60">
        <v>706.23</v>
      </c>
      <c r="K32" s="60">
        <v>38.65</v>
      </c>
      <c r="L32" s="452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406.61</v>
      </c>
      <c r="V32" s="62">
        <v>0</v>
      </c>
      <c r="W32" s="62">
        <v>69.22</v>
      </c>
      <c r="X32" s="62">
        <v>0</v>
      </c>
      <c r="Y32" s="66">
        <v>269.75</v>
      </c>
      <c r="Z32" s="66">
        <v>0</v>
      </c>
      <c r="AA32" s="67">
        <v>0</v>
      </c>
      <c r="AB32" s="68">
        <v>63.76</v>
      </c>
      <c r="AC32" s="69">
        <v>0</v>
      </c>
      <c r="AD32" s="402">
        <v>17.37</v>
      </c>
      <c r="AE32" s="406">
        <v>0</v>
      </c>
      <c r="AF32" s="69">
        <v>16.850000000000001</v>
      </c>
      <c r="AG32" s="68">
        <v>16.7</v>
      </c>
      <c r="AH32" s="68">
        <v>0</v>
      </c>
      <c r="AI32" s="68">
        <v>1</v>
      </c>
      <c r="AJ32" s="69">
        <v>266.47000000000003</v>
      </c>
      <c r="AK32" s="69">
        <v>415.36</v>
      </c>
      <c r="AL32" s="69">
        <v>1016.67</v>
      </c>
      <c r="AM32" s="69">
        <v>495.37</v>
      </c>
      <c r="AN32" s="69">
        <v>7445.3</v>
      </c>
      <c r="AO32" s="69">
        <v>2016.4</v>
      </c>
      <c r="AP32" s="69">
        <v>591.16</v>
      </c>
      <c r="AQ32" s="69">
        <v>2462.7199999999998</v>
      </c>
      <c r="AR32" s="69">
        <v>451.42</v>
      </c>
      <c r="AS32" s="69">
        <v>527.54</v>
      </c>
      <c r="AT32" s="451"/>
      <c r="AU32" s="451"/>
      <c r="AV32" s="451"/>
      <c r="AW32" s="451"/>
      <c r="AX32" s="451"/>
      <c r="AY32" s="451"/>
      <c r="AZ32" s="451"/>
      <c r="BA32" s="451"/>
      <c r="BB32" s="451"/>
      <c r="BC32" s="451"/>
    </row>
    <row r="33" spans="1:55" x14ac:dyDescent="0.25">
      <c r="A33" s="11">
        <v>44161</v>
      </c>
      <c r="B33" s="59"/>
      <c r="C33" s="60">
        <v>0</v>
      </c>
      <c r="D33" s="60">
        <v>0</v>
      </c>
      <c r="E33" s="452">
        <v>0</v>
      </c>
      <c r="F33" s="60">
        <v>0</v>
      </c>
      <c r="G33" s="60">
        <v>0</v>
      </c>
      <c r="H33" s="61">
        <v>0</v>
      </c>
      <c r="I33" s="59">
        <v>337.49740688006148</v>
      </c>
      <c r="J33" s="60">
        <v>706.4697441736846</v>
      </c>
      <c r="K33" s="60">
        <v>38.650395816564526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414.08191326989305</v>
      </c>
      <c r="V33" s="62">
        <v>0</v>
      </c>
      <c r="W33" s="62">
        <v>70.931876015663022</v>
      </c>
      <c r="X33" s="62">
        <v>0</v>
      </c>
      <c r="Y33" s="66">
        <v>270.98355333010392</v>
      </c>
      <c r="Z33" s="66">
        <v>0</v>
      </c>
      <c r="AA33" s="67">
        <v>0</v>
      </c>
      <c r="AB33" s="68">
        <v>63.766397388777271</v>
      </c>
      <c r="AC33" s="69">
        <v>0</v>
      </c>
      <c r="AD33" s="402">
        <v>17.375890955079086</v>
      </c>
      <c r="AE33" s="406">
        <v>0</v>
      </c>
      <c r="AF33" s="69">
        <v>17.179421557320492</v>
      </c>
      <c r="AG33" s="68">
        <v>17.000094222385989</v>
      </c>
      <c r="AH33" s="68">
        <v>0</v>
      </c>
      <c r="AI33" s="68">
        <v>1</v>
      </c>
      <c r="AJ33" s="69">
        <v>264.93275531927748</v>
      </c>
      <c r="AK33" s="69">
        <v>413.11604351997369</v>
      </c>
      <c r="AL33" s="69">
        <v>1028.885734049479</v>
      </c>
      <c r="AM33" s="69">
        <v>505.95204296112058</v>
      </c>
      <c r="AN33" s="69">
        <v>7445.296875</v>
      </c>
      <c r="AO33" s="69">
        <v>1976.8307390848797</v>
      </c>
      <c r="AP33" s="69">
        <v>576.87440020243332</v>
      </c>
      <c r="AQ33" s="69">
        <v>2475.1093535105388</v>
      </c>
      <c r="AR33" s="69">
        <v>452.71469316482552</v>
      </c>
      <c r="AS33" s="69">
        <v>487.04847523371376</v>
      </c>
    </row>
    <row r="34" spans="1:55" x14ac:dyDescent="0.25">
      <c r="A34" s="11">
        <v>44162</v>
      </c>
      <c r="B34" s="59"/>
      <c r="C34" s="60">
        <v>0</v>
      </c>
      <c r="D34" s="60">
        <v>0</v>
      </c>
      <c r="E34" s="452">
        <v>0</v>
      </c>
      <c r="F34" s="60">
        <v>0</v>
      </c>
      <c r="G34" s="60">
        <v>0</v>
      </c>
      <c r="H34" s="61">
        <v>0</v>
      </c>
      <c r="I34" s="59">
        <v>340.3934849262244</v>
      </c>
      <c r="J34" s="60">
        <v>706.78607489267847</v>
      </c>
      <c r="K34" s="60">
        <v>38.664234281579638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401.54970499674357</v>
      </c>
      <c r="V34" s="62">
        <v>0</v>
      </c>
      <c r="W34" s="62">
        <v>68.959337170918815</v>
      </c>
      <c r="X34" s="62">
        <v>0</v>
      </c>
      <c r="Y34" s="66">
        <v>263.72052863438898</v>
      </c>
      <c r="Z34" s="66">
        <v>0</v>
      </c>
      <c r="AA34" s="67">
        <v>0</v>
      </c>
      <c r="AB34" s="68">
        <v>64.223618896802449</v>
      </c>
      <c r="AC34" s="69">
        <v>0</v>
      </c>
      <c r="AD34" s="402">
        <v>17.389209445509149</v>
      </c>
      <c r="AE34" s="406">
        <v>0</v>
      </c>
      <c r="AF34" s="69">
        <v>16.729045686456889</v>
      </c>
      <c r="AG34" s="68">
        <v>16.530048112896829</v>
      </c>
      <c r="AH34" s="68">
        <v>0</v>
      </c>
      <c r="AI34" s="68">
        <v>1</v>
      </c>
      <c r="AJ34" s="69">
        <v>264.65490436553955</v>
      </c>
      <c r="AK34" s="69">
        <v>414.69760359128327</v>
      </c>
      <c r="AL34" s="69">
        <v>1012.9160527547199</v>
      </c>
      <c r="AM34" s="69">
        <v>603.41610717773438</v>
      </c>
      <c r="AN34" s="69">
        <v>7445.296875</v>
      </c>
      <c r="AO34" s="69">
        <v>2015.506829325358</v>
      </c>
      <c r="AP34" s="69">
        <v>586.33925863901766</v>
      </c>
      <c r="AQ34" s="69">
        <v>2476.9990936279301</v>
      </c>
      <c r="AR34" s="69">
        <v>346.62709041436517</v>
      </c>
      <c r="AS34" s="69">
        <v>480.08230876922602</v>
      </c>
    </row>
    <row r="35" spans="1:55" x14ac:dyDescent="0.25">
      <c r="A35" s="11">
        <v>44163</v>
      </c>
      <c r="B35" s="59"/>
      <c r="C35" s="60">
        <v>0</v>
      </c>
      <c r="D35" s="60">
        <v>0</v>
      </c>
      <c r="E35" s="452">
        <v>0</v>
      </c>
      <c r="F35" s="60">
        <v>0</v>
      </c>
      <c r="G35" s="60">
        <v>0</v>
      </c>
      <c r="H35" s="61">
        <v>0</v>
      </c>
      <c r="I35" s="59">
        <v>348.62019092241985</v>
      </c>
      <c r="J35" s="60">
        <v>706.99158042271733</v>
      </c>
      <c r="K35" s="60">
        <v>38.693154628078148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390.33263373905123</v>
      </c>
      <c r="V35" s="62">
        <v>0</v>
      </c>
      <c r="W35" s="62">
        <v>66.725874396165338</v>
      </c>
      <c r="X35" s="62">
        <v>0</v>
      </c>
      <c r="Y35" s="66">
        <v>261.72332541942581</v>
      </c>
      <c r="Z35" s="66">
        <v>0</v>
      </c>
      <c r="AA35" s="67">
        <v>0</v>
      </c>
      <c r="AB35" s="68">
        <v>63.76569156646844</v>
      </c>
      <c r="AC35" s="69">
        <v>0</v>
      </c>
      <c r="AD35" s="402">
        <v>17.391971630762637</v>
      </c>
      <c r="AE35" s="406">
        <v>0</v>
      </c>
      <c r="AF35" s="69">
        <v>16.468541814221268</v>
      </c>
      <c r="AG35" s="68">
        <v>16.30094121653492</v>
      </c>
      <c r="AH35" s="68">
        <v>0</v>
      </c>
      <c r="AI35" s="68">
        <v>1</v>
      </c>
      <c r="AJ35" s="69">
        <v>260.2957571903865</v>
      </c>
      <c r="AK35" s="69">
        <v>405.44467193285624</v>
      </c>
      <c r="AL35" s="69">
        <v>1042.0343783696492</v>
      </c>
      <c r="AM35" s="69">
        <v>603.41610717773438</v>
      </c>
      <c r="AN35" s="69">
        <v>7445.296875</v>
      </c>
      <c r="AO35" s="69">
        <v>2010.8655773162839</v>
      </c>
      <c r="AP35" s="69">
        <v>576.95382032394411</v>
      </c>
      <c r="AQ35" s="69">
        <v>2447.2817548751837</v>
      </c>
      <c r="AR35" s="69">
        <v>261.5144745270411</v>
      </c>
      <c r="AS35" s="69">
        <v>520.75582831700649</v>
      </c>
    </row>
    <row r="36" spans="1:55" x14ac:dyDescent="0.25">
      <c r="A36" s="11">
        <v>44164</v>
      </c>
      <c r="B36" s="59"/>
      <c r="C36" s="60">
        <v>0</v>
      </c>
      <c r="D36" s="60">
        <v>0</v>
      </c>
      <c r="E36" s="452">
        <v>0</v>
      </c>
      <c r="F36" s="60">
        <v>0</v>
      </c>
      <c r="G36" s="60">
        <v>0</v>
      </c>
      <c r="H36" s="61">
        <v>0</v>
      </c>
      <c r="I36" s="59">
        <v>349.11823067665142</v>
      </c>
      <c r="J36" s="60">
        <v>706.96534334818466</v>
      </c>
      <c r="K36" s="60">
        <v>38.655202356974229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408.77966047922752</v>
      </c>
      <c r="V36" s="62">
        <v>0</v>
      </c>
      <c r="W36" s="62">
        <v>71.083232680956613</v>
      </c>
      <c r="X36" s="62">
        <v>0</v>
      </c>
      <c r="Y36" s="66">
        <v>279.22517463366177</v>
      </c>
      <c r="Z36" s="66">
        <v>0</v>
      </c>
      <c r="AA36" s="67">
        <v>0</v>
      </c>
      <c r="AB36" s="68">
        <v>63.759880791770868</v>
      </c>
      <c r="AC36" s="69">
        <v>0</v>
      </c>
      <c r="AD36" s="402">
        <v>17.390979866806806</v>
      </c>
      <c r="AE36" s="406">
        <v>0</v>
      </c>
      <c r="AF36" s="69">
        <v>17.188223167260499</v>
      </c>
      <c r="AG36" s="68">
        <v>17.001386407714165</v>
      </c>
      <c r="AH36" s="68">
        <v>0</v>
      </c>
      <c r="AI36" s="68">
        <v>1</v>
      </c>
      <c r="AJ36" s="69">
        <v>267.09782605171205</v>
      </c>
      <c r="AK36" s="69">
        <v>418.98420198758441</v>
      </c>
      <c r="AL36" s="69">
        <v>1043.7942267100016</v>
      </c>
      <c r="AM36" s="69">
        <v>554.93190158208211</v>
      </c>
      <c r="AN36" s="69">
        <v>3155.1927316029864</v>
      </c>
      <c r="AO36" s="69">
        <v>2007.2044651031497</v>
      </c>
      <c r="AP36" s="69">
        <v>579.20908295313529</v>
      </c>
      <c r="AQ36" s="69">
        <v>2487.7457920074467</v>
      </c>
      <c r="AR36" s="69">
        <v>272.32334339618683</v>
      </c>
      <c r="AS36" s="69">
        <v>526.25184647242236</v>
      </c>
    </row>
    <row r="37" spans="1:55" x14ac:dyDescent="0.25">
      <c r="A37" s="11">
        <v>44165</v>
      </c>
      <c r="B37" s="59"/>
      <c r="C37" s="60">
        <v>0</v>
      </c>
      <c r="D37" s="60">
        <v>0</v>
      </c>
      <c r="E37" s="452">
        <v>0</v>
      </c>
      <c r="F37" s="60">
        <v>0</v>
      </c>
      <c r="G37" s="60">
        <v>0</v>
      </c>
      <c r="H37" s="61">
        <v>0</v>
      </c>
      <c r="I37" s="59">
        <v>304.61</v>
      </c>
      <c r="J37" s="60">
        <v>602.46</v>
      </c>
      <c r="K37" s="60">
        <v>32.950000000000003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360.92</v>
      </c>
      <c r="V37" s="62">
        <v>0</v>
      </c>
      <c r="W37" s="62">
        <v>60.24</v>
      </c>
      <c r="X37" s="62">
        <v>0</v>
      </c>
      <c r="Y37" s="66">
        <v>234.21</v>
      </c>
      <c r="Z37" s="66">
        <v>0</v>
      </c>
      <c r="AA37" s="67">
        <v>0</v>
      </c>
      <c r="AB37" s="68">
        <v>53.46</v>
      </c>
      <c r="AC37" s="69">
        <v>0</v>
      </c>
      <c r="AD37" s="402">
        <v>14.82</v>
      </c>
      <c r="AE37" s="441">
        <v>0</v>
      </c>
      <c r="AF37" s="69">
        <v>14.64</v>
      </c>
      <c r="AG37" s="68">
        <v>14.46</v>
      </c>
      <c r="AH37" s="68">
        <v>0</v>
      </c>
      <c r="AI37" s="68">
        <v>1</v>
      </c>
      <c r="AJ37" s="69">
        <v>266.13</v>
      </c>
      <c r="AK37" s="69">
        <v>419.34</v>
      </c>
      <c r="AL37" s="69">
        <v>1062.5</v>
      </c>
      <c r="AM37" s="69">
        <v>536.09</v>
      </c>
      <c r="AN37" s="69">
        <v>1516.41</v>
      </c>
      <c r="AO37" s="69">
        <v>2007.01</v>
      </c>
      <c r="AP37" s="69">
        <v>584.15</v>
      </c>
      <c r="AQ37" s="69">
        <v>2178.59</v>
      </c>
      <c r="AR37" s="69">
        <v>269.5</v>
      </c>
      <c r="AS37" s="69">
        <v>551.26</v>
      </c>
      <c r="AT37" s="451"/>
      <c r="AU37" s="451"/>
      <c r="AV37" s="451"/>
      <c r="AW37" s="451"/>
      <c r="AX37" s="451"/>
      <c r="AY37" s="451"/>
      <c r="AZ37" s="451"/>
      <c r="BA37" s="451"/>
      <c r="BB37" s="451"/>
      <c r="BC37" s="451"/>
    </row>
    <row r="38" spans="1:5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2"/>
      <c r="AE38" s="441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5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547.07885091305013</v>
      </c>
      <c r="D39" s="30">
        <f t="shared" si="0"/>
        <v>6533.7860395371872</v>
      </c>
      <c r="E39" s="30">
        <f t="shared" si="0"/>
        <v>127.71234350105118</v>
      </c>
      <c r="F39" s="30">
        <f t="shared" si="0"/>
        <v>0</v>
      </c>
      <c r="G39" s="30">
        <f t="shared" si="0"/>
        <v>17564.143476359073</v>
      </c>
      <c r="H39" s="31">
        <f t="shared" si="0"/>
        <v>205.83517290155126</v>
      </c>
      <c r="I39" s="29">
        <f t="shared" si="0"/>
        <v>8793.3135385402129</v>
      </c>
      <c r="J39" s="30">
        <f t="shared" si="0"/>
        <v>18827.430632947271</v>
      </c>
      <c r="K39" s="30">
        <f t="shared" si="0"/>
        <v>1029.181515654921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10981.767856531687</v>
      </c>
      <c r="V39" s="260">
        <f t="shared" si="0"/>
        <v>1258.4694704336466</v>
      </c>
      <c r="W39" s="260">
        <f t="shared" si="0"/>
        <v>1863.4393448623034</v>
      </c>
      <c r="X39" s="260">
        <f t="shared" si="0"/>
        <v>211.25376623312616</v>
      </c>
      <c r="Y39" s="260">
        <f t="shared" si="0"/>
        <v>7266.6714879981464</v>
      </c>
      <c r="Z39" s="260">
        <f t="shared" si="0"/>
        <v>901.14384981395517</v>
      </c>
      <c r="AA39" s="268">
        <f t="shared" si="0"/>
        <v>0</v>
      </c>
      <c r="AB39" s="271">
        <f t="shared" si="0"/>
        <v>2042.4698581706305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SUM(AJ8:AJ38)</f>
        <v>7847.2212191152576</v>
      </c>
      <c r="AK39" s="271">
        <f t="shared" si="1"/>
        <v>15382.7673229758</v>
      </c>
      <c r="AL39" s="271">
        <f t="shared" si="1"/>
        <v>44687.776540247592</v>
      </c>
      <c r="AM39" s="271">
        <f t="shared" si="1"/>
        <v>15434.09423190435</v>
      </c>
      <c r="AN39" s="271">
        <f t="shared" si="1"/>
        <v>213139.92148160297</v>
      </c>
      <c r="AO39" s="271">
        <f t="shared" si="1"/>
        <v>65107.564725468961</v>
      </c>
      <c r="AP39" s="271">
        <f t="shared" si="1"/>
        <v>18062.302254660928</v>
      </c>
      <c r="AQ39" s="271">
        <f t="shared" si="1"/>
        <v>73607.998800964357</v>
      </c>
      <c r="AR39" s="271">
        <f t="shared" si="1"/>
        <v>12562.886722979543</v>
      </c>
      <c r="AS39" s="271">
        <f t="shared" si="1"/>
        <v>17701.732313283286</v>
      </c>
    </row>
    <row r="40" spans="1:55" ht="15.75" thickBot="1" x14ac:dyDescent="0.3">
      <c r="A40" s="47" t="s">
        <v>172</v>
      </c>
      <c r="B40" s="32">
        <f>Projection!$AD$30</f>
        <v>0.66681052199999991</v>
      </c>
      <c r="C40" s="33">
        <f>Projection!$AD$28</f>
        <v>1.4286753599999999</v>
      </c>
      <c r="D40" s="33">
        <f>Projection!$AD$31</f>
        <v>2.1114878399999997</v>
      </c>
      <c r="E40" s="33">
        <f>Projection!$AD$26</f>
        <v>4.4235360000000004</v>
      </c>
      <c r="F40" s="33">
        <f>Projection!$AD$23</f>
        <v>0</v>
      </c>
      <c r="G40" s="33">
        <f>Projection!$AD$24</f>
        <v>7.2805000000000009E-2</v>
      </c>
      <c r="H40" s="34">
        <f>Projection!$AD$29</f>
        <v>3.7390305000000001</v>
      </c>
      <c r="I40" s="32">
        <f>Projection!$AD$30</f>
        <v>0.66681052199999991</v>
      </c>
      <c r="J40" s="33">
        <f>Projection!$AD$28</f>
        <v>1.4286753599999999</v>
      </c>
      <c r="K40" s="33">
        <f>Projection!$AD$26</f>
        <v>4.4235360000000004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2">
        <v>15.77</v>
      </c>
      <c r="P40" s="263">
        <v>15.77</v>
      </c>
      <c r="Q40" s="263">
        <v>15.77</v>
      </c>
      <c r="R40" s="263">
        <v>15.77</v>
      </c>
      <c r="S40" s="263">
        <f>Projection!$AD$28</f>
        <v>1.4286753599999999</v>
      </c>
      <c r="T40" s="264">
        <f>Projection!$AD$28</f>
        <v>1.4286753599999999</v>
      </c>
      <c r="U40" s="262">
        <f>Projection!$AD$27</f>
        <v>0.26450000000000001</v>
      </c>
      <c r="V40" s="263">
        <f>Projection!$AD$27</f>
        <v>0.26450000000000001</v>
      </c>
      <c r="W40" s="263">
        <f>Projection!$AD$22</f>
        <v>0.85935360000000005</v>
      </c>
      <c r="X40" s="263">
        <f>Projection!$AD$22</f>
        <v>0.85935360000000005</v>
      </c>
      <c r="Y40" s="263">
        <f>Projection!$AD$31</f>
        <v>2.1114878399999997</v>
      </c>
      <c r="Z40" s="263">
        <f>Projection!$AD$31</f>
        <v>2.1114878399999997</v>
      </c>
      <c r="AA40" s="269">
        <v>0</v>
      </c>
      <c r="AB40" s="272">
        <f>Projection!$AD$27</f>
        <v>0.26450000000000001</v>
      </c>
      <c r="AC40" s="272">
        <f>Projection!$AD$30</f>
        <v>0.66681052199999991</v>
      </c>
      <c r="AD40" s="397">
        <f>SUM(AD8:AD38)</f>
        <v>462.71131724941614</v>
      </c>
      <c r="AE40" s="397">
        <f>SUM(AE8:AE38)</f>
        <v>51.305068775427884</v>
      </c>
      <c r="AF40" s="275">
        <f>SUM(AF8:AF38)</f>
        <v>499.11155325306783</v>
      </c>
      <c r="AG40" s="275">
        <f>SUM(AG8:AG38)</f>
        <v>443.10605583876901</v>
      </c>
      <c r="AH40" s="275">
        <f>SUM(AH8:AH38)</f>
        <v>49.657526547637261</v>
      </c>
      <c r="AI40" s="275">
        <f>IF(SUM(AG40:AH40)&gt;0, AG40/(AG40+AH40),0)</f>
        <v>0.89922646818348329</v>
      </c>
      <c r="AJ40" s="310">
        <v>6.5000000000000002E-2</v>
      </c>
      <c r="AK40" s="310">
        <f t="shared" ref="AK40:AS40" si="2">$AJ$40</f>
        <v>6.5000000000000002E-2</v>
      </c>
      <c r="AL40" s="310">
        <f t="shared" si="2"/>
        <v>6.5000000000000002E-2</v>
      </c>
      <c r="AM40" s="310">
        <f t="shared" si="2"/>
        <v>6.5000000000000002E-2</v>
      </c>
      <c r="AN40" s="310">
        <f t="shared" si="2"/>
        <v>6.5000000000000002E-2</v>
      </c>
      <c r="AO40" s="310">
        <f t="shared" si="2"/>
        <v>6.5000000000000002E-2</v>
      </c>
      <c r="AP40" s="310">
        <f t="shared" si="2"/>
        <v>6.5000000000000002E-2</v>
      </c>
      <c r="AQ40" s="310">
        <f t="shared" si="2"/>
        <v>6.5000000000000002E-2</v>
      </c>
      <c r="AR40" s="310">
        <f t="shared" si="2"/>
        <v>6.5000000000000002E-2</v>
      </c>
      <c r="AS40" s="310">
        <f t="shared" si="2"/>
        <v>6.5000000000000002E-2</v>
      </c>
    </row>
    <row r="41" spans="1:5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781.59807427658825</v>
      </c>
      <c r="D41" s="36">
        <f t="shared" si="3"/>
        <v>13796.009771644527</v>
      </c>
      <c r="E41" s="36">
        <f t="shared" si="3"/>
        <v>564.94014912126602</v>
      </c>
      <c r="F41" s="36">
        <f t="shared" si="3"/>
        <v>0</v>
      </c>
      <c r="G41" s="36">
        <f t="shared" si="3"/>
        <v>1278.7574657963225</v>
      </c>
      <c r="H41" s="37">
        <f t="shared" si="3"/>
        <v>769.62398945167365</v>
      </c>
      <c r="I41" s="35">
        <f t="shared" si="3"/>
        <v>5863.473990743666</v>
      </c>
      <c r="J41" s="36">
        <f t="shared" si="3"/>
        <v>26898.286237400971</v>
      </c>
      <c r="K41" s="36">
        <f t="shared" si="3"/>
        <v>4552.6214850341066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2904.6775980526313</v>
      </c>
      <c r="V41" s="266">
        <f t="shared" si="3"/>
        <v>332.86517492969955</v>
      </c>
      <c r="W41" s="266">
        <f t="shared" si="3"/>
        <v>1601.3533093890621</v>
      </c>
      <c r="X41" s="266">
        <f t="shared" si="3"/>
        <v>181.54168452599541</v>
      </c>
      <c r="Y41" s="266">
        <f t="shared" si="3"/>
        <v>15343.48848418279</v>
      </c>
      <c r="Z41" s="266">
        <f t="shared" si="3"/>
        <v>1902.7542809729523</v>
      </c>
      <c r="AA41" s="270">
        <f t="shared" si="3"/>
        <v>0</v>
      </c>
      <c r="AB41" s="273">
        <f t="shared" si="3"/>
        <v>540.23327748613178</v>
      </c>
      <c r="AC41" s="273">
        <f t="shared" si="3"/>
        <v>0</v>
      </c>
      <c r="AJ41" s="276">
        <f t="shared" ref="AJ41:AS41" si="4">AJ40*AJ39</f>
        <v>510.06937924249178</v>
      </c>
      <c r="AK41" s="276">
        <f t="shared" si="4"/>
        <v>999.87987599342705</v>
      </c>
      <c r="AL41" s="276">
        <f t="shared" si="4"/>
        <v>2904.7054751160936</v>
      </c>
      <c r="AM41" s="276">
        <f t="shared" si="4"/>
        <v>1003.2161250737828</v>
      </c>
      <c r="AN41" s="276">
        <f t="shared" si="4"/>
        <v>13854.094896304194</v>
      </c>
      <c r="AO41" s="276">
        <f t="shared" si="4"/>
        <v>4231.9917071554828</v>
      </c>
      <c r="AP41" s="276">
        <f t="shared" si="4"/>
        <v>1174.0496465529604</v>
      </c>
      <c r="AQ41" s="276">
        <f t="shared" si="4"/>
        <v>4784.5199220626837</v>
      </c>
      <c r="AR41" s="276">
        <f t="shared" si="4"/>
        <v>816.58763699367034</v>
      </c>
      <c r="AS41" s="276">
        <f t="shared" si="4"/>
        <v>1150.6126003634135</v>
      </c>
    </row>
    <row r="42" spans="1:55" ht="49.5" customHeight="1" thickTop="1" thickBot="1" x14ac:dyDescent="0.3">
      <c r="A42" s="640">
        <f>OCTOBER!$A$42+31</f>
        <v>44136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1102.4000000000001</v>
      </c>
      <c r="AK42" s="276" t="s">
        <v>197</v>
      </c>
      <c r="AL42" s="276">
        <v>2189.88</v>
      </c>
      <c r="AM42" s="276">
        <v>757.52</v>
      </c>
      <c r="AN42" s="276">
        <v>1076.6500000000001</v>
      </c>
      <c r="AO42" s="276">
        <v>6985.16</v>
      </c>
      <c r="AP42" s="276">
        <v>1494.73</v>
      </c>
      <c r="AQ42" s="276" t="s">
        <v>197</v>
      </c>
      <c r="AR42" s="276">
        <v>213.28</v>
      </c>
      <c r="AS42" s="276">
        <v>424.55</v>
      </c>
    </row>
    <row r="43" spans="1:5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55" ht="24.75" thickTop="1" thickBot="1" x14ac:dyDescent="0.3">
      <c r="A44" s="280" t="s">
        <v>135</v>
      </c>
      <c r="B44" s="281">
        <f>SUM(B41:AC41)</f>
        <v>77312.224973008371</v>
      </c>
      <c r="C44" s="12"/>
      <c r="D44" s="280" t="s">
        <v>135</v>
      </c>
      <c r="E44" s="281">
        <f>SUM(B41:H41)+P41+R41+T41+V41+X41+Z41</f>
        <v>19608.090590719024</v>
      </c>
      <c r="F44" s="12"/>
      <c r="G44" s="280" t="s">
        <v>135</v>
      </c>
      <c r="H44" s="281">
        <f>SUM(I41:N41)+O41+Q41+S41+U41+W41+Y41</f>
        <v>57163.901104803226</v>
      </c>
      <c r="I44" s="12"/>
      <c r="J44" s="280" t="s">
        <v>198</v>
      </c>
      <c r="K44" s="281">
        <v>156360.69999999998</v>
      </c>
      <c r="L44" s="12"/>
      <c r="M44" s="12"/>
      <c r="N44" s="12"/>
      <c r="O44" s="12"/>
      <c r="P44" s="12"/>
      <c r="Q44" s="12"/>
      <c r="R44" s="317" t="s">
        <v>135</v>
      </c>
      <c r="S44" s="318"/>
      <c r="T44" s="311" t="s">
        <v>167</v>
      </c>
      <c r="U44" s="253" t="s">
        <v>168</v>
      </c>
    </row>
    <row r="45" spans="1:55" ht="24" thickBot="1" x14ac:dyDescent="0.4">
      <c r="A45" s="282" t="s">
        <v>183</v>
      </c>
      <c r="B45" s="283">
        <f>SUM(AJ41:AS41)</f>
        <v>31429.727264858204</v>
      </c>
      <c r="C45" s="12"/>
      <c r="D45" s="282" t="s">
        <v>183</v>
      </c>
      <c r="E45" s="283">
        <f>AJ41*(1-$AI$40)+AK41+AL41*0.5+AN41+AO41*(1-$AI$40)+AP41*(1-$AI$40)+AQ41*(1-$AI$40)+AR41*0.5+AS41*0.5</f>
        <v>18368.267972304016</v>
      </c>
      <c r="F45" s="24"/>
      <c r="G45" s="282" t="s">
        <v>183</v>
      </c>
      <c r="H45" s="283">
        <f>AJ41*AI40+AL41*0.5+AM41+AO41*AI40+AP41*AI40+AQ41*AI40+AR41*0.5+AS41*0.5</f>
        <v>13061.45929255418</v>
      </c>
      <c r="I45" s="12"/>
      <c r="J45" s="12"/>
      <c r="K45" s="286"/>
      <c r="L45" s="12"/>
      <c r="M45" s="12"/>
      <c r="N45" s="12"/>
      <c r="O45" s="12"/>
      <c r="P45" s="12"/>
      <c r="Q45" s="12"/>
      <c r="R45" s="315" t="s">
        <v>141</v>
      </c>
      <c r="S45" s="316"/>
      <c r="T45" s="252">
        <f>$W$39+$X$39</f>
        <v>2074.6931110954297</v>
      </c>
      <c r="U45" s="254">
        <f>(T45*8.34*0.895)/27000</f>
        <v>0.57356043663517098</v>
      </c>
    </row>
    <row r="46" spans="1:55" ht="32.25" thickBot="1" x14ac:dyDescent="0.3">
      <c r="A46" s="284" t="s">
        <v>184</v>
      </c>
      <c r="B46" s="285">
        <f>SUM(AJ42:AS42)</f>
        <v>14244.17</v>
      </c>
      <c r="C46" s="12"/>
      <c r="D46" s="284" t="s">
        <v>184</v>
      </c>
      <c r="E46" s="285">
        <f>AJ42*(1-$AI$40)+AL42*0.5+AN42+AO42*(1-$AI$40)+AP42*(1-$AI$40)+AR42*0.5+AS42*0.5</f>
        <v>3456.1462061900902</v>
      </c>
      <c r="F46" s="23"/>
      <c r="G46" s="284" t="s">
        <v>184</v>
      </c>
      <c r="H46" s="285">
        <f>AJ42*AI40+AL42*0.5+AM42+AO42*AI40+AP42*AI40+AR42*0.5+AS42*0.5</f>
        <v>10788.023793809911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15" t="s">
        <v>145</v>
      </c>
      <c r="S46" s="316"/>
      <c r="T46" s="252">
        <f>$M$39+$N$39+$F$39</f>
        <v>0</v>
      </c>
      <c r="U46" s="255">
        <f>(((T46*8.34)*0.005)/(8.34*1.055))/400</f>
        <v>0</v>
      </c>
    </row>
    <row r="47" spans="1:55" ht="24.75" thickTop="1" thickBot="1" x14ac:dyDescent="0.4">
      <c r="A47" s="284" t="s">
        <v>185</v>
      </c>
      <c r="B47" s="285">
        <f>K44</f>
        <v>156360.69999999998</v>
      </c>
      <c r="C47" s="12"/>
      <c r="D47" s="284" t="s">
        <v>187</v>
      </c>
      <c r="E47" s="285">
        <f>K44*0.5</f>
        <v>78180.349999999991</v>
      </c>
      <c r="F47" s="24"/>
      <c r="G47" s="284" t="s">
        <v>185</v>
      </c>
      <c r="H47" s="285">
        <f>K44*0.5</f>
        <v>78180.349999999991</v>
      </c>
      <c r="I47" s="12"/>
      <c r="J47" s="280" t="s">
        <v>198</v>
      </c>
      <c r="K47" s="281">
        <v>54301.440000000002</v>
      </c>
      <c r="L47" s="12"/>
      <c r="M47" s="12"/>
      <c r="N47" s="12"/>
      <c r="O47" s="12"/>
      <c r="P47" s="12"/>
      <c r="Q47" s="12"/>
      <c r="R47" s="315" t="s">
        <v>148</v>
      </c>
      <c r="S47" s="316"/>
      <c r="T47" s="252">
        <f>$G$39</f>
        <v>17564.143476359073</v>
      </c>
      <c r="U47" s="254">
        <f>T47/40000</f>
        <v>0.43910358690897683</v>
      </c>
    </row>
    <row r="48" spans="1:55" ht="24" thickBot="1" x14ac:dyDescent="0.3">
      <c r="A48" s="284" t="s">
        <v>186</v>
      </c>
      <c r="B48" s="285">
        <f>K47</f>
        <v>54301.440000000002</v>
      </c>
      <c r="C48" s="12"/>
      <c r="D48" s="284" t="s">
        <v>186</v>
      </c>
      <c r="E48" s="285">
        <f>K47*0.5</f>
        <v>27150.720000000001</v>
      </c>
      <c r="F48" s="23"/>
      <c r="G48" s="284" t="s">
        <v>186</v>
      </c>
      <c r="H48" s="285">
        <f>K47*0.5</f>
        <v>27150.720000000001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15" t="s">
        <v>150</v>
      </c>
      <c r="S48" s="316"/>
      <c r="T48" s="252">
        <f>$L$39</f>
        <v>0</v>
      </c>
      <c r="U48" s="254">
        <f>T48*9.34*0.107</f>
        <v>0</v>
      </c>
    </row>
    <row r="49" spans="1:25" ht="48" thickTop="1" thickBot="1" x14ac:dyDescent="0.3">
      <c r="A49" s="289" t="s">
        <v>194</v>
      </c>
      <c r="B49" s="290">
        <f>AF40</f>
        <v>499.11155325306783</v>
      </c>
      <c r="C49" s="12"/>
      <c r="D49" s="289" t="s">
        <v>195</v>
      </c>
      <c r="E49" s="290">
        <f>AH40</f>
        <v>49.657526547637261</v>
      </c>
      <c r="F49" s="23"/>
      <c r="G49" s="289" t="s">
        <v>196</v>
      </c>
      <c r="H49" s="290">
        <f>AG40</f>
        <v>443.10605583876901</v>
      </c>
      <c r="I49" s="12"/>
      <c r="J49" s="12"/>
      <c r="K49" s="86"/>
      <c r="L49" s="12"/>
      <c r="M49" s="12"/>
      <c r="N49" s="12"/>
      <c r="O49" s="12"/>
      <c r="P49" s="12"/>
      <c r="Q49" s="12"/>
      <c r="R49" s="315" t="s">
        <v>152</v>
      </c>
      <c r="S49" s="316"/>
      <c r="T49" s="252">
        <f>$E$39+$K$39</f>
        <v>1156.8938591559722</v>
      </c>
      <c r="U49" s="254">
        <f>(T49*8.34*1.04)/45000</f>
        <v>0.22298743503944979</v>
      </c>
    </row>
    <row r="50" spans="1:25" ht="48" customHeight="1" thickTop="1" thickBot="1" x14ac:dyDescent="0.3">
      <c r="A50" s="289" t="s">
        <v>223</v>
      </c>
      <c r="B50" s="290">
        <f>SUM(E50+H50)</f>
        <v>514.016386024844</v>
      </c>
      <c r="C50" s="12"/>
      <c r="D50" s="289" t="s">
        <v>224</v>
      </c>
      <c r="E50" s="290">
        <f>AE40</f>
        <v>51.305068775427884</v>
      </c>
      <c r="F50" s="23"/>
      <c r="G50" s="289" t="s">
        <v>225</v>
      </c>
      <c r="H50" s="290">
        <f>AD40</f>
        <v>462.71131724941614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649.10043980920943</v>
      </c>
      <c r="C51" s="12"/>
      <c r="D51" s="289" t="s">
        <v>188</v>
      </c>
      <c r="E51" s="396">
        <f>SUM(E44:E48)/E50</f>
        <v>2860.6057505083058</v>
      </c>
      <c r="F51" s="23"/>
      <c r="G51" s="289" t="s">
        <v>189</v>
      </c>
      <c r="H51" s="396">
        <f>SUM(H44:H48)/H50</f>
        <v>402.7229230071365</v>
      </c>
      <c r="I51" s="12"/>
      <c r="J51" s="12"/>
      <c r="K51" s="86"/>
      <c r="L51" s="12"/>
      <c r="M51" s="12"/>
      <c r="N51" s="12"/>
      <c r="O51" s="12"/>
      <c r="P51" s="12"/>
      <c r="Q51" s="12"/>
      <c r="R51" s="315" t="s">
        <v>153</v>
      </c>
      <c r="S51" s="316"/>
      <c r="T51" s="252">
        <f>$U$39+$V$39+$AB$39</f>
        <v>14282.707185135965</v>
      </c>
      <c r="U51" s="254">
        <f>T51/2000/8</f>
        <v>0.89266919907099784</v>
      </c>
    </row>
    <row r="52" spans="1:25" ht="48" thickTop="1" thickBot="1" x14ac:dyDescent="0.3">
      <c r="A52" s="279" t="s">
        <v>191</v>
      </c>
      <c r="B52" s="292">
        <f>B51/1000</f>
        <v>0.6491004398092094</v>
      </c>
      <c r="C52" s="12"/>
      <c r="D52" s="279" t="s">
        <v>192</v>
      </c>
      <c r="E52" s="292">
        <f>E51/1000</f>
        <v>2.8606057505083058</v>
      </c>
      <c r="F52" s="12"/>
      <c r="G52" s="279" t="s">
        <v>193</v>
      </c>
      <c r="H52" s="292">
        <f>H51/1000</f>
        <v>0.40272292300713652</v>
      </c>
      <c r="I52" s="12"/>
      <c r="J52" s="12"/>
      <c r="K52" s="86"/>
      <c r="L52" s="12"/>
      <c r="M52" s="12"/>
      <c r="N52" s="12"/>
      <c r="O52" s="12"/>
      <c r="P52" s="12"/>
      <c r="Q52" s="12"/>
      <c r="R52" s="315" t="s">
        <v>154</v>
      </c>
      <c r="S52" s="316"/>
      <c r="T52" s="252">
        <f>$C$39+$J$39+$S$39+$T$39</f>
        <v>19374.509483860322</v>
      </c>
      <c r="U52" s="254">
        <f>(T52*8.34*1.4)/45000</f>
        <v>5.0270393940789582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5" t="s">
        <v>155</v>
      </c>
      <c r="S53" s="316"/>
      <c r="T53" s="252">
        <f>$H$39</f>
        <v>205.83517290155126</v>
      </c>
      <c r="U53" s="254">
        <f>(T53*8.34*1.135)/45000</f>
        <v>4.3298114737084316E-2</v>
      </c>
    </row>
    <row r="54" spans="1:25" ht="33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5" t="s">
        <v>156</v>
      </c>
      <c r="S54" s="316"/>
      <c r="T54" s="252">
        <f>$B$39+$I$39+$AC$39</f>
        <v>8793.3135385402129</v>
      </c>
      <c r="U54" s="254">
        <f>(T54*8.34*1.029*0.03)/3300</f>
        <v>0.6860271429441519</v>
      </c>
    </row>
    <row r="55" spans="1:25" ht="66.75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14701.60137734929</v>
      </c>
      <c r="U55" s="257">
        <f>(T55*1.54*8.34)/45000</f>
        <v>4.1960330544471853</v>
      </c>
      <c r="V55" s="323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0"/>
      <c r="T56" s="674"/>
      <c r="U56" s="674"/>
      <c r="V56" s="321"/>
      <c r="W56" s="322"/>
      <c r="X56" s="320"/>
      <c r="Y56" s="320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0"/>
      <c r="T57" s="674"/>
      <c r="U57" s="674"/>
      <c r="V57" s="321"/>
      <c r="W57" s="322"/>
      <c r="X57" s="320"/>
      <c r="Y57" s="320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0"/>
      <c r="T58" s="674"/>
      <c r="U58" s="674"/>
      <c r="V58" s="321"/>
      <c r="W58" s="322"/>
      <c r="X58" s="320"/>
      <c r="Y58" s="320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0"/>
      <c r="T59" s="674"/>
      <c r="U59" s="674"/>
      <c r="V59" s="321"/>
      <c r="W59" s="322"/>
      <c r="X59" s="320"/>
      <c r="Y59" s="320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0"/>
      <c r="T60" s="674"/>
      <c r="U60" s="674"/>
      <c r="V60" s="321"/>
      <c r="W60" s="322"/>
      <c r="X60" s="320"/>
      <c r="Y60" s="320"/>
    </row>
    <row r="61" spans="1:25" x14ac:dyDescent="0.25">
      <c r="S61" s="320"/>
      <c r="T61" s="674"/>
      <c r="U61" s="674"/>
      <c r="V61" s="321"/>
      <c r="W61" s="322"/>
      <c r="X61" s="320"/>
      <c r="Y61" s="326"/>
    </row>
    <row r="62" spans="1:25" x14ac:dyDescent="0.25">
      <c r="S62" s="320"/>
      <c r="T62" s="674"/>
      <c r="U62" s="674"/>
      <c r="V62" s="321"/>
      <c r="W62" s="322"/>
      <c r="X62" s="320"/>
      <c r="Y62" s="326"/>
    </row>
    <row r="63" spans="1:25" x14ac:dyDescent="0.25">
      <c r="S63" s="320"/>
      <c r="T63" s="674"/>
      <c r="U63" s="674"/>
      <c r="V63" s="321"/>
      <c r="W63" s="322"/>
      <c r="X63" s="320"/>
      <c r="Y63" s="326"/>
    </row>
    <row r="64" spans="1:25" x14ac:dyDescent="0.25">
      <c r="S64" s="320"/>
      <c r="T64" s="320"/>
      <c r="U64" s="320"/>
      <c r="V64" s="320"/>
      <c r="W64" s="320"/>
      <c r="X64" s="320"/>
      <c r="Y64" s="326"/>
    </row>
    <row r="65" spans="19:25" x14ac:dyDescent="0.25">
      <c r="S65" s="320"/>
      <c r="T65" s="320"/>
      <c r="U65" s="320"/>
      <c r="V65" s="320"/>
      <c r="W65" s="320"/>
      <c r="X65" s="320"/>
      <c r="Y65" s="326"/>
    </row>
    <row r="66" spans="19:25" x14ac:dyDescent="0.25">
      <c r="S66" s="12"/>
      <c r="T66" s="12"/>
      <c r="U66" s="12"/>
      <c r="V66" s="12"/>
      <c r="W66" s="12"/>
      <c r="X66" s="12"/>
    </row>
    <row r="67" spans="19:25" x14ac:dyDescent="0.25">
      <c r="S67" s="12"/>
      <c r="T67" s="12"/>
      <c r="U67" s="12"/>
      <c r="V67" s="12"/>
      <c r="W67" s="12"/>
      <c r="X67" s="12"/>
    </row>
    <row r="68" spans="19:25" x14ac:dyDescent="0.25">
      <c r="S68" s="12"/>
      <c r="T68" s="12"/>
      <c r="U68" s="12"/>
      <c r="V68" s="12"/>
      <c r="W68" s="12"/>
      <c r="X68" s="12"/>
    </row>
    <row r="69" spans="19:25" x14ac:dyDescent="0.25">
      <c r="S69" s="12"/>
      <c r="T69" s="12"/>
      <c r="U69" s="12"/>
      <c r="V69" s="12"/>
      <c r="W69" s="12"/>
      <c r="X69" s="12"/>
    </row>
    <row r="70" spans="19:25" x14ac:dyDescent="0.25">
      <c r="S70" s="12"/>
      <c r="T70" s="12"/>
      <c r="U70" s="12"/>
      <c r="V70" s="12"/>
      <c r="W70" s="12"/>
      <c r="X70" s="12"/>
    </row>
  </sheetData>
  <sheetProtection algorithmName="SHA-512" hashValue="YrERMGDSGUVjOSo41NBqXxtx7yEs/z7Noue+WRHGwsRKN1JWU0N6pbAzDGBD5h8mqbu0qXQLos9dZcXqhPIhtw==" saltValue="/PyaAB7bPPEQZQOtHCUtUA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C66"/>
  <sheetViews>
    <sheetView tabSelected="1" topLeftCell="E43" zoomScale="80" zoomScaleNormal="80" workbookViewId="0">
      <selection activeCell="K48" sqref="K48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58" t="s">
        <v>206</v>
      </c>
    </row>
    <row r="4" spans="1:55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</row>
    <row r="5" spans="1:55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404" t="s">
        <v>28</v>
      </c>
      <c r="AE7" s="404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s="368" customFormat="1" ht="15" customHeight="1" x14ac:dyDescent="0.25">
      <c r="A8" s="442">
        <v>44166</v>
      </c>
      <c r="B8" s="362"/>
      <c r="C8" s="363">
        <v>0</v>
      </c>
      <c r="D8" s="363">
        <v>0</v>
      </c>
      <c r="E8" s="363">
        <v>0</v>
      </c>
      <c r="F8" s="363">
        <v>0</v>
      </c>
      <c r="G8" s="363">
        <v>0</v>
      </c>
      <c r="H8" s="364">
        <v>0</v>
      </c>
      <c r="I8" s="362">
        <v>256.58</v>
      </c>
      <c r="J8" s="363">
        <v>503.38</v>
      </c>
      <c r="K8" s="363">
        <v>27.49</v>
      </c>
      <c r="L8" s="365">
        <v>0</v>
      </c>
      <c r="M8" s="363">
        <v>0</v>
      </c>
      <c r="N8" s="364">
        <v>0</v>
      </c>
      <c r="O8" s="362">
        <v>0</v>
      </c>
      <c r="P8" s="363">
        <v>0</v>
      </c>
      <c r="Q8" s="363">
        <v>0</v>
      </c>
      <c r="R8" s="363">
        <v>0</v>
      </c>
      <c r="S8" s="363">
        <v>0</v>
      </c>
      <c r="T8" s="364">
        <v>0</v>
      </c>
      <c r="U8" s="362">
        <v>317.12</v>
      </c>
      <c r="V8" s="363">
        <v>0</v>
      </c>
      <c r="W8" s="363">
        <v>50.78</v>
      </c>
      <c r="X8" s="363">
        <v>0</v>
      </c>
      <c r="Y8" s="363">
        <v>194.93</v>
      </c>
      <c r="Z8" s="363">
        <v>0</v>
      </c>
      <c r="AA8" s="364">
        <v>0</v>
      </c>
      <c r="AB8" s="366">
        <v>45.5</v>
      </c>
      <c r="AC8" s="367">
        <v>0</v>
      </c>
      <c r="AD8" s="453">
        <v>12.38</v>
      </c>
      <c r="AE8" s="453">
        <v>0</v>
      </c>
      <c r="AF8" s="367">
        <v>12.16</v>
      </c>
      <c r="AG8" s="367">
        <v>12</v>
      </c>
      <c r="AH8" s="367">
        <v>0</v>
      </c>
      <c r="AI8" s="367">
        <v>1</v>
      </c>
      <c r="AJ8" s="367">
        <v>271.10000000000002</v>
      </c>
      <c r="AK8" s="367">
        <v>429.66</v>
      </c>
      <c r="AL8" s="367">
        <v>995.39</v>
      </c>
      <c r="AM8" s="367">
        <v>536.09</v>
      </c>
      <c r="AN8" s="367">
        <v>1516.41</v>
      </c>
      <c r="AO8" s="367">
        <v>2047.49</v>
      </c>
      <c r="AP8" s="367">
        <v>581.29</v>
      </c>
      <c r="AQ8" s="367">
        <v>1865.69</v>
      </c>
      <c r="AR8" s="367">
        <v>283.44</v>
      </c>
      <c r="AS8" s="367">
        <v>532.4</v>
      </c>
    </row>
    <row r="9" spans="1:55" x14ac:dyDescent="0.25">
      <c r="A9" s="443">
        <v>44167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253.74886293411197</v>
      </c>
      <c r="J9" s="60">
        <v>503.21448396046975</v>
      </c>
      <c r="K9" s="60">
        <v>27.484953773021736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0">
        <v>0</v>
      </c>
      <c r="R9" s="63">
        <v>0</v>
      </c>
      <c r="S9" s="60">
        <v>0</v>
      </c>
      <c r="T9" s="64">
        <v>0</v>
      </c>
      <c r="U9" s="65">
        <v>311.47003164291345</v>
      </c>
      <c r="V9" s="62">
        <v>0</v>
      </c>
      <c r="W9" s="62">
        <v>48.777023192246858</v>
      </c>
      <c r="X9" s="62">
        <v>0</v>
      </c>
      <c r="Y9" s="66">
        <v>187.50073296229027</v>
      </c>
      <c r="Z9" s="66">
        <v>0</v>
      </c>
      <c r="AA9" s="67">
        <v>0</v>
      </c>
      <c r="AB9" s="68">
        <v>45.845215082169162</v>
      </c>
      <c r="AC9" s="69">
        <v>0</v>
      </c>
      <c r="AD9" s="406">
        <v>12.373571959585888</v>
      </c>
      <c r="AE9" s="406">
        <v>0</v>
      </c>
      <c r="AF9" s="69">
        <v>11.976498481300125</v>
      </c>
      <c r="AG9" s="68">
        <v>11.822432472763243</v>
      </c>
      <c r="AH9" s="68">
        <v>0</v>
      </c>
      <c r="AI9" s="68">
        <v>1</v>
      </c>
      <c r="AJ9" s="69">
        <v>304.90431300004326</v>
      </c>
      <c r="AK9" s="69">
        <v>511.45024913152059</v>
      </c>
      <c r="AL9" s="69">
        <v>850.7686130523681</v>
      </c>
      <c r="AM9" s="69">
        <v>536.08992004394531</v>
      </c>
      <c r="AN9" s="69">
        <v>1516.4111022949219</v>
      </c>
      <c r="AO9" s="69">
        <v>2079.2178544362387</v>
      </c>
      <c r="AP9" s="69">
        <v>993.70134112040193</v>
      </c>
      <c r="AQ9" s="69">
        <v>1853.4747300465901</v>
      </c>
      <c r="AR9" s="69">
        <v>323.07825853029891</v>
      </c>
      <c r="AS9" s="69">
        <v>550.18213122685745</v>
      </c>
    </row>
    <row r="10" spans="1:55" x14ac:dyDescent="0.25">
      <c r="A10" s="443">
        <v>44168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245.53491493860804</v>
      </c>
      <c r="J10" s="60">
        <v>505.37341432571458</v>
      </c>
      <c r="K10" s="60">
        <v>27.620739310979886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311.98727142545624</v>
      </c>
      <c r="V10" s="62">
        <v>0</v>
      </c>
      <c r="W10" s="62">
        <v>47.470874373118086</v>
      </c>
      <c r="X10" s="62">
        <v>0</v>
      </c>
      <c r="Y10" s="66">
        <v>185.33175389766694</v>
      </c>
      <c r="Z10" s="66">
        <v>0</v>
      </c>
      <c r="AA10" s="67">
        <v>0</v>
      </c>
      <c r="AB10" s="68">
        <v>45.616208325491918</v>
      </c>
      <c r="AC10" s="69">
        <v>0</v>
      </c>
      <c r="AD10" s="406">
        <v>12.428191566171712</v>
      </c>
      <c r="AE10" s="406">
        <v>0</v>
      </c>
      <c r="AF10" s="69">
        <v>11.987742686271638</v>
      </c>
      <c r="AG10" s="68">
        <v>11.835593499867564</v>
      </c>
      <c r="AH10" s="68">
        <v>0</v>
      </c>
      <c r="AI10" s="68">
        <v>1</v>
      </c>
      <c r="AJ10" s="69">
        <v>294.93511480490366</v>
      </c>
      <c r="AK10" s="69">
        <v>482.32241249084473</v>
      </c>
      <c r="AL10" s="69">
        <v>896.68810768127446</v>
      </c>
      <c r="AM10" s="69">
        <v>536.08992004394531</v>
      </c>
      <c r="AN10" s="69">
        <v>1516.4111022949219</v>
      </c>
      <c r="AO10" s="69">
        <v>2100.9507872263589</v>
      </c>
      <c r="AP10" s="69">
        <v>1068.6082688013714</v>
      </c>
      <c r="AQ10" s="69">
        <v>1877.5674705505371</v>
      </c>
      <c r="AR10" s="69">
        <v>296.76797388394675</v>
      </c>
      <c r="AS10" s="69">
        <v>560.46758667627955</v>
      </c>
    </row>
    <row r="11" spans="1:55" x14ac:dyDescent="0.25">
      <c r="A11" s="443">
        <v>44169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251.36388039588897</v>
      </c>
      <c r="J11" s="60">
        <v>502.32216561635386</v>
      </c>
      <c r="K11" s="60">
        <v>27.574064351618333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311.12622166739061</v>
      </c>
      <c r="V11" s="62">
        <v>0</v>
      </c>
      <c r="W11" s="62">
        <v>49.616937398910572</v>
      </c>
      <c r="X11" s="62">
        <v>0</v>
      </c>
      <c r="Y11" s="66">
        <v>181.7419880708058</v>
      </c>
      <c r="Z11" s="66">
        <v>0</v>
      </c>
      <c r="AA11" s="67">
        <v>0</v>
      </c>
      <c r="AB11" s="68">
        <v>45.144709102312618</v>
      </c>
      <c r="AC11" s="69">
        <v>0</v>
      </c>
      <c r="AD11" s="406">
        <v>12.351848775671456</v>
      </c>
      <c r="AE11" s="406">
        <v>0</v>
      </c>
      <c r="AF11" s="69">
        <v>11.896677441067153</v>
      </c>
      <c r="AG11" s="68">
        <v>11.745277828889009</v>
      </c>
      <c r="AH11" s="68">
        <v>0</v>
      </c>
      <c r="AI11" s="68">
        <v>1</v>
      </c>
      <c r="AJ11" s="69">
        <v>264.24534427324926</v>
      </c>
      <c r="AK11" s="69">
        <v>414.49535918235779</v>
      </c>
      <c r="AL11" s="69">
        <v>1039.0828589121502</v>
      </c>
      <c r="AM11" s="69">
        <v>536.08992004394531</v>
      </c>
      <c r="AN11" s="69">
        <v>1516.4111022949219</v>
      </c>
      <c r="AO11" s="69">
        <v>2033.517072804769</v>
      </c>
      <c r="AP11" s="69">
        <v>1010.7655799865722</v>
      </c>
      <c r="AQ11" s="69">
        <v>1897.3310100555423</v>
      </c>
      <c r="AR11" s="69">
        <v>262.44891655445099</v>
      </c>
      <c r="AS11" s="69">
        <v>597.14248088200895</v>
      </c>
    </row>
    <row r="12" spans="1:55" x14ac:dyDescent="0.25">
      <c r="A12" s="443">
        <v>44170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176.04211064179759</v>
      </c>
      <c r="J12" s="60">
        <v>502.96094840367692</v>
      </c>
      <c r="K12" s="60">
        <v>27.631435381372775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309.6889837264992</v>
      </c>
      <c r="V12" s="62">
        <v>0</v>
      </c>
      <c r="W12" s="62">
        <v>49.800765899817186</v>
      </c>
      <c r="X12" s="62">
        <v>0</v>
      </c>
      <c r="Y12" s="66">
        <v>180.54875915845244</v>
      </c>
      <c r="Z12" s="66">
        <v>0</v>
      </c>
      <c r="AA12" s="67">
        <v>0</v>
      </c>
      <c r="AB12" s="68">
        <v>45.143296933174234</v>
      </c>
      <c r="AC12" s="69">
        <v>0</v>
      </c>
      <c r="AD12" s="406">
        <v>12.367439939667262</v>
      </c>
      <c r="AE12" s="406">
        <v>0</v>
      </c>
      <c r="AF12" s="69">
        <v>11.954983685413978</v>
      </c>
      <c r="AG12" s="68">
        <v>11.796693179451387</v>
      </c>
      <c r="AH12" s="68">
        <v>0</v>
      </c>
      <c r="AI12" s="68">
        <v>1</v>
      </c>
      <c r="AJ12" s="69">
        <v>257.57319661776228</v>
      </c>
      <c r="AK12" s="69">
        <v>397.331482744217</v>
      </c>
      <c r="AL12" s="69">
        <v>1120.7951319376627</v>
      </c>
      <c r="AM12" s="69">
        <v>536.08992004394531</v>
      </c>
      <c r="AN12" s="69">
        <v>1516.4111022949219</v>
      </c>
      <c r="AO12" s="69">
        <v>2007.6095832824701</v>
      </c>
      <c r="AP12" s="69">
        <v>801.80854317347223</v>
      </c>
      <c r="AQ12" s="69">
        <v>1906.1925835927329</v>
      </c>
      <c r="AR12" s="69">
        <v>259.24355201721198</v>
      </c>
      <c r="AS12" s="69">
        <v>550.15631430943802</v>
      </c>
    </row>
    <row r="13" spans="1:55" x14ac:dyDescent="0.25">
      <c r="A13" s="443">
        <v>44171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153.80934439500169</v>
      </c>
      <c r="J13" s="60">
        <v>505.71615358988464</v>
      </c>
      <c r="K13" s="60">
        <v>27.630776703357697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305.78641975191124</v>
      </c>
      <c r="V13" s="62">
        <v>0</v>
      </c>
      <c r="W13" s="62">
        <v>46.786240784327262</v>
      </c>
      <c r="X13" s="62">
        <v>0</v>
      </c>
      <c r="Y13" s="66">
        <v>186.18774104118361</v>
      </c>
      <c r="Z13" s="66">
        <v>0</v>
      </c>
      <c r="AA13" s="67">
        <v>0</v>
      </c>
      <c r="AB13" s="68">
        <v>45.691126902897658</v>
      </c>
      <c r="AC13" s="69">
        <v>0</v>
      </c>
      <c r="AD13" s="406">
        <v>12.435994786992387</v>
      </c>
      <c r="AE13" s="406">
        <v>0</v>
      </c>
      <c r="AF13" s="69">
        <v>11.74349071515932</v>
      </c>
      <c r="AG13" s="68">
        <v>11.59282879574844</v>
      </c>
      <c r="AH13" s="68">
        <v>0</v>
      </c>
      <c r="AI13" s="68">
        <v>1</v>
      </c>
      <c r="AJ13" s="69">
        <v>251.64016676743827</v>
      </c>
      <c r="AK13" s="69">
        <v>384.56891697247823</v>
      </c>
      <c r="AL13" s="69">
        <v>1131.422476641337</v>
      </c>
      <c r="AM13" s="69">
        <v>536.08992004394531</v>
      </c>
      <c r="AN13" s="69">
        <v>1516.4111022949219</v>
      </c>
      <c r="AO13" s="69">
        <v>2011.9968154907222</v>
      </c>
      <c r="AP13" s="69">
        <v>550.32245629628494</v>
      </c>
      <c r="AQ13" s="69">
        <v>1851.0592868804929</v>
      </c>
      <c r="AR13" s="69">
        <v>249.55000790754954</v>
      </c>
      <c r="AS13" s="69">
        <v>522.06546316146853</v>
      </c>
    </row>
    <row r="14" spans="1:55" x14ac:dyDescent="0.25">
      <c r="A14" s="443">
        <v>44172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165.77</v>
      </c>
      <c r="J14" s="60">
        <v>529.80999999999995</v>
      </c>
      <c r="K14" s="60">
        <v>29.06</v>
      </c>
      <c r="L14" s="452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338.47</v>
      </c>
      <c r="V14" s="62">
        <v>0</v>
      </c>
      <c r="W14" s="62">
        <v>51.79</v>
      </c>
      <c r="X14" s="62">
        <v>0</v>
      </c>
      <c r="Y14" s="66">
        <v>215.06</v>
      </c>
      <c r="Z14" s="66">
        <v>0</v>
      </c>
      <c r="AA14" s="67">
        <v>0</v>
      </c>
      <c r="AB14" s="68">
        <v>47.87</v>
      </c>
      <c r="AC14" s="69">
        <v>0</v>
      </c>
      <c r="AD14" s="406">
        <v>13.03</v>
      </c>
      <c r="AE14" s="406">
        <v>0</v>
      </c>
      <c r="AF14" s="69">
        <v>12.67</v>
      </c>
      <c r="AG14" s="68">
        <v>12.45</v>
      </c>
      <c r="AH14" s="68">
        <v>0</v>
      </c>
      <c r="AI14" s="68">
        <v>1</v>
      </c>
      <c r="AJ14" s="69">
        <v>248.66</v>
      </c>
      <c r="AK14" s="69">
        <v>383.92</v>
      </c>
      <c r="AL14" s="69">
        <v>1061.83</v>
      </c>
      <c r="AM14" s="69">
        <v>536.09</v>
      </c>
      <c r="AN14" s="69">
        <v>1516.41</v>
      </c>
      <c r="AO14" s="69">
        <v>2011.67</v>
      </c>
      <c r="AP14" s="69">
        <v>539.25</v>
      </c>
      <c r="AQ14" s="69">
        <v>1880.76</v>
      </c>
      <c r="AR14" s="69">
        <v>256.51</v>
      </c>
      <c r="AS14" s="69">
        <v>568.26</v>
      </c>
      <c r="AT14" s="451"/>
      <c r="AU14" s="451"/>
      <c r="AV14" s="451"/>
      <c r="AW14" s="451"/>
      <c r="AX14" s="451"/>
      <c r="AY14" s="451"/>
      <c r="AZ14" s="451"/>
      <c r="BA14" s="451"/>
      <c r="BB14" s="451"/>
      <c r="BC14" s="451"/>
    </row>
    <row r="15" spans="1:55" x14ac:dyDescent="0.25">
      <c r="A15" s="443">
        <v>44173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191.00504244168576</v>
      </c>
      <c r="J15" s="60">
        <v>584.289244620006</v>
      </c>
      <c r="K15" s="60">
        <v>32.190741620461132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364.54453788333188</v>
      </c>
      <c r="V15" s="62">
        <v>0</v>
      </c>
      <c r="W15" s="62">
        <v>58.435711518923483</v>
      </c>
      <c r="X15" s="62">
        <v>0</v>
      </c>
      <c r="Y15" s="66">
        <v>243.75414444605511</v>
      </c>
      <c r="Z15" s="66">
        <v>0</v>
      </c>
      <c r="AA15" s="67">
        <v>0</v>
      </c>
      <c r="AB15" s="68">
        <v>52.528856341044069</v>
      </c>
      <c r="AC15" s="69">
        <v>0</v>
      </c>
      <c r="AD15" s="406">
        <v>14.365101488354247</v>
      </c>
      <c r="AE15" s="406">
        <v>0</v>
      </c>
      <c r="AF15" s="69">
        <v>14.244417268037836</v>
      </c>
      <c r="AG15" s="68">
        <v>14.000080549310244</v>
      </c>
      <c r="AH15" s="68">
        <v>0</v>
      </c>
      <c r="AI15" s="68">
        <v>1</v>
      </c>
      <c r="AJ15" s="69">
        <v>246.15583178202317</v>
      </c>
      <c r="AK15" s="69">
        <v>376.44223348299664</v>
      </c>
      <c r="AL15" s="69">
        <v>1091.6666631062826</v>
      </c>
      <c r="AM15" s="69">
        <v>536.08992004394531</v>
      </c>
      <c r="AN15" s="69">
        <v>1516.4111022949219</v>
      </c>
      <c r="AO15" s="69">
        <v>2003.4167897542316</v>
      </c>
      <c r="AP15" s="69">
        <v>535.08771781921394</v>
      </c>
      <c r="AQ15" s="69">
        <v>2009.2925863901771</v>
      </c>
      <c r="AR15" s="69">
        <v>266.32192085584001</v>
      </c>
      <c r="AS15" s="69">
        <v>611.59272015889485</v>
      </c>
    </row>
    <row r="16" spans="1:55" x14ac:dyDescent="0.25">
      <c r="A16" s="443">
        <v>44174</v>
      </c>
      <c r="B16" s="49"/>
      <c r="C16" s="50">
        <v>0</v>
      </c>
      <c r="D16" s="50">
        <v>0</v>
      </c>
      <c r="E16" s="60">
        <v>0</v>
      </c>
      <c r="F16" s="50">
        <v>0</v>
      </c>
      <c r="G16" s="50">
        <v>0</v>
      </c>
      <c r="H16" s="51">
        <v>0</v>
      </c>
      <c r="I16" s="49">
        <v>204.57281879584036</v>
      </c>
      <c r="J16" s="50">
        <v>584.69931802749613</v>
      </c>
      <c r="K16" s="50">
        <v>32.041871909300511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361.98551620907222</v>
      </c>
      <c r="V16" s="66">
        <v>0</v>
      </c>
      <c r="W16" s="62">
        <v>58.377345037460302</v>
      </c>
      <c r="X16" s="62">
        <v>0</v>
      </c>
      <c r="Y16" s="66">
        <v>241.27718513011942</v>
      </c>
      <c r="Z16" s="66">
        <v>0</v>
      </c>
      <c r="AA16" s="67">
        <v>0</v>
      </c>
      <c r="AB16" s="68">
        <v>52.406259973843255</v>
      </c>
      <c r="AC16" s="69">
        <v>0</v>
      </c>
      <c r="AD16" s="406">
        <v>14.377826925465254</v>
      </c>
      <c r="AE16" s="406">
        <v>0</v>
      </c>
      <c r="AF16" s="69">
        <v>14.125890118545941</v>
      </c>
      <c r="AG16" s="68">
        <v>13.882306516831319</v>
      </c>
      <c r="AH16" s="68">
        <v>0</v>
      </c>
      <c r="AI16" s="68">
        <v>1</v>
      </c>
      <c r="AJ16" s="69">
        <v>242.25789257685346</v>
      </c>
      <c r="AK16" s="69">
        <v>369.81331594785053</v>
      </c>
      <c r="AL16" s="69">
        <v>1051.3571783065795</v>
      </c>
      <c r="AM16" s="69">
        <v>536.08992004394531</v>
      </c>
      <c r="AN16" s="69">
        <v>1516.4111022949219</v>
      </c>
      <c r="AO16" s="69">
        <v>2072.5195864359539</v>
      </c>
      <c r="AP16" s="69">
        <v>528.47853264808657</v>
      </c>
      <c r="AQ16" s="69">
        <v>1992.9585966110228</v>
      </c>
      <c r="AR16" s="69">
        <v>270.66794945398965</v>
      </c>
      <c r="AS16" s="69">
        <v>636.30174814860027</v>
      </c>
    </row>
    <row r="17" spans="1:55" x14ac:dyDescent="0.25">
      <c r="A17" s="443">
        <v>44175</v>
      </c>
      <c r="B17" s="59"/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1">
        <v>0</v>
      </c>
      <c r="I17" s="59">
        <v>202.93846970796608</v>
      </c>
      <c r="J17" s="60">
        <v>584.58408826192192</v>
      </c>
      <c r="K17" s="60">
        <v>31.991254655520159</v>
      </c>
      <c r="L17" s="5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361.52722725338697</v>
      </c>
      <c r="V17" s="62">
        <v>0</v>
      </c>
      <c r="W17" s="62">
        <v>59.364965804417999</v>
      </c>
      <c r="X17" s="62">
        <v>0</v>
      </c>
      <c r="Y17" s="66">
        <v>242.59425253868082</v>
      </c>
      <c r="Z17" s="66">
        <v>0</v>
      </c>
      <c r="AA17" s="67">
        <v>0</v>
      </c>
      <c r="AB17" s="68">
        <v>55.322033421198086</v>
      </c>
      <c r="AC17" s="69">
        <v>0</v>
      </c>
      <c r="AD17" s="406">
        <v>14.376295903290798</v>
      </c>
      <c r="AE17" s="406">
        <v>0</v>
      </c>
      <c r="AF17" s="69">
        <v>14.249694777197325</v>
      </c>
      <c r="AG17" s="68">
        <v>13.999510905902094</v>
      </c>
      <c r="AH17" s="68">
        <v>0</v>
      </c>
      <c r="AI17" s="68">
        <v>1</v>
      </c>
      <c r="AJ17" s="69">
        <v>257.82910317579899</v>
      </c>
      <c r="AK17" s="69">
        <v>394.54887790679931</v>
      </c>
      <c r="AL17" s="69">
        <v>1007.3800004959106</v>
      </c>
      <c r="AM17" s="69">
        <v>484.95758660634357</v>
      </c>
      <c r="AN17" s="69">
        <v>1516.4111022949219</v>
      </c>
      <c r="AO17" s="69">
        <v>2103.2226708730063</v>
      </c>
      <c r="AP17" s="69">
        <v>566.99598735173538</v>
      </c>
      <c r="AQ17" s="69">
        <v>2004.8450834910072</v>
      </c>
      <c r="AR17" s="69">
        <v>296.10807309150692</v>
      </c>
      <c r="AS17" s="69">
        <v>558.46860459645598</v>
      </c>
    </row>
    <row r="18" spans="1:55" x14ac:dyDescent="0.25">
      <c r="A18" s="443">
        <v>44176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204.33</v>
      </c>
      <c r="J18" s="60">
        <v>584.85</v>
      </c>
      <c r="K18" s="60">
        <v>31.9</v>
      </c>
      <c r="L18" s="452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343.57</v>
      </c>
      <c r="V18" s="62">
        <v>0</v>
      </c>
      <c r="W18" s="62">
        <v>56.71</v>
      </c>
      <c r="X18" s="62">
        <v>0</v>
      </c>
      <c r="Y18" s="66">
        <v>233.99</v>
      </c>
      <c r="Z18" s="66">
        <v>0</v>
      </c>
      <c r="AA18" s="67">
        <v>0</v>
      </c>
      <c r="AB18" s="68">
        <v>59.08</v>
      </c>
      <c r="AC18" s="69">
        <v>0</v>
      </c>
      <c r="AD18" s="406">
        <v>14.39</v>
      </c>
      <c r="AE18" s="406">
        <v>0</v>
      </c>
      <c r="AF18" s="69">
        <v>13.71</v>
      </c>
      <c r="AG18" s="68">
        <v>13.45</v>
      </c>
      <c r="AH18" s="68">
        <v>0</v>
      </c>
      <c r="AI18" s="68">
        <v>1</v>
      </c>
      <c r="AJ18" s="69">
        <v>285.27</v>
      </c>
      <c r="AK18" s="69">
        <v>461.28</v>
      </c>
      <c r="AL18" s="69">
        <v>974.54</v>
      </c>
      <c r="AM18" s="69">
        <v>420.68</v>
      </c>
      <c r="AN18" s="69">
        <v>1516.41</v>
      </c>
      <c r="AO18" s="69">
        <v>2117.0300000000002</v>
      </c>
      <c r="AP18" s="69">
        <v>627.29999999999995</v>
      </c>
      <c r="AQ18" s="69">
        <v>2007.54</v>
      </c>
      <c r="AR18" s="69">
        <v>303.13</v>
      </c>
      <c r="AS18" s="69">
        <v>549.03</v>
      </c>
      <c r="AT18" s="451"/>
      <c r="AU18" s="451"/>
      <c r="AV18" s="451"/>
      <c r="AW18" s="451"/>
      <c r="AX18" s="451"/>
      <c r="AY18" s="451"/>
      <c r="AZ18" s="451"/>
      <c r="BA18" s="451"/>
      <c r="BB18" s="451"/>
      <c r="BC18" s="451"/>
    </row>
    <row r="19" spans="1:55" x14ac:dyDescent="0.25">
      <c r="A19" s="443">
        <v>44177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204.33</v>
      </c>
      <c r="J19" s="60">
        <v>584.70000000000005</v>
      </c>
      <c r="K19" s="60">
        <v>31.88</v>
      </c>
      <c r="L19" s="452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349.15</v>
      </c>
      <c r="V19" s="62">
        <v>0</v>
      </c>
      <c r="W19" s="62">
        <v>58.3</v>
      </c>
      <c r="X19" s="62">
        <v>0</v>
      </c>
      <c r="Y19" s="66">
        <v>240.31</v>
      </c>
      <c r="Z19" s="66">
        <v>0</v>
      </c>
      <c r="AA19" s="67">
        <v>0</v>
      </c>
      <c r="AB19" s="68">
        <v>58.42</v>
      </c>
      <c r="AC19" s="69">
        <v>0</v>
      </c>
      <c r="AD19" s="406">
        <v>14.38</v>
      </c>
      <c r="AE19" s="406">
        <v>0</v>
      </c>
      <c r="AF19" s="69">
        <v>14.12</v>
      </c>
      <c r="AG19" s="68">
        <v>13.88</v>
      </c>
      <c r="AH19" s="68">
        <v>0</v>
      </c>
      <c r="AI19" s="68">
        <v>1</v>
      </c>
      <c r="AJ19" s="69">
        <v>301.24</v>
      </c>
      <c r="AK19" s="69">
        <v>507.38</v>
      </c>
      <c r="AL19" s="69">
        <v>873.96</v>
      </c>
      <c r="AM19" s="69">
        <v>515.5</v>
      </c>
      <c r="AN19" s="69">
        <v>1516.41</v>
      </c>
      <c r="AO19" s="69">
        <v>2039.5</v>
      </c>
      <c r="AP19" s="69">
        <v>1086.9100000000001</v>
      </c>
      <c r="AQ19" s="69">
        <v>1997.74</v>
      </c>
      <c r="AR19" s="69">
        <v>312.8</v>
      </c>
      <c r="AS19" s="69">
        <v>553.78</v>
      </c>
      <c r="AT19" s="451"/>
      <c r="AU19" s="451"/>
      <c r="AV19" s="451"/>
      <c r="AW19" s="451"/>
      <c r="AX19" s="451"/>
      <c r="AY19" s="451"/>
      <c r="AZ19" s="451"/>
      <c r="BA19" s="451"/>
      <c r="BB19" s="451"/>
      <c r="BC19" s="451"/>
    </row>
    <row r="20" spans="1:55" x14ac:dyDescent="0.25">
      <c r="A20" s="443">
        <v>44178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204.27142713864654</v>
      </c>
      <c r="J20" s="60">
        <v>584.56996091206804</v>
      </c>
      <c r="K20" s="60">
        <v>31.791975136597987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348.907034386531</v>
      </c>
      <c r="V20" s="62">
        <v>0</v>
      </c>
      <c r="W20" s="62">
        <v>58.4380857666333</v>
      </c>
      <c r="X20" s="62">
        <v>0</v>
      </c>
      <c r="Y20" s="66">
        <v>235.34315065542876</v>
      </c>
      <c r="Z20" s="66">
        <v>0</v>
      </c>
      <c r="AA20" s="67">
        <v>0</v>
      </c>
      <c r="AB20" s="68">
        <v>58.755296815766613</v>
      </c>
      <c r="AC20" s="69">
        <v>0</v>
      </c>
      <c r="AD20" s="406">
        <v>14.378379356984441</v>
      </c>
      <c r="AE20" s="406">
        <v>0</v>
      </c>
      <c r="AF20" s="69">
        <v>14.115120905637733</v>
      </c>
      <c r="AG20" s="68">
        <v>13.863452015968205</v>
      </c>
      <c r="AH20" s="68">
        <v>0</v>
      </c>
      <c r="AI20" s="68">
        <v>1</v>
      </c>
      <c r="AJ20" s="69">
        <v>298.33460834026334</v>
      </c>
      <c r="AK20" s="69">
        <v>500.11732061704009</v>
      </c>
      <c r="AL20" s="69">
        <v>952.03111839294434</v>
      </c>
      <c r="AM20" s="69">
        <v>377.65910339355469</v>
      </c>
      <c r="AN20" s="69">
        <v>1516.4111022949219</v>
      </c>
      <c r="AO20" s="69">
        <v>2050.9299840291346</v>
      </c>
      <c r="AP20" s="69">
        <v>1109.0457597096763</v>
      </c>
      <c r="AQ20" s="69">
        <v>2045.3917963663737</v>
      </c>
      <c r="AR20" s="69">
        <v>308.54163533846537</v>
      </c>
      <c r="AS20" s="69">
        <v>533.99762223561606</v>
      </c>
    </row>
    <row r="21" spans="1:55" x14ac:dyDescent="0.25">
      <c r="A21" s="443">
        <v>44179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204.37728559176185</v>
      </c>
      <c r="J21" s="60">
        <v>584.56349779764787</v>
      </c>
      <c r="K21" s="60">
        <v>31.794420321782415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341.13026575512384</v>
      </c>
      <c r="V21" s="62">
        <v>0</v>
      </c>
      <c r="W21" s="62">
        <v>56.506850953896965</v>
      </c>
      <c r="X21" s="62">
        <v>0</v>
      </c>
      <c r="Y21" s="66">
        <v>230.94953601360385</v>
      </c>
      <c r="Z21" s="66">
        <v>0</v>
      </c>
      <c r="AA21" s="67">
        <v>0</v>
      </c>
      <c r="AB21" s="68">
        <v>59.080508563253034</v>
      </c>
      <c r="AC21" s="69">
        <v>0</v>
      </c>
      <c r="AD21" s="406">
        <v>14.37830594512555</v>
      </c>
      <c r="AE21" s="406">
        <v>0</v>
      </c>
      <c r="AF21" s="69">
        <v>13.78431271016596</v>
      </c>
      <c r="AG21" s="68">
        <v>13.547522059205122</v>
      </c>
      <c r="AH21" s="68">
        <v>0</v>
      </c>
      <c r="AI21" s="68">
        <v>1</v>
      </c>
      <c r="AJ21" s="69">
        <v>296.48506011962894</v>
      </c>
      <c r="AK21" s="69">
        <v>495.39653835296622</v>
      </c>
      <c r="AL21" s="69">
        <v>902.80433197021489</v>
      </c>
      <c r="AM21" s="69">
        <v>377.65910339355469</v>
      </c>
      <c r="AN21" s="69">
        <v>1516.4111022949219</v>
      </c>
      <c r="AO21" s="69">
        <v>2067.2327227274577</v>
      </c>
      <c r="AP21" s="69">
        <v>1116.636008834839</v>
      </c>
      <c r="AQ21" s="69">
        <v>2049.8532944361368</v>
      </c>
      <c r="AR21" s="69">
        <v>305.50866312185929</v>
      </c>
      <c r="AS21" s="69">
        <v>571.23432652155554</v>
      </c>
    </row>
    <row r="22" spans="1:55" x14ac:dyDescent="0.25">
      <c r="A22" s="443">
        <v>44180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204.03848079840387</v>
      </c>
      <c r="J22" s="60">
        <v>582.19876238505049</v>
      </c>
      <c r="K22" s="60">
        <v>31.743469365437821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341.28456590440055</v>
      </c>
      <c r="V22" s="62">
        <v>0</v>
      </c>
      <c r="W22" s="62">
        <v>54.421873537699327</v>
      </c>
      <c r="X22" s="62">
        <v>0</v>
      </c>
      <c r="Y22" s="66">
        <v>232.72727374235774</v>
      </c>
      <c r="Z22" s="66">
        <v>0</v>
      </c>
      <c r="AA22" s="67">
        <v>0</v>
      </c>
      <c r="AB22" s="68">
        <v>58.963861584663341</v>
      </c>
      <c r="AC22" s="69">
        <v>0</v>
      </c>
      <c r="AD22" s="406">
        <v>14.323135421111138</v>
      </c>
      <c r="AE22" s="406">
        <v>0</v>
      </c>
      <c r="AF22" s="69">
        <v>13.745706464184655</v>
      </c>
      <c r="AG22" s="68">
        <v>13.552363775118481</v>
      </c>
      <c r="AH22" s="68">
        <v>0</v>
      </c>
      <c r="AI22" s="68">
        <v>1</v>
      </c>
      <c r="AJ22" s="69">
        <v>295.00028743743906</v>
      </c>
      <c r="AK22" s="69">
        <v>494.56139171918221</v>
      </c>
      <c r="AL22" s="69">
        <v>870.96224441528318</v>
      </c>
      <c r="AM22" s="69">
        <v>378.60578893025718</v>
      </c>
      <c r="AN22" s="69">
        <v>1516.4111022949219</v>
      </c>
      <c r="AO22" s="69">
        <v>2056.4528738657632</v>
      </c>
      <c r="AP22" s="69">
        <v>1124.4299441655478</v>
      </c>
      <c r="AQ22" s="69">
        <v>2036.3431732813519</v>
      </c>
      <c r="AR22" s="69">
        <v>312.13529691696169</v>
      </c>
      <c r="AS22" s="69">
        <v>559.74377393722534</v>
      </c>
    </row>
    <row r="23" spans="1:55" x14ac:dyDescent="0.25">
      <c r="A23" s="443">
        <v>44181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203.75506658554102</v>
      </c>
      <c r="J23" s="60">
        <v>580.65820051829064</v>
      </c>
      <c r="K23" s="60">
        <v>31.778669528166422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361.86509560478737</v>
      </c>
      <c r="V23" s="62">
        <v>0</v>
      </c>
      <c r="W23" s="62">
        <v>58.717821176846854</v>
      </c>
      <c r="X23" s="62">
        <v>0</v>
      </c>
      <c r="Y23" s="66">
        <v>234.396709362666</v>
      </c>
      <c r="Z23" s="66">
        <v>0</v>
      </c>
      <c r="AA23" s="67">
        <v>0</v>
      </c>
      <c r="AB23" s="68">
        <v>58.430911906559594</v>
      </c>
      <c r="AC23" s="69">
        <v>0</v>
      </c>
      <c r="AD23" s="406">
        <v>14.283211761248406</v>
      </c>
      <c r="AE23" s="406">
        <v>0</v>
      </c>
      <c r="AF23" s="69">
        <v>14.147152354982156</v>
      </c>
      <c r="AG23" s="68">
        <v>14.000789246326004</v>
      </c>
      <c r="AH23" s="68">
        <v>0</v>
      </c>
      <c r="AI23" s="68">
        <v>1</v>
      </c>
      <c r="AJ23" s="69">
        <v>287.45484775702153</v>
      </c>
      <c r="AK23" s="69">
        <v>476.80801873207088</v>
      </c>
      <c r="AL23" s="69">
        <v>881.16630080540972</v>
      </c>
      <c r="AM23" s="69">
        <v>367.65545654296875</v>
      </c>
      <c r="AN23" s="69">
        <v>1516.4111022949219</v>
      </c>
      <c r="AO23" s="69">
        <v>2037.5643903096513</v>
      </c>
      <c r="AP23" s="69">
        <v>1100.693574968974</v>
      </c>
      <c r="AQ23" s="69">
        <v>2033.0976772308352</v>
      </c>
      <c r="AR23" s="69">
        <v>295.93301390012101</v>
      </c>
      <c r="AS23" s="69">
        <v>592.53197561899822</v>
      </c>
    </row>
    <row r="24" spans="1:55" x14ac:dyDescent="0.25">
      <c r="A24" s="443">
        <v>44182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203.39811436335245</v>
      </c>
      <c r="J24" s="60">
        <v>580.50474319457953</v>
      </c>
      <c r="K24" s="60">
        <v>31.792392303546247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359.26127081976756</v>
      </c>
      <c r="V24" s="62">
        <v>0</v>
      </c>
      <c r="W24" s="62">
        <v>58.216645701726399</v>
      </c>
      <c r="X24" s="62">
        <v>0</v>
      </c>
      <c r="Y24" s="66">
        <v>230.79121470451366</v>
      </c>
      <c r="Z24" s="66">
        <v>0</v>
      </c>
      <c r="AA24" s="67">
        <v>0</v>
      </c>
      <c r="AB24" s="68">
        <v>58.433215032683215</v>
      </c>
      <c r="AC24" s="69">
        <v>0</v>
      </c>
      <c r="AD24" s="406">
        <v>14.275868709777395</v>
      </c>
      <c r="AE24" s="406">
        <v>0</v>
      </c>
      <c r="AF24" s="69">
        <v>14.14564898411432</v>
      </c>
      <c r="AG24" s="68">
        <v>13.999202788947926</v>
      </c>
      <c r="AH24" s="68">
        <v>0</v>
      </c>
      <c r="AI24" s="68">
        <v>1</v>
      </c>
      <c r="AJ24" s="69">
        <v>275.18654029369361</v>
      </c>
      <c r="AK24" s="69">
        <v>451.62477037111921</v>
      </c>
      <c r="AL24" s="69">
        <v>903.20913734436044</v>
      </c>
      <c r="AM24" s="69">
        <v>367.65545654296875</v>
      </c>
      <c r="AN24" s="69">
        <v>1516.4111022949219</v>
      </c>
      <c r="AO24" s="69">
        <v>2011.4755963643393</v>
      </c>
      <c r="AP24" s="69">
        <v>985.62471640904732</v>
      </c>
      <c r="AQ24" s="69">
        <v>2048.2635573069256</v>
      </c>
      <c r="AR24" s="69">
        <v>283.95072288513182</v>
      </c>
      <c r="AS24" s="69">
        <v>577.56487080256136</v>
      </c>
    </row>
    <row r="25" spans="1:55" x14ac:dyDescent="0.25">
      <c r="A25" s="443">
        <v>44183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203.5751992781959</v>
      </c>
      <c r="J25" s="60">
        <v>580.59878559112485</v>
      </c>
      <c r="K25" s="60">
        <v>31.853821404774955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357.01340259976303</v>
      </c>
      <c r="V25" s="62">
        <v>0</v>
      </c>
      <c r="W25" s="62">
        <v>58.562674824396716</v>
      </c>
      <c r="X25" s="62">
        <v>0</v>
      </c>
      <c r="Y25" s="66">
        <v>230.09338056246423</v>
      </c>
      <c r="Z25" s="66">
        <v>0</v>
      </c>
      <c r="AA25" s="67">
        <v>0</v>
      </c>
      <c r="AB25" s="68">
        <v>58.428794225056585</v>
      </c>
      <c r="AC25" s="69">
        <v>0</v>
      </c>
      <c r="AD25" s="406">
        <v>14.285035441526157</v>
      </c>
      <c r="AE25" s="406">
        <v>0</v>
      </c>
      <c r="AF25" s="69">
        <v>14.146472973293744</v>
      </c>
      <c r="AG25" s="68">
        <v>13.998679515835398</v>
      </c>
      <c r="AH25" s="68">
        <v>0</v>
      </c>
      <c r="AI25" s="68">
        <v>1</v>
      </c>
      <c r="AJ25" s="69">
        <v>277.39916968345648</v>
      </c>
      <c r="AK25" s="69">
        <v>451.7873725573221</v>
      </c>
      <c r="AL25" s="69">
        <v>1000.1345207850138</v>
      </c>
      <c r="AM25" s="69">
        <v>367.65545654296875</v>
      </c>
      <c r="AN25" s="69">
        <v>1516.4111022949219</v>
      </c>
      <c r="AO25" s="69">
        <v>2007.391163253784</v>
      </c>
      <c r="AP25" s="69">
        <v>652.05759264628091</v>
      </c>
      <c r="AQ25" s="69">
        <v>2044.1956535339359</v>
      </c>
      <c r="AR25" s="69">
        <v>285.15805428822836</v>
      </c>
      <c r="AS25" s="69">
        <v>582.00217641194661</v>
      </c>
    </row>
    <row r="26" spans="1:55" x14ac:dyDescent="0.25">
      <c r="A26" s="443">
        <v>44184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203.31263022422803</v>
      </c>
      <c r="J26" s="60">
        <v>580.68221251169859</v>
      </c>
      <c r="K26" s="60">
        <v>31.717534875869767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346.06890263027333</v>
      </c>
      <c r="V26" s="62">
        <v>0</v>
      </c>
      <c r="W26" s="62">
        <v>57.256303131580417</v>
      </c>
      <c r="X26" s="62">
        <v>0</v>
      </c>
      <c r="Y26" s="62">
        <v>228.44921073118829</v>
      </c>
      <c r="Z26" s="62">
        <v>0</v>
      </c>
      <c r="AA26" s="72">
        <v>0</v>
      </c>
      <c r="AB26" s="69">
        <v>58.252136066224892</v>
      </c>
      <c r="AC26" s="69">
        <v>0</v>
      </c>
      <c r="AD26" s="406">
        <v>14.28131221553627</v>
      </c>
      <c r="AE26" s="406">
        <v>0</v>
      </c>
      <c r="AF26" s="69">
        <v>13.900693207316955</v>
      </c>
      <c r="AG26" s="69">
        <v>13.781573265303289</v>
      </c>
      <c r="AH26" s="69">
        <v>0</v>
      </c>
      <c r="AI26" s="69">
        <v>1</v>
      </c>
      <c r="AJ26" s="69">
        <v>287.16539884408314</v>
      </c>
      <c r="AK26" s="69">
        <v>465.58648705482489</v>
      </c>
      <c r="AL26" s="69">
        <v>980.28671271006272</v>
      </c>
      <c r="AM26" s="69">
        <v>367.65545654296875</v>
      </c>
      <c r="AN26" s="69">
        <v>1516.4111022949219</v>
      </c>
      <c r="AO26" s="69">
        <v>2008.6887645721436</v>
      </c>
      <c r="AP26" s="69">
        <v>754.24612390200309</v>
      </c>
      <c r="AQ26" s="69">
        <v>2083.2732014973953</v>
      </c>
      <c r="AR26" s="69">
        <v>288.85892600218455</v>
      </c>
      <c r="AS26" s="69">
        <v>612.99674142201752</v>
      </c>
    </row>
    <row r="27" spans="1:55" x14ac:dyDescent="0.25">
      <c r="A27" s="443">
        <v>44185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204.12160823345209</v>
      </c>
      <c r="J27" s="60">
        <v>581.21355514526397</v>
      </c>
      <c r="K27" s="60">
        <v>31.802752985556925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338.26340657339853</v>
      </c>
      <c r="V27" s="62">
        <v>0</v>
      </c>
      <c r="W27" s="62">
        <v>55.01259239117298</v>
      </c>
      <c r="X27" s="62">
        <v>0</v>
      </c>
      <c r="Y27" s="66">
        <v>226.65187900066385</v>
      </c>
      <c r="Z27" s="66">
        <v>0</v>
      </c>
      <c r="AA27" s="67">
        <v>0</v>
      </c>
      <c r="AB27" s="68">
        <v>58.424276632732266</v>
      </c>
      <c r="AC27" s="69">
        <v>0</v>
      </c>
      <c r="AD27" s="406">
        <v>14.295261771557325</v>
      </c>
      <c r="AE27" s="406">
        <v>0</v>
      </c>
      <c r="AF27" s="69">
        <v>13.593736098872295</v>
      </c>
      <c r="AG27" s="68">
        <v>13.411280422990927</v>
      </c>
      <c r="AH27" s="68">
        <v>0</v>
      </c>
      <c r="AI27" s="68">
        <v>1</v>
      </c>
      <c r="AJ27" s="69">
        <v>277.78620297114048</v>
      </c>
      <c r="AK27" s="69">
        <v>448.08348291714975</v>
      </c>
      <c r="AL27" s="69">
        <v>1083.619449043274</v>
      </c>
      <c r="AM27" s="69">
        <v>367.65545654296875</v>
      </c>
      <c r="AN27" s="69">
        <v>1516.4111022949219</v>
      </c>
      <c r="AO27" s="69">
        <v>2017.1242593129475</v>
      </c>
      <c r="AP27" s="69">
        <v>622.98717702229817</v>
      </c>
      <c r="AQ27" s="69">
        <v>2140.461208089193</v>
      </c>
      <c r="AR27" s="69">
        <v>277.8396948178609</v>
      </c>
      <c r="AS27" s="69">
        <v>535.45598538716627</v>
      </c>
    </row>
    <row r="28" spans="1:55" x14ac:dyDescent="0.25">
      <c r="A28" s="443">
        <v>44186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203.95098702907603</v>
      </c>
      <c r="J28" s="60">
        <v>581.9917126337682</v>
      </c>
      <c r="K28" s="60">
        <v>31.919026360909175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338.15900089476031</v>
      </c>
      <c r="V28" s="62">
        <v>0</v>
      </c>
      <c r="W28" s="62">
        <v>55.270768336455035</v>
      </c>
      <c r="X28" s="62">
        <v>0</v>
      </c>
      <c r="Y28" s="66">
        <v>226.94866187572487</v>
      </c>
      <c r="Z28" s="66">
        <v>0</v>
      </c>
      <c r="AA28" s="67">
        <v>0</v>
      </c>
      <c r="AB28" s="68">
        <v>58.662851015726844</v>
      </c>
      <c r="AC28" s="69">
        <v>0</v>
      </c>
      <c r="AD28" s="406">
        <v>14.31398712165117</v>
      </c>
      <c r="AE28" s="406">
        <v>0</v>
      </c>
      <c r="AF28" s="69">
        <v>13.550122878948828</v>
      </c>
      <c r="AG28" s="68">
        <v>13.39591698229302</v>
      </c>
      <c r="AH28" s="68">
        <v>0</v>
      </c>
      <c r="AI28" s="68">
        <v>1</v>
      </c>
      <c r="AJ28" s="69">
        <v>260.7625341892242</v>
      </c>
      <c r="AK28" s="69">
        <v>399.39896206855775</v>
      </c>
      <c r="AL28" s="69">
        <v>1041.6061234792073</v>
      </c>
      <c r="AM28" s="69">
        <v>367.65545654296875</v>
      </c>
      <c r="AN28" s="69">
        <v>1516.4111022949219</v>
      </c>
      <c r="AO28" s="69">
        <v>1999.678992462158</v>
      </c>
      <c r="AP28" s="69">
        <v>589.06593038241067</v>
      </c>
      <c r="AQ28" s="69">
        <v>2138.2527382532762</v>
      </c>
      <c r="AR28" s="69">
        <v>239.90128041108454</v>
      </c>
      <c r="AS28" s="69">
        <v>594.13437150319419</v>
      </c>
    </row>
    <row r="29" spans="1:55" x14ac:dyDescent="0.25">
      <c r="A29" s="443">
        <v>44187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203.13434693018647</v>
      </c>
      <c r="J29" s="60">
        <v>581.28564030329301</v>
      </c>
      <c r="K29" s="60">
        <v>31.954510136445393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353.98592539893434</v>
      </c>
      <c r="V29" s="62">
        <v>0</v>
      </c>
      <c r="W29" s="62">
        <v>58.714707771937064</v>
      </c>
      <c r="X29" s="62">
        <v>0</v>
      </c>
      <c r="Y29" s="66">
        <v>233.0563044230143</v>
      </c>
      <c r="Z29" s="66">
        <v>0</v>
      </c>
      <c r="AA29" s="67">
        <v>0</v>
      </c>
      <c r="AB29" s="68">
        <v>58.526831801732115</v>
      </c>
      <c r="AC29" s="69">
        <v>0</v>
      </c>
      <c r="AD29" s="406">
        <v>14.300489851212667</v>
      </c>
      <c r="AE29" s="406">
        <v>0</v>
      </c>
      <c r="AF29" s="69">
        <v>14.155801841285497</v>
      </c>
      <c r="AG29" s="68">
        <v>14.001260352786762</v>
      </c>
      <c r="AH29" s="68">
        <v>0</v>
      </c>
      <c r="AI29" s="68">
        <v>1</v>
      </c>
      <c r="AJ29" s="69">
        <v>255.47143686612452</v>
      </c>
      <c r="AK29" s="69">
        <v>388.52497380574545</v>
      </c>
      <c r="AL29" s="69">
        <v>1039.4340801874796</v>
      </c>
      <c r="AM29" s="69">
        <v>367.65545654296875</v>
      </c>
      <c r="AN29" s="69">
        <v>1516.4111022949219</v>
      </c>
      <c r="AO29" s="69">
        <v>1947.7010482788087</v>
      </c>
      <c r="AP29" s="69">
        <v>572.61522227923081</v>
      </c>
      <c r="AQ29" s="69">
        <v>2137.5018995920818</v>
      </c>
      <c r="AR29" s="69">
        <v>246.35300571918489</v>
      </c>
      <c r="AS29" s="69">
        <v>600.23038012186692</v>
      </c>
    </row>
    <row r="30" spans="1:55" x14ac:dyDescent="0.25">
      <c r="A30" s="443">
        <v>44188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214.51760031382247</v>
      </c>
      <c r="J30" s="60">
        <v>620.8900299072269</v>
      </c>
      <c r="K30" s="60">
        <v>33.707026863098179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347.82459040747841</v>
      </c>
      <c r="V30" s="62">
        <v>0</v>
      </c>
      <c r="W30" s="62">
        <v>58.909663065274529</v>
      </c>
      <c r="X30" s="62">
        <v>0</v>
      </c>
      <c r="Y30" s="66">
        <v>223.46900475819896</v>
      </c>
      <c r="Z30" s="66">
        <v>0</v>
      </c>
      <c r="AA30" s="67">
        <v>0</v>
      </c>
      <c r="AB30" s="68">
        <v>58.414260639085263</v>
      </c>
      <c r="AC30" s="69">
        <v>0</v>
      </c>
      <c r="AD30" s="406">
        <v>14.288270114615919</v>
      </c>
      <c r="AE30" s="406">
        <v>0</v>
      </c>
      <c r="AF30" s="69">
        <v>14.02205691138904</v>
      </c>
      <c r="AG30" s="68">
        <v>13.86826549229156</v>
      </c>
      <c r="AH30" s="68">
        <v>0</v>
      </c>
      <c r="AI30" s="68">
        <v>1</v>
      </c>
      <c r="AJ30" s="69">
        <v>308.84153408209482</v>
      </c>
      <c r="AK30" s="69">
        <v>508.76328226725246</v>
      </c>
      <c r="AL30" s="69">
        <v>879.65122063954664</v>
      </c>
      <c r="AM30" s="69">
        <v>367.65545654296875</v>
      </c>
      <c r="AN30" s="69">
        <v>1516.4111022949219</v>
      </c>
      <c r="AO30" s="69">
        <v>2046.2919326782228</v>
      </c>
      <c r="AP30" s="69">
        <v>667.25575485229501</v>
      </c>
      <c r="AQ30" s="69">
        <v>2109.4390852610272</v>
      </c>
      <c r="AR30" s="69">
        <v>313.02913617293041</v>
      </c>
      <c r="AS30" s="69">
        <v>596.05313580830887</v>
      </c>
    </row>
    <row r="31" spans="1:55" x14ac:dyDescent="0.25">
      <c r="A31" s="443">
        <v>44189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219.42484356562309</v>
      </c>
      <c r="J31" s="60">
        <v>635.11255855560489</v>
      </c>
      <c r="K31" s="60">
        <v>34.548045144478529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337.72310025956591</v>
      </c>
      <c r="V31" s="62">
        <v>0</v>
      </c>
      <c r="W31" s="62">
        <v>55.841750653584768</v>
      </c>
      <c r="X31" s="62">
        <v>0</v>
      </c>
      <c r="Y31" s="66">
        <v>232.93340792655945</v>
      </c>
      <c r="Z31" s="66">
        <v>0</v>
      </c>
      <c r="AA31" s="67">
        <v>0</v>
      </c>
      <c r="AB31" s="68">
        <v>58.668760474522465</v>
      </c>
      <c r="AC31" s="69">
        <v>0</v>
      </c>
      <c r="AD31" s="406">
        <v>14.372067658678791</v>
      </c>
      <c r="AE31" s="406">
        <v>0</v>
      </c>
      <c r="AF31" s="69">
        <v>14.152068547407776</v>
      </c>
      <c r="AG31" s="68">
        <v>13.997900572222232</v>
      </c>
      <c r="AH31" s="68">
        <v>0</v>
      </c>
      <c r="AI31" s="68">
        <v>1</v>
      </c>
      <c r="AJ31" s="69">
        <v>302.70026778380088</v>
      </c>
      <c r="AK31" s="69">
        <v>499.42456078529358</v>
      </c>
      <c r="AL31" s="69">
        <v>977.13008588155105</v>
      </c>
      <c r="AM31" s="69">
        <v>367.65545654296875</v>
      </c>
      <c r="AN31" s="69">
        <v>1516.4111022949219</v>
      </c>
      <c r="AO31" s="69">
        <v>2025.6895656585696</v>
      </c>
      <c r="AP31" s="69">
        <v>687.14944337209079</v>
      </c>
      <c r="AQ31" s="69">
        <v>2123.6563554128006</v>
      </c>
      <c r="AR31" s="69">
        <v>297.53836543560027</v>
      </c>
      <c r="AS31" s="69">
        <v>624.6392648696899</v>
      </c>
    </row>
    <row r="32" spans="1:55" x14ac:dyDescent="0.25">
      <c r="A32" s="443">
        <v>44190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229.18316562970463</v>
      </c>
      <c r="J32" s="60">
        <v>638.12318255106709</v>
      </c>
      <c r="K32" s="60">
        <v>34.709542045990744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352.43888267940741</v>
      </c>
      <c r="V32" s="62">
        <v>0</v>
      </c>
      <c r="W32" s="62">
        <v>55.554030617078134</v>
      </c>
      <c r="X32" s="62">
        <v>0</v>
      </c>
      <c r="Y32" s="66">
        <v>243.3946310440696</v>
      </c>
      <c r="Z32" s="66">
        <v>0</v>
      </c>
      <c r="AA32" s="67">
        <v>0</v>
      </c>
      <c r="AB32" s="68">
        <v>59.505634599260986</v>
      </c>
      <c r="AC32" s="69">
        <v>0</v>
      </c>
      <c r="AD32" s="406">
        <v>14.443238282238989</v>
      </c>
      <c r="AE32" s="406">
        <v>0</v>
      </c>
      <c r="AF32" s="69">
        <v>13.962559492058228</v>
      </c>
      <c r="AG32" s="68">
        <v>13.807238538620261</v>
      </c>
      <c r="AH32" s="68">
        <v>0</v>
      </c>
      <c r="AI32" s="68">
        <v>1</v>
      </c>
      <c r="AJ32" s="69">
        <v>261.17376743157701</v>
      </c>
      <c r="AK32" s="69">
        <v>409.69488302866608</v>
      </c>
      <c r="AL32" s="69">
        <v>1074.5208904266358</v>
      </c>
      <c r="AM32" s="69">
        <v>367.65545654296875</v>
      </c>
      <c r="AN32" s="69">
        <v>1516.4111022949219</v>
      </c>
      <c r="AO32" s="69">
        <v>2017.2150519053141</v>
      </c>
      <c r="AP32" s="69">
        <v>582.93143394788103</v>
      </c>
      <c r="AQ32" s="69">
        <v>2157.328326288859</v>
      </c>
      <c r="AR32" s="69">
        <v>266.34723353385931</v>
      </c>
      <c r="AS32" s="69">
        <v>588.5181574503581</v>
      </c>
    </row>
    <row r="33" spans="1:55" x14ac:dyDescent="0.25">
      <c r="A33" s="443">
        <v>44191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227.95473878383615</v>
      </c>
      <c r="J33" s="60">
        <v>637.90132290522354</v>
      </c>
      <c r="K33" s="60">
        <v>34.778945243358663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336.55408942964004</v>
      </c>
      <c r="V33" s="62">
        <v>0</v>
      </c>
      <c r="W33" s="62">
        <v>54.696757805347453</v>
      </c>
      <c r="X33" s="62">
        <v>0</v>
      </c>
      <c r="Y33" s="66">
        <v>236.77804578940095</v>
      </c>
      <c r="Z33" s="66">
        <v>0</v>
      </c>
      <c r="AA33" s="67">
        <v>0</v>
      </c>
      <c r="AB33" s="68">
        <v>59.597762354214332</v>
      </c>
      <c r="AC33" s="69">
        <v>0</v>
      </c>
      <c r="AD33" s="406">
        <v>14.433266682620918</v>
      </c>
      <c r="AE33" s="406">
        <v>0</v>
      </c>
      <c r="AF33" s="69">
        <v>13.429646923144652</v>
      </c>
      <c r="AG33" s="68">
        <v>13.274585339905238</v>
      </c>
      <c r="AH33" s="68">
        <v>0</v>
      </c>
      <c r="AI33" s="68">
        <v>1</v>
      </c>
      <c r="AJ33" s="69">
        <v>251.94080200195316</v>
      </c>
      <c r="AK33" s="69">
        <v>386.84910618464153</v>
      </c>
      <c r="AL33" s="69">
        <v>1009.7402062098184</v>
      </c>
      <c r="AM33" s="69">
        <v>367.65545654296875</v>
      </c>
      <c r="AN33" s="69">
        <v>1516.4111022949219</v>
      </c>
      <c r="AO33" s="69">
        <v>1974.07902285258</v>
      </c>
      <c r="AP33" s="69">
        <v>557.09654119809466</v>
      </c>
      <c r="AQ33" s="69">
        <v>2129.7088189442952</v>
      </c>
      <c r="AR33" s="69">
        <v>250.78861441612244</v>
      </c>
      <c r="AS33" s="69">
        <v>556.3669058481853</v>
      </c>
    </row>
    <row r="34" spans="1:55" x14ac:dyDescent="0.25">
      <c r="A34" s="443">
        <v>44192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228.76</v>
      </c>
      <c r="J34" s="60">
        <v>640.94000000000005</v>
      </c>
      <c r="K34" s="60">
        <v>35.130000000000003</v>
      </c>
      <c r="L34" s="452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338.34</v>
      </c>
      <c r="V34" s="62">
        <v>0</v>
      </c>
      <c r="W34" s="62">
        <v>56.67</v>
      </c>
      <c r="X34" s="62">
        <v>0</v>
      </c>
      <c r="Y34" s="66">
        <v>237.03</v>
      </c>
      <c r="Z34" s="66">
        <v>0</v>
      </c>
      <c r="AA34" s="67">
        <v>0</v>
      </c>
      <c r="AB34" s="68">
        <v>59.4</v>
      </c>
      <c r="AC34" s="69">
        <v>0</v>
      </c>
      <c r="AD34" s="406">
        <v>14.5</v>
      </c>
      <c r="AE34" s="406">
        <v>0</v>
      </c>
      <c r="AF34" s="69">
        <v>13.57</v>
      </c>
      <c r="AG34" s="68">
        <v>13.36</v>
      </c>
      <c r="AH34" s="68">
        <v>0</v>
      </c>
      <c r="AI34" s="68">
        <v>1</v>
      </c>
      <c r="AJ34" s="69">
        <v>261.24</v>
      </c>
      <c r="AK34" s="69">
        <v>410.73</v>
      </c>
      <c r="AL34" s="69">
        <v>1063.18</v>
      </c>
      <c r="AM34" s="69">
        <v>367.66</v>
      </c>
      <c r="AN34" s="69">
        <v>1516.41</v>
      </c>
      <c r="AO34" s="69">
        <v>1981.59</v>
      </c>
      <c r="AP34" s="69">
        <v>593.22</v>
      </c>
      <c r="AQ34" s="69">
        <v>2043.41</v>
      </c>
      <c r="AR34" s="69">
        <v>292.58</v>
      </c>
      <c r="AS34" s="69">
        <v>540.82000000000005</v>
      </c>
      <c r="AT34" s="451"/>
      <c r="AU34" s="451"/>
      <c r="AV34" s="451"/>
      <c r="AW34" s="451"/>
      <c r="AX34" s="451"/>
      <c r="AY34" s="451"/>
      <c r="AZ34" s="451"/>
      <c r="BA34" s="451"/>
      <c r="BB34" s="451"/>
      <c r="BC34" s="451"/>
    </row>
    <row r="35" spans="1:55" x14ac:dyDescent="0.25">
      <c r="A35" s="443">
        <v>44193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222.10578089555122</v>
      </c>
      <c r="J35" s="60">
        <v>637.43466087977174</v>
      </c>
      <c r="K35" s="60">
        <v>36.51170912981032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346.88726075490086</v>
      </c>
      <c r="V35" s="62">
        <v>0</v>
      </c>
      <c r="W35" s="62">
        <v>59.080025291442801</v>
      </c>
      <c r="X35" s="62">
        <v>0</v>
      </c>
      <c r="Y35" s="66">
        <v>248.57215282122306</v>
      </c>
      <c r="Z35" s="66">
        <v>0</v>
      </c>
      <c r="AA35" s="67">
        <v>0</v>
      </c>
      <c r="AB35" s="68">
        <v>58.968181475003846</v>
      </c>
      <c r="AC35" s="69">
        <v>0</v>
      </c>
      <c r="AD35" s="406">
        <v>14.393377092619335</v>
      </c>
      <c r="AE35" s="406">
        <v>0</v>
      </c>
      <c r="AF35" s="69">
        <v>14.210035579734409</v>
      </c>
      <c r="AG35" s="68">
        <v>14.000031795340787</v>
      </c>
      <c r="AH35" s="68">
        <v>0</v>
      </c>
      <c r="AI35" s="68">
        <v>1</v>
      </c>
      <c r="AJ35" s="69">
        <v>287.07590271631881</v>
      </c>
      <c r="AK35" s="69">
        <v>466.96419170697538</v>
      </c>
      <c r="AL35" s="69">
        <v>994.47679697672527</v>
      </c>
      <c r="AM35" s="69">
        <v>367.65545654296875</v>
      </c>
      <c r="AN35" s="69">
        <v>1516.4111022949219</v>
      </c>
      <c r="AO35" s="69">
        <v>2029.0540635426837</v>
      </c>
      <c r="AP35" s="69">
        <v>638.43030273119609</v>
      </c>
      <c r="AQ35" s="69">
        <v>2000.5344074249265</v>
      </c>
      <c r="AR35" s="69">
        <v>320.08309842745462</v>
      </c>
      <c r="AS35" s="69">
        <v>582.57085879643762</v>
      </c>
    </row>
    <row r="36" spans="1:55" x14ac:dyDescent="0.25">
      <c r="A36" s="443">
        <v>44194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217.70475540161146</v>
      </c>
      <c r="J36" s="60">
        <v>639.37716153462884</v>
      </c>
      <c r="K36" s="60">
        <v>37.257917777697259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347.2564123789457</v>
      </c>
      <c r="V36" s="62">
        <v>0</v>
      </c>
      <c r="W36" s="62">
        <v>58.564176019032672</v>
      </c>
      <c r="X36" s="62">
        <v>0</v>
      </c>
      <c r="Y36" s="66">
        <v>250.4949726263682</v>
      </c>
      <c r="Z36" s="66">
        <v>0</v>
      </c>
      <c r="AA36" s="67">
        <v>0</v>
      </c>
      <c r="AB36" s="68">
        <v>58.417760218514594</v>
      </c>
      <c r="AC36" s="69">
        <v>0</v>
      </c>
      <c r="AD36" s="406">
        <v>14.32803579403163</v>
      </c>
      <c r="AE36" s="406">
        <v>0</v>
      </c>
      <c r="AF36" s="69">
        <v>14.192272950543293</v>
      </c>
      <c r="AG36" s="68">
        <v>13.999625614306826</v>
      </c>
      <c r="AH36" s="68">
        <v>0</v>
      </c>
      <c r="AI36" s="68">
        <v>1</v>
      </c>
      <c r="AJ36" s="69">
        <v>294.42403030395508</v>
      </c>
      <c r="AK36" s="69">
        <v>464.84357773462943</v>
      </c>
      <c r="AL36" s="69">
        <v>836.56620724995935</v>
      </c>
      <c r="AM36" s="69">
        <v>367.65545654296875</v>
      </c>
      <c r="AN36" s="69">
        <v>1516.4111022949219</v>
      </c>
      <c r="AO36" s="69">
        <v>2046.4659268697103</v>
      </c>
      <c r="AP36" s="69">
        <v>648.86118281682332</v>
      </c>
      <c r="AQ36" s="69">
        <v>2003.2741321563724</v>
      </c>
      <c r="AR36" s="69">
        <v>304.90806893507647</v>
      </c>
      <c r="AS36" s="69">
        <v>588.94365873336801</v>
      </c>
    </row>
    <row r="37" spans="1:55" x14ac:dyDescent="0.25">
      <c r="A37" s="443">
        <v>44195</v>
      </c>
      <c r="B37" s="65"/>
      <c r="C37" s="380">
        <v>0</v>
      </c>
      <c r="D37" s="380">
        <v>0</v>
      </c>
      <c r="E37" s="60">
        <v>0</v>
      </c>
      <c r="F37" s="380">
        <v>0</v>
      </c>
      <c r="G37" s="380">
        <v>0</v>
      </c>
      <c r="H37" s="390">
        <v>0</v>
      </c>
      <c r="I37" s="379">
        <v>212.59303319454227</v>
      </c>
      <c r="J37" s="380">
        <v>633.24008159637629</v>
      </c>
      <c r="K37" s="380">
        <v>37.579305189847865</v>
      </c>
      <c r="L37" s="380">
        <v>0</v>
      </c>
      <c r="M37" s="380">
        <v>0</v>
      </c>
      <c r="N37" s="390">
        <v>0</v>
      </c>
      <c r="O37" s="379">
        <v>0</v>
      </c>
      <c r="P37" s="380">
        <v>0</v>
      </c>
      <c r="Q37" s="380">
        <v>0</v>
      </c>
      <c r="R37" s="391">
        <v>0</v>
      </c>
      <c r="S37" s="380">
        <v>0</v>
      </c>
      <c r="T37" s="392">
        <v>0</v>
      </c>
      <c r="U37" s="393">
        <v>347.3924881405303</v>
      </c>
      <c r="V37" s="81">
        <v>0</v>
      </c>
      <c r="W37" s="81">
        <v>58.643131820360772</v>
      </c>
      <c r="X37" s="81">
        <v>0</v>
      </c>
      <c r="Y37" s="80">
        <v>252.67853968938175</v>
      </c>
      <c r="Z37" s="80">
        <v>0</v>
      </c>
      <c r="AA37" s="82">
        <v>0</v>
      </c>
      <c r="AB37" s="394">
        <v>58.419729288419013</v>
      </c>
      <c r="AC37" s="388">
        <v>0</v>
      </c>
      <c r="AD37" s="406">
        <v>14.33018094513754</v>
      </c>
      <c r="AE37" s="406">
        <v>0</v>
      </c>
      <c r="AF37" s="85">
        <v>14.186606294578977</v>
      </c>
      <c r="AG37" s="394">
        <v>13.999799491367025</v>
      </c>
      <c r="AH37" s="394">
        <v>0</v>
      </c>
      <c r="AI37" s="394">
        <v>1</v>
      </c>
      <c r="AJ37" s="388">
        <v>291.29982900619501</v>
      </c>
      <c r="AK37" s="388">
        <v>440.56926627159118</v>
      </c>
      <c r="AL37" s="388">
        <v>824.36546446482339</v>
      </c>
      <c r="AM37" s="388">
        <v>367.65545654296875</v>
      </c>
      <c r="AN37" s="388">
        <v>1516.4111022949219</v>
      </c>
      <c r="AO37" s="388">
        <v>2075.0735688527429</v>
      </c>
      <c r="AP37" s="388">
        <v>665.54314805666604</v>
      </c>
      <c r="AQ37" s="388">
        <v>2012.0789867401127</v>
      </c>
      <c r="AR37" s="388">
        <v>278.78934885660806</v>
      </c>
      <c r="AS37" s="388">
        <v>607.26003052393594</v>
      </c>
    </row>
    <row r="38" spans="1:55" ht="15.75" thickBot="1" x14ac:dyDescent="0.3">
      <c r="A38" s="443">
        <v>44196</v>
      </c>
      <c r="B38" s="59"/>
      <c r="C38" s="74">
        <v>0</v>
      </c>
      <c r="D38" s="74">
        <v>0</v>
      </c>
      <c r="E38" s="74">
        <v>0.52</v>
      </c>
      <c r="F38" s="74">
        <v>0</v>
      </c>
      <c r="G38" s="74">
        <v>0</v>
      </c>
      <c r="H38" s="75">
        <v>0</v>
      </c>
      <c r="I38" s="76">
        <v>203.91</v>
      </c>
      <c r="J38" s="74">
        <v>632.72</v>
      </c>
      <c r="K38" s="74">
        <v>37.74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338.29</v>
      </c>
      <c r="V38" s="80">
        <v>0</v>
      </c>
      <c r="W38" s="81">
        <v>56.66</v>
      </c>
      <c r="X38" s="81">
        <v>0</v>
      </c>
      <c r="Y38" s="80">
        <v>244.96</v>
      </c>
      <c r="Z38" s="80">
        <v>0</v>
      </c>
      <c r="AA38" s="82">
        <v>0</v>
      </c>
      <c r="AB38" s="83">
        <v>61.93</v>
      </c>
      <c r="AC38" s="84">
        <v>0</v>
      </c>
      <c r="AD38" s="406">
        <v>14.34</v>
      </c>
      <c r="AE38" s="406">
        <v>0</v>
      </c>
      <c r="AF38" s="85">
        <v>13.78</v>
      </c>
      <c r="AG38" s="83">
        <v>13.58</v>
      </c>
      <c r="AH38" s="83">
        <v>0</v>
      </c>
      <c r="AI38" s="83">
        <v>1</v>
      </c>
      <c r="AJ38" s="84">
        <v>272.92</v>
      </c>
      <c r="AK38" s="84">
        <v>406.02</v>
      </c>
      <c r="AL38" s="84">
        <v>929.06</v>
      </c>
      <c r="AM38" s="84">
        <v>367.66</v>
      </c>
      <c r="AN38" s="84">
        <v>1516.41</v>
      </c>
      <c r="AO38" s="84">
        <v>2047.98</v>
      </c>
      <c r="AP38" s="84">
        <v>601.48</v>
      </c>
      <c r="AQ38" s="84">
        <v>2046.09</v>
      </c>
      <c r="AR38" s="84">
        <v>232.97</v>
      </c>
      <c r="AS38" s="84">
        <v>589.08000000000004</v>
      </c>
      <c r="AT38" s="451"/>
      <c r="AU38" s="451"/>
      <c r="AV38" s="451"/>
      <c r="AW38" s="451"/>
      <c r="AX38" s="451"/>
      <c r="AY38" s="451"/>
      <c r="AZ38" s="451"/>
      <c r="BA38" s="451"/>
      <c r="BB38" s="451"/>
      <c r="BC38" s="451"/>
    </row>
    <row r="39" spans="1:55" ht="15.75" thickTop="1" x14ac:dyDescent="0.25">
      <c r="A39" s="46" t="s">
        <v>171</v>
      </c>
      <c r="B39" s="29">
        <f t="shared" ref="B39:AC39" si="0">SUM(B8:B38)</f>
        <v>0</v>
      </c>
      <c r="C39" s="30">
        <f>SUM(C8:C38)</f>
        <v>0</v>
      </c>
      <c r="D39" s="30">
        <f t="shared" si="0"/>
        <v>0</v>
      </c>
      <c r="E39" s="30">
        <f t="shared" si="0"/>
        <v>0.52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6524.1145082084349</v>
      </c>
      <c r="J39" s="30">
        <f t="shared" si="0"/>
        <v>18009.905885728211</v>
      </c>
      <c r="K39" s="30">
        <f t="shared" si="0"/>
        <v>994.60690151900076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10565.071904178174</v>
      </c>
      <c r="V39" s="260">
        <f t="shared" si="0"/>
        <v>0</v>
      </c>
      <c r="W39" s="260">
        <f t="shared" si="0"/>
        <v>1721.9477228736882</v>
      </c>
      <c r="X39" s="260">
        <f t="shared" si="0"/>
        <v>0</v>
      </c>
      <c r="Y39" s="260">
        <f t="shared" si="0"/>
        <v>7012.9446329720813</v>
      </c>
      <c r="Z39" s="260">
        <f t="shared" si="0"/>
        <v>0</v>
      </c>
      <c r="AA39" s="268">
        <f t="shared" si="0"/>
        <v>0</v>
      </c>
      <c r="AB39" s="271">
        <f t="shared" si="0"/>
        <v>1717.8484787755501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SUM(AJ8:AJ38)</f>
        <v>8568.473182826041</v>
      </c>
      <c r="AK39" s="271">
        <f t="shared" si="1"/>
        <v>13678.961034034091</v>
      </c>
      <c r="AL39" s="271">
        <f t="shared" si="1"/>
        <v>30338.825921115873</v>
      </c>
      <c r="AM39" s="271">
        <f t="shared" si="1"/>
        <v>13262.367414232889</v>
      </c>
      <c r="AN39" s="271">
        <f t="shared" si="1"/>
        <v>47008.737557373053</v>
      </c>
      <c r="AO39" s="271">
        <f t="shared" si="1"/>
        <v>63075.820087839762</v>
      </c>
      <c r="AP39" s="271">
        <f t="shared" si="1"/>
        <v>23159.888284492496</v>
      </c>
      <c r="AQ39" s="271">
        <f t="shared" si="1"/>
        <v>62526.605659434004</v>
      </c>
      <c r="AR39" s="271">
        <f t="shared" si="1"/>
        <v>8781.2808114735271</v>
      </c>
      <c r="AS39" s="271">
        <f t="shared" si="1"/>
        <v>17823.991285152439</v>
      </c>
    </row>
    <row r="40" spans="1:55" ht="15.75" thickBot="1" x14ac:dyDescent="0.3">
      <c r="A40" s="47" t="s">
        <v>172</v>
      </c>
      <c r="B40" s="32">
        <f>Projection!$AD$30</f>
        <v>0.66681052199999991</v>
      </c>
      <c r="C40" s="33">
        <f>Projection!$AD$28</f>
        <v>1.4286753599999999</v>
      </c>
      <c r="D40" s="33">
        <f>Projection!$AD$31</f>
        <v>2.1114878399999997</v>
      </c>
      <c r="E40" s="33">
        <f>Projection!$AD$26</f>
        <v>4.4235360000000004</v>
      </c>
      <c r="F40" s="33">
        <f>Projection!$AC$23</f>
        <v>0</v>
      </c>
      <c r="G40" s="33">
        <f>Projection!$AD$24</f>
        <v>7.2805000000000009E-2</v>
      </c>
      <c r="H40" s="34">
        <f>Projection!$AD$29</f>
        <v>3.7390305000000001</v>
      </c>
      <c r="I40" s="32">
        <f>Projection!$AD$30</f>
        <v>0.66681052199999991</v>
      </c>
      <c r="J40" s="33">
        <f>Projection!$AD$28</f>
        <v>1.4286753599999999</v>
      </c>
      <c r="K40" s="33">
        <f>Projection!$AD$26</f>
        <v>4.4235360000000004</v>
      </c>
      <c r="L40" s="33">
        <f>Projection!$AD$25</f>
        <v>0</v>
      </c>
      <c r="M40" s="33">
        <f>Projection!$AC$23</f>
        <v>0</v>
      </c>
      <c r="N40" s="34">
        <f>Projection!$AC$23</f>
        <v>0</v>
      </c>
      <c r="O40" s="262">
        <v>15.77</v>
      </c>
      <c r="P40" s="263">
        <v>15.77</v>
      </c>
      <c r="Q40" s="263">
        <v>15.77</v>
      </c>
      <c r="R40" s="263">
        <v>15.77</v>
      </c>
      <c r="S40" s="263">
        <f>Projection!$AD$28</f>
        <v>1.4286753599999999</v>
      </c>
      <c r="T40" s="264">
        <f>Projection!$AD$28</f>
        <v>1.4286753599999999</v>
      </c>
      <c r="U40" s="262">
        <f>Projection!$AD$27</f>
        <v>0.26450000000000001</v>
      </c>
      <c r="V40" s="263">
        <f>Projection!$AD$27</f>
        <v>0.26450000000000001</v>
      </c>
      <c r="W40" s="263">
        <f>Projection!$AD$22</f>
        <v>0.85935360000000005</v>
      </c>
      <c r="X40" s="263">
        <f>Projection!$AD$22</f>
        <v>0.85935360000000005</v>
      </c>
      <c r="Y40" s="263">
        <f>Projection!$AD$31</f>
        <v>2.1114878399999997</v>
      </c>
      <c r="Z40" s="263">
        <f>Projection!$AD$31</f>
        <v>2.1114878399999997</v>
      </c>
      <c r="AA40" s="269">
        <v>0</v>
      </c>
      <c r="AB40" s="272">
        <f>Projection!$AD$27</f>
        <v>0.26450000000000001</v>
      </c>
      <c r="AC40" s="272">
        <f>Projection!$AD$30</f>
        <v>0.66681052199999991</v>
      </c>
      <c r="AD40" s="397">
        <f>SUM(AD8:AD38)</f>
        <v>431.79969551087265</v>
      </c>
      <c r="AE40" s="397">
        <f>SUM(AE8:AE38)</f>
        <v>0</v>
      </c>
      <c r="AF40" s="275">
        <f>SUM(AF8:AF38)</f>
        <v>419.62941029065178</v>
      </c>
      <c r="AG40" s="275">
        <f>SUM(AG8:AG38)</f>
        <v>413.89421101759234</v>
      </c>
      <c r="AH40" s="275">
        <f>SUM(AH8:AH38)</f>
        <v>0</v>
      </c>
      <c r="AI40" s="275">
        <f>IF(SUM(AG40:AH40)&gt;0, AG40/(AG40+AH40),0)</f>
        <v>1</v>
      </c>
      <c r="AJ40" s="310">
        <v>6.5000000000000002E-2</v>
      </c>
      <c r="AK40" s="310">
        <f t="shared" ref="AK40:AS40" si="2">$AJ$40</f>
        <v>6.5000000000000002E-2</v>
      </c>
      <c r="AL40" s="310">
        <f t="shared" si="2"/>
        <v>6.5000000000000002E-2</v>
      </c>
      <c r="AM40" s="310">
        <f t="shared" si="2"/>
        <v>6.5000000000000002E-2</v>
      </c>
      <c r="AN40" s="310">
        <f t="shared" si="2"/>
        <v>6.5000000000000002E-2</v>
      </c>
      <c r="AO40" s="310">
        <f t="shared" si="2"/>
        <v>6.5000000000000002E-2</v>
      </c>
      <c r="AP40" s="310">
        <f t="shared" si="2"/>
        <v>6.5000000000000002E-2</v>
      </c>
      <c r="AQ40" s="310">
        <f t="shared" si="2"/>
        <v>6.5000000000000002E-2</v>
      </c>
      <c r="AR40" s="310">
        <f t="shared" si="2"/>
        <v>6.5000000000000002E-2</v>
      </c>
      <c r="AS40" s="310">
        <f t="shared" si="2"/>
        <v>6.5000000000000002E-2</v>
      </c>
    </row>
    <row r="41" spans="1:5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2.3002387200000003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4350.3482008062392</v>
      </c>
      <c r="J41" s="36">
        <f t="shared" si="3"/>
        <v>25730.30877485887</v>
      </c>
      <c r="K41" s="36">
        <f t="shared" si="3"/>
        <v>4399.6794347177547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2794.4615186551273</v>
      </c>
      <c r="V41" s="266">
        <f t="shared" si="3"/>
        <v>0</v>
      </c>
      <c r="W41" s="266">
        <f t="shared" si="3"/>
        <v>1479.7619746633063</v>
      </c>
      <c r="X41" s="266">
        <f t="shared" si="3"/>
        <v>0</v>
      </c>
      <c r="Y41" s="266">
        <f t="shared" si="3"/>
        <v>14807.747315113811</v>
      </c>
      <c r="Z41" s="266">
        <f t="shared" si="3"/>
        <v>0</v>
      </c>
      <c r="AA41" s="270">
        <f t="shared" si="3"/>
        <v>0</v>
      </c>
      <c r="AB41" s="273">
        <f t="shared" si="3"/>
        <v>454.370922636133</v>
      </c>
      <c r="AC41" s="273">
        <f t="shared" si="3"/>
        <v>0</v>
      </c>
      <c r="AJ41" s="276">
        <f t="shared" ref="AJ41:AS41" si="4">AJ40*AJ39</f>
        <v>556.95075688369263</v>
      </c>
      <c r="AK41" s="276">
        <f t="shared" si="4"/>
        <v>889.13246721221594</v>
      </c>
      <c r="AL41" s="276">
        <f t="shared" si="4"/>
        <v>1972.0236848725317</v>
      </c>
      <c r="AM41" s="276">
        <f t="shared" si="4"/>
        <v>862.05388192513783</v>
      </c>
      <c r="AN41" s="276">
        <f t="shared" si="4"/>
        <v>3055.5679412292484</v>
      </c>
      <c r="AO41" s="276">
        <f t="shared" si="4"/>
        <v>4099.9283057095845</v>
      </c>
      <c r="AP41" s="276">
        <f t="shared" si="4"/>
        <v>1505.3927384920123</v>
      </c>
      <c r="AQ41" s="276">
        <f t="shared" si="4"/>
        <v>4064.2293678632104</v>
      </c>
      <c r="AR41" s="276">
        <f t="shared" si="4"/>
        <v>570.78325274577924</v>
      </c>
      <c r="AS41" s="276">
        <f t="shared" si="4"/>
        <v>1158.5594335349085</v>
      </c>
    </row>
    <row r="42" spans="1:55" ht="49.5" customHeight="1" thickTop="1" thickBot="1" x14ac:dyDescent="0.3">
      <c r="A42" s="640">
        <f>NOVEMBER!$A$42+30</f>
        <v>44166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1210.27</v>
      </c>
      <c r="AK42" s="276" t="s">
        <v>197</v>
      </c>
      <c r="AL42" s="276">
        <v>3270.44</v>
      </c>
      <c r="AM42" s="276">
        <v>992.03</v>
      </c>
      <c r="AN42" s="276">
        <v>1866.29</v>
      </c>
      <c r="AO42" s="276">
        <v>9053.89</v>
      </c>
      <c r="AP42" s="276">
        <v>2215.6</v>
      </c>
      <c r="AQ42" s="276" t="s">
        <v>197</v>
      </c>
      <c r="AR42" s="276">
        <v>45.06</v>
      </c>
      <c r="AS42" s="276">
        <v>408.71</v>
      </c>
    </row>
    <row r="43" spans="1:5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55" ht="24.75" thickTop="1" thickBot="1" x14ac:dyDescent="0.3">
      <c r="A44" s="280" t="s">
        <v>135</v>
      </c>
      <c r="B44" s="281">
        <f>SUM(B41:AC41)</f>
        <v>54018.978380171247</v>
      </c>
      <c r="C44" s="12"/>
      <c r="D44" s="280" t="s">
        <v>135</v>
      </c>
      <c r="E44" s="281">
        <f>SUM(B41:H41)+P41+R41+T41+V41+X41+Z41</f>
        <v>2.3002387200000003</v>
      </c>
      <c r="F44" s="12"/>
      <c r="G44" s="280" t="s">
        <v>135</v>
      </c>
      <c r="H44" s="281">
        <f>SUM(I41:N41)+O41+Q41+S41+U41+W41+Y41</f>
        <v>53562.307218815105</v>
      </c>
      <c r="I44" s="12"/>
      <c r="J44" s="280" t="s">
        <v>198</v>
      </c>
      <c r="K44" s="281">
        <v>306900.44</v>
      </c>
      <c r="L44" s="12"/>
      <c r="M44" s="12"/>
      <c r="N44" s="12"/>
      <c r="O44" s="12"/>
      <c r="P44" s="12"/>
      <c r="Q44" s="12"/>
      <c r="R44" s="317" t="s">
        <v>135</v>
      </c>
      <c r="S44" s="318"/>
      <c r="T44" s="311" t="s">
        <v>167</v>
      </c>
      <c r="U44" s="253" t="s">
        <v>168</v>
      </c>
    </row>
    <row r="45" spans="1:55" ht="24" thickBot="1" x14ac:dyDescent="0.4">
      <c r="A45" s="282" t="s">
        <v>183</v>
      </c>
      <c r="B45" s="283">
        <f>SUM(AJ41:AS41)</f>
        <v>18734.621830468321</v>
      </c>
      <c r="C45" s="12"/>
      <c r="D45" s="282" t="s">
        <v>183</v>
      </c>
      <c r="E45" s="283">
        <f>AJ41*(1-$AI$40)+AK41+AL41*0.5+AN41+AO41*(1-$AI$40)+AP41*(1-$AI$40)+AQ41*(1-$AI$40)+AR41*0.5+AS41*0.5</f>
        <v>5795.3835940180743</v>
      </c>
      <c r="F45" s="24"/>
      <c r="G45" s="282" t="s">
        <v>183</v>
      </c>
      <c r="H45" s="283">
        <f>AJ41*AI40+AL41*0.5+AM41+AO41*AI40+AP41*AI40+AQ41*AI40+AR41*0.5+AS41*0.5</f>
        <v>12939.238236450248</v>
      </c>
      <c r="I45" s="12"/>
      <c r="J45" s="12"/>
      <c r="K45" s="286"/>
      <c r="L45" s="12"/>
      <c r="M45" s="12"/>
      <c r="N45" s="12"/>
      <c r="O45" s="12"/>
      <c r="P45" s="12"/>
      <c r="Q45" s="12"/>
      <c r="R45" s="315" t="s">
        <v>141</v>
      </c>
      <c r="S45" s="316"/>
      <c r="T45" s="252">
        <f>$W$39+$X$39</f>
        <v>1721.9477228736882</v>
      </c>
      <c r="U45" s="254">
        <f>(T45*8.34*0.895)/27000</f>
        <v>0.47604201436466925</v>
      </c>
    </row>
    <row r="46" spans="1:55" ht="32.25" thickBot="1" x14ac:dyDescent="0.3">
      <c r="A46" s="284" t="s">
        <v>184</v>
      </c>
      <c r="B46" s="285">
        <f>SUM(AJ42:AS42)</f>
        <v>19062.289999999997</v>
      </c>
      <c r="C46" s="12"/>
      <c r="D46" s="284" t="s">
        <v>184</v>
      </c>
      <c r="E46" s="285">
        <f>AJ42*(1-$AI$40)+AL42*0.5+AN42+AO42*(1-$AI$40)+AP42*(1-$AI$40)+AR42*0.5+AS42*0.5</f>
        <v>3728.3950000000004</v>
      </c>
      <c r="F46" s="23"/>
      <c r="G46" s="284" t="s">
        <v>184</v>
      </c>
      <c r="H46" s="285">
        <f>AJ42*AI40+AL42*0.5+AM42+AO42*AI40+AP42*AI40+AR42*0.5+AS42*0.5</f>
        <v>15333.895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15" t="s">
        <v>145</v>
      </c>
      <c r="S46" s="316"/>
      <c r="T46" s="252">
        <f>$M$39+$N$39+$F$39</f>
        <v>0</v>
      </c>
      <c r="U46" s="255">
        <f>(((T46*8.34)*0.005)/(8.34*1.055))/400</f>
        <v>0</v>
      </c>
    </row>
    <row r="47" spans="1:55" ht="24.75" thickTop="1" thickBot="1" x14ac:dyDescent="0.4">
      <c r="A47" s="284" t="s">
        <v>185</v>
      </c>
      <c r="B47" s="285">
        <f>K44</f>
        <v>306900.44</v>
      </c>
      <c r="C47" s="12"/>
      <c r="D47" s="284" t="s">
        <v>187</v>
      </c>
      <c r="E47" s="285">
        <f>K44*0.5</f>
        <v>153450.22</v>
      </c>
      <c r="F47" s="24"/>
      <c r="G47" s="284" t="s">
        <v>185</v>
      </c>
      <c r="H47" s="285">
        <f>K44*0.5</f>
        <v>153450.22</v>
      </c>
      <c r="I47" s="12"/>
      <c r="J47" s="280" t="s">
        <v>198</v>
      </c>
      <c r="K47" s="281">
        <v>395217.72</v>
      </c>
      <c r="L47" s="12"/>
      <c r="M47" s="12"/>
      <c r="N47" s="12"/>
      <c r="O47" s="12"/>
      <c r="P47" s="12"/>
      <c r="Q47" s="12"/>
      <c r="R47" s="315" t="s">
        <v>148</v>
      </c>
      <c r="S47" s="316"/>
      <c r="T47" s="252">
        <f>$G$39</f>
        <v>0</v>
      </c>
      <c r="U47" s="254">
        <f>T47/40000</f>
        <v>0</v>
      </c>
    </row>
    <row r="48" spans="1:55" ht="24" thickBot="1" x14ac:dyDescent="0.3">
      <c r="A48" s="284" t="s">
        <v>186</v>
      </c>
      <c r="B48" s="285">
        <f>K47</f>
        <v>395217.72</v>
      </c>
      <c r="C48" s="12"/>
      <c r="D48" s="284" t="s">
        <v>186</v>
      </c>
      <c r="E48" s="285">
        <f>K47*0.5</f>
        <v>197608.86</v>
      </c>
      <c r="F48" s="23"/>
      <c r="G48" s="284" t="s">
        <v>186</v>
      </c>
      <c r="H48" s="285">
        <f>K47*0.5</f>
        <v>197608.86</v>
      </c>
      <c r="I48" s="12"/>
      <c r="J48" s="12"/>
      <c r="K48" s="86"/>
      <c r="L48" s="12"/>
      <c r="M48" s="12"/>
      <c r="N48" s="12"/>
      <c r="O48" s="12"/>
      <c r="P48" s="12"/>
      <c r="Q48" s="12"/>
      <c r="R48" s="315" t="s">
        <v>150</v>
      </c>
      <c r="S48" s="316"/>
      <c r="T48" s="252">
        <f>$L$39</f>
        <v>0</v>
      </c>
      <c r="U48" s="254">
        <f>T48*9.34*0.107</f>
        <v>0</v>
      </c>
    </row>
    <row r="49" spans="1:25" ht="48" thickTop="1" thickBot="1" x14ac:dyDescent="0.3">
      <c r="A49" s="289" t="s">
        <v>194</v>
      </c>
      <c r="B49" s="290">
        <f>AF40</f>
        <v>419.62941029065178</v>
      </c>
      <c r="C49" s="12"/>
      <c r="D49" s="289" t="s">
        <v>195</v>
      </c>
      <c r="E49" s="290">
        <f>AH40</f>
        <v>0</v>
      </c>
      <c r="F49" s="23"/>
      <c r="G49" s="289" t="s">
        <v>196</v>
      </c>
      <c r="H49" s="290">
        <f>AG40</f>
        <v>413.89421101759234</v>
      </c>
      <c r="I49" s="12"/>
      <c r="J49" s="12"/>
      <c r="K49" s="86"/>
      <c r="L49" s="12"/>
      <c r="M49" s="12"/>
      <c r="N49" s="12"/>
      <c r="O49" s="12"/>
      <c r="P49" s="12"/>
      <c r="Q49" s="12"/>
      <c r="R49" s="315" t="s">
        <v>152</v>
      </c>
      <c r="S49" s="316"/>
      <c r="T49" s="252">
        <f>$E$39+$K$39</f>
        <v>995.12690151900074</v>
      </c>
      <c r="U49" s="254">
        <f>(T49*8.34*1.04)/45000</f>
        <v>0.19180739317811563</v>
      </c>
    </row>
    <row r="50" spans="1:25" ht="48" customHeight="1" thickTop="1" thickBot="1" x14ac:dyDescent="0.3">
      <c r="A50" s="289" t="s">
        <v>223</v>
      </c>
      <c r="B50" s="290">
        <f>SUM(E50+H50)</f>
        <v>431.79969551087265</v>
      </c>
      <c r="C50" s="12"/>
      <c r="D50" s="289" t="s">
        <v>224</v>
      </c>
      <c r="E50" s="290">
        <f>AE40</f>
        <v>0</v>
      </c>
      <c r="F50" s="23"/>
      <c r="G50" s="289" t="s">
        <v>228</v>
      </c>
      <c r="H50" s="290">
        <f>AD40</f>
        <v>431.79969551087265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1838.6628301609085</v>
      </c>
      <c r="C51" s="12"/>
      <c r="D51" s="289" t="s">
        <v>188</v>
      </c>
      <c r="E51" s="396" t="e">
        <f>SUM(E44:E48)/E50</f>
        <v>#DIV/0!</v>
      </c>
      <c r="F51" s="23"/>
      <c r="G51" s="289" t="s">
        <v>189</v>
      </c>
      <c r="H51" s="396">
        <f>SUM(H44:H48)/H50</f>
        <v>1002.5354926271947</v>
      </c>
      <c r="I51" s="12"/>
      <c r="J51" s="12"/>
      <c r="K51" s="86"/>
      <c r="L51" s="12"/>
      <c r="M51" s="12"/>
      <c r="N51" s="12"/>
      <c r="O51" s="12"/>
      <c r="P51" s="12"/>
      <c r="Q51" s="12"/>
      <c r="R51" s="315" t="s">
        <v>153</v>
      </c>
      <c r="S51" s="316"/>
      <c r="T51" s="252">
        <f>$U$39+$V$39+$AB$39</f>
        <v>12282.920382953724</v>
      </c>
      <c r="U51" s="254">
        <f>T51/2000/8</f>
        <v>0.76768252393460767</v>
      </c>
    </row>
    <row r="52" spans="1:25" ht="48" thickTop="1" thickBot="1" x14ac:dyDescent="0.3">
      <c r="A52" s="279" t="s">
        <v>191</v>
      </c>
      <c r="B52" s="292">
        <f>B51/1000</f>
        <v>1.8386628301609085</v>
      </c>
      <c r="C52" s="12"/>
      <c r="D52" s="279" t="s">
        <v>192</v>
      </c>
      <c r="E52" s="292" t="e">
        <f>E51/1000</f>
        <v>#DIV/0!</v>
      </c>
      <c r="F52" s="12"/>
      <c r="G52" s="279" t="s">
        <v>193</v>
      </c>
      <c r="H52" s="292">
        <f>H51/1000</f>
        <v>1.0025354926271948</v>
      </c>
      <c r="I52" s="12"/>
      <c r="J52" s="12"/>
      <c r="K52" s="86"/>
      <c r="L52" s="12"/>
      <c r="M52" s="12"/>
      <c r="N52" s="12"/>
      <c r="O52" s="12"/>
      <c r="P52" s="12"/>
      <c r="Q52" s="12"/>
      <c r="R52" s="315" t="s">
        <v>154</v>
      </c>
      <c r="S52" s="316"/>
      <c r="T52" s="252">
        <f>$C$39+$J$39+$S$39+$T$39</f>
        <v>18009.905885728211</v>
      </c>
      <c r="U52" s="254">
        <f>(T52*8.34*1.4)/45000</f>
        <v>4.6729702471502792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5" t="s">
        <v>155</v>
      </c>
      <c r="S53" s="316"/>
      <c r="T53" s="252">
        <f>$H$39</f>
        <v>0</v>
      </c>
      <c r="U53" s="254">
        <f>(T53*8.34*1.135)/45000</f>
        <v>0</v>
      </c>
    </row>
    <row r="54" spans="1:25" ht="33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5" t="s">
        <v>156</v>
      </c>
      <c r="S54" s="316"/>
      <c r="T54" s="252">
        <f>$B$39+$I$39+$AC$39</f>
        <v>6524.1145082084349</v>
      </c>
      <c r="U54" s="254">
        <f>(T54*8.34*1.029*0.03)/3300</f>
        <v>0.50899124848557842</v>
      </c>
    </row>
    <row r="55" spans="1:25" ht="54.75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76"/>
      <c r="T55" s="324">
        <f>$D$39+$Y$39+$Z$39</f>
        <v>7012.9446329720813</v>
      </c>
      <c r="U55" s="325">
        <f>(T55*1.54*8.34)/45000</f>
        <v>2.0015879041786717</v>
      </c>
      <c r="V55" s="323"/>
      <c r="W55" s="12"/>
      <c r="X55" s="12"/>
      <c r="Y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7"/>
      <c r="T56" s="621"/>
      <c r="U56" s="621"/>
      <c r="V56" s="321"/>
      <c r="W56" s="322"/>
      <c r="X56" s="320"/>
      <c r="Y56" s="320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0"/>
      <c r="T57" s="674"/>
      <c r="U57" s="674"/>
      <c r="V57" s="321"/>
      <c r="W57" s="322"/>
      <c r="X57" s="320"/>
      <c r="Y57" s="320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0"/>
      <c r="T58" s="674"/>
      <c r="U58" s="674"/>
      <c r="V58" s="321"/>
      <c r="W58" s="322"/>
      <c r="X58" s="320"/>
      <c r="Y58" s="320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0"/>
      <c r="T59" s="674"/>
      <c r="U59" s="674"/>
      <c r="V59" s="321"/>
      <c r="W59" s="322"/>
      <c r="X59" s="320"/>
      <c r="Y59" s="320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0"/>
      <c r="T60" s="674"/>
      <c r="U60" s="674"/>
      <c r="V60" s="321"/>
      <c r="W60" s="322"/>
      <c r="X60" s="320"/>
      <c r="Y60" s="320"/>
    </row>
    <row r="61" spans="1:25" x14ac:dyDescent="0.25">
      <c r="S61" s="320"/>
      <c r="T61" s="674"/>
      <c r="U61" s="674"/>
      <c r="V61" s="321"/>
      <c r="W61" s="322"/>
      <c r="X61" s="320"/>
      <c r="Y61" s="320"/>
    </row>
    <row r="62" spans="1:25" x14ac:dyDescent="0.25">
      <c r="S62" s="320"/>
      <c r="T62" s="674"/>
      <c r="U62" s="674"/>
      <c r="V62" s="321"/>
      <c r="W62" s="322"/>
      <c r="X62" s="320"/>
      <c r="Y62" s="320"/>
    </row>
    <row r="63" spans="1:25" x14ac:dyDescent="0.25">
      <c r="S63" s="320"/>
      <c r="T63" s="674"/>
      <c r="U63" s="674"/>
      <c r="V63" s="321"/>
      <c r="W63" s="322"/>
      <c r="X63" s="320"/>
      <c r="Y63" s="320"/>
    </row>
    <row r="64" spans="1:25" x14ac:dyDescent="0.25">
      <c r="S64" s="320"/>
      <c r="T64" s="320"/>
      <c r="U64" s="320"/>
      <c r="V64" s="320"/>
      <c r="W64" s="320"/>
      <c r="X64" s="320"/>
      <c r="Y64" s="320"/>
    </row>
    <row r="65" spans="19:25" x14ac:dyDescent="0.25">
      <c r="S65" s="320"/>
      <c r="T65" s="320"/>
      <c r="U65" s="320"/>
      <c r="V65" s="320"/>
      <c r="W65" s="320"/>
      <c r="X65" s="320"/>
      <c r="Y65" s="320"/>
    </row>
    <row r="66" spans="19:25" x14ac:dyDescent="0.25">
      <c r="S66" s="320"/>
      <c r="T66" s="320"/>
      <c r="U66" s="320"/>
      <c r="V66" s="320"/>
      <c r="W66" s="320"/>
      <c r="X66" s="320"/>
      <c r="Y66" s="320"/>
    </row>
  </sheetData>
  <sheetProtection algorithmName="SHA-512" hashValue="OLBJmpoTbUp/GjCvguYWjmwsEKGFgk5ht8+RblzsJptfngADOXQZY+boCafOBExOb+LQa4j6TiaCe3t0FIlbsg==" saltValue="nSulpdLCgwgYx5mwvnBWAQ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9"/>
  <sheetViews>
    <sheetView topLeftCell="A35" zoomScale="80" zoomScaleNormal="80" workbookViewId="0">
      <selection activeCell="G44" sqref="G44"/>
    </sheetView>
  </sheetViews>
  <sheetFormatPr defaultRowHeight="15" x14ac:dyDescent="0.25"/>
  <cols>
    <col min="1" max="1" width="10.140625" customWidth="1"/>
    <col min="2" max="2" width="25.5703125" bestFit="1" customWidth="1"/>
    <col min="3" max="5" width="9.85546875" bestFit="1" customWidth="1"/>
    <col min="6" max="10" width="8.7109375" customWidth="1"/>
    <col min="11" max="11" width="9.28515625" bestFit="1" customWidth="1"/>
    <col min="12" max="25" width="8.7109375" customWidth="1"/>
    <col min="26" max="26" width="9.28515625" bestFit="1" customWidth="1"/>
    <col min="27" max="37" width="8.7109375" customWidth="1"/>
  </cols>
  <sheetData>
    <row r="1" spans="1:37" ht="28.5" customHeight="1" thickTop="1" thickBot="1" x14ac:dyDescent="0.3">
      <c r="A1" s="464">
        <v>2016</v>
      </c>
      <c r="B1" s="465"/>
      <c r="C1" s="468" t="s">
        <v>89</v>
      </c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  <c r="U1" s="469"/>
      <c r="V1" s="470"/>
      <c r="W1" s="470"/>
      <c r="X1" s="470"/>
      <c r="Y1" s="470"/>
      <c r="Z1" s="470"/>
      <c r="AA1" s="470"/>
      <c r="AB1" s="470"/>
      <c r="AC1" s="469"/>
      <c r="AD1" s="469"/>
      <c r="AE1" s="469"/>
      <c r="AF1" s="469"/>
      <c r="AG1" s="469"/>
      <c r="AH1" s="469"/>
      <c r="AI1" s="469"/>
      <c r="AJ1" s="469"/>
      <c r="AK1" s="471"/>
    </row>
    <row r="2" spans="1:37" ht="28.5" customHeight="1" thickTop="1" thickBot="1" x14ac:dyDescent="0.3">
      <c r="A2" s="472"/>
      <c r="B2" s="473"/>
      <c r="C2" s="479" t="s">
        <v>66</v>
      </c>
      <c r="D2" s="480"/>
      <c r="E2" s="480"/>
      <c r="F2" s="480"/>
      <c r="G2" s="480"/>
      <c r="H2" s="480"/>
      <c r="I2" s="481"/>
      <c r="J2" s="482" t="s">
        <v>71</v>
      </c>
      <c r="K2" s="483"/>
      <c r="L2" s="483"/>
      <c r="M2" s="483"/>
      <c r="N2" s="483"/>
      <c r="O2" s="484"/>
      <c r="P2" s="485" t="s">
        <v>73</v>
      </c>
      <c r="Q2" s="486"/>
      <c r="R2" s="486"/>
      <c r="S2" s="486"/>
      <c r="T2" s="486"/>
      <c r="U2" s="487"/>
      <c r="V2" s="488" t="s">
        <v>82</v>
      </c>
      <c r="W2" s="489"/>
      <c r="X2" s="489"/>
      <c r="Y2" s="489"/>
      <c r="Z2" s="489"/>
      <c r="AA2" s="489"/>
      <c r="AB2" s="490"/>
      <c r="AC2" s="491" t="s">
        <v>83</v>
      </c>
      <c r="AD2" s="492"/>
      <c r="AE2" s="493" t="s">
        <v>229</v>
      </c>
      <c r="AF2" s="494"/>
      <c r="AG2" s="495"/>
      <c r="AH2" s="476" t="s">
        <v>85</v>
      </c>
      <c r="AI2" s="477"/>
      <c r="AJ2" s="477"/>
      <c r="AK2" s="478"/>
    </row>
    <row r="3" spans="1:37" ht="119.25" customHeight="1" thickBot="1" x14ac:dyDescent="0.3">
      <c r="A3" s="474"/>
      <c r="B3" s="475"/>
      <c r="C3" s="228" t="s">
        <v>67</v>
      </c>
      <c r="D3" s="228" t="s">
        <v>68</v>
      </c>
      <c r="E3" s="228" t="s">
        <v>11</v>
      </c>
      <c r="F3" s="228" t="s">
        <v>12</v>
      </c>
      <c r="G3" s="228" t="s">
        <v>13</v>
      </c>
      <c r="H3" s="228" t="s">
        <v>69</v>
      </c>
      <c r="I3" s="229" t="s">
        <v>70</v>
      </c>
      <c r="J3" s="230" t="s">
        <v>67</v>
      </c>
      <c r="K3" s="230" t="s">
        <v>72</v>
      </c>
      <c r="L3" s="231" t="s">
        <v>17</v>
      </c>
      <c r="M3" s="230" t="s">
        <v>18</v>
      </c>
      <c r="N3" s="230" t="s">
        <v>19</v>
      </c>
      <c r="O3" s="230" t="s">
        <v>13</v>
      </c>
      <c r="P3" s="232" t="s">
        <v>35</v>
      </c>
      <c r="Q3" s="233" t="s">
        <v>36</v>
      </c>
      <c r="R3" s="232" t="s">
        <v>74</v>
      </c>
      <c r="S3" s="232" t="s">
        <v>75</v>
      </c>
      <c r="T3" s="232" t="s">
        <v>76</v>
      </c>
      <c r="U3" s="232" t="s">
        <v>77</v>
      </c>
      <c r="V3" s="234" t="s">
        <v>78</v>
      </c>
      <c r="W3" s="234" t="s">
        <v>79</v>
      </c>
      <c r="X3" s="234" t="s">
        <v>80</v>
      </c>
      <c r="Y3" s="234" t="s">
        <v>81</v>
      </c>
      <c r="Z3" s="234" t="s">
        <v>45</v>
      </c>
      <c r="AA3" s="234" t="s">
        <v>46</v>
      </c>
      <c r="AB3" s="234" t="s">
        <v>20</v>
      </c>
      <c r="AC3" s="235" t="s">
        <v>7</v>
      </c>
      <c r="AD3" s="236" t="s">
        <v>84</v>
      </c>
      <c r="AE3" s="399" t="s">
        <v>230</v>
      </c>
      <c r="AF3" s="399" t="s">
        <v>231</v>
      </c>
      <c r="AG3" s="399"/>
      <c r="AH3" s="237" t="s">
        <v>27</v>
      </c>
      <c r="AI3" s="237" t="s">
        <v>31</v>
      </c>
      <c r="AJ3" s="237" t="s">
        <v>32</v>
      </c>
      <c r="AK3" s="238" t="s">
        <v>33</v>
      </c>
    </row>
    <row r="4" spans="1:37" ht="15.75" customHeight="1" thickTop="1" x14ac:dyDescent="0.25">
      <c r="A4" s="461" t="s">
        <v>86</v>
      </c>
      <c r="B4" s="89" t="s">
        <v>52</v>
      </c>
      <c r="C4" s="101">
        <f>JANUARY!B39</f>
        <v>0</v>
      </c>
      <c r="D4" s="101">
        <f>JANUARY!C39</f>
        <v>1974.9366801857982</v>
      </c>
      <c r="E4" s="101">
        <f>JANUARY!D39</f>
        <v>29166.242161750764</v>
      </c>
      <c r="F4" s="101">
        <f>JANUARY!E39</f>
        <v>480.0537931263446</v>
      </c>
      <c r="G4" s="101">
        <f>JANUARY!F39</f>
        <v>0</v>
      </c>
      <c r="H4" s="101">
        <f>JANUARY!G39</f>
        <v>114403.31665771015</v>
      </c>
      <c r="I4" s="101">
        <f>JANUARY!H39</f>
        <v>746.4494518448904</v>
      </c>
      <c r="J4" s="101">
        <f>JANUARY!I39</f>
        <v>4625.3263663291937</v>
      </c>
      <c r="K4" s="101">
        <f>JANUARY!J39</f>
        <v>11933.941905546195</v>
      </c>
      <c r="L4" s="239">
        <f>JANUARY!K39</f>
        <v>668.92830635458165</v>
      </c>
      <c r="M4" s="101">
        <f>JANUARY!L39</f>
        <v>1.132965087890625E-4</v>
      </c>
      <c r="N4" s="101">
        <f>JANUARY!M39</f>
        <v>0</v>
      </c>
      <c r="O4" s="101">
        <f>JANUARY!N39</f>
        <v>0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8289.0953360386684</v>
      </c>
      <c r="W4" s="101">
        <f>JANUARY!V39</f>
        <v>4717.9649135972459</v>
      </c>
      <c r="X4" s="101">
        <f>JANUARY!W39</f>
        <v>1259.5954471968953</v>
      </c>
      <c r="Y4" s="101">
        <f>JANUARY!X39</f>
        <v>717.04455022580032</v>
      </c>
      <c r="Z4" s="101">
        <f>JANUARY!Y39</f>
        <v>4647.1927072064527</v>
      </c>
      <c r="AA4" s="101">
        <f>JANUARY!Z39</f>
        <v>2641.8353402916136</v>
      </c>
      <c r="AB4" s="101">
        <f>JANUARY!AA39</f>
        <v>0</v>
      </c>
      <c r="AC4" s="102">
        <f>JANUARY!AB39</f>
        <v>2451.2933156755153</v>
      </c>
      <c r="AD4" s="102">
        <f>JANUARY!AC39</f>
        <v>0</v>
      </c>
      <c r="AE4" s="240">
        <f>JANUARY!AD40</f>
        <v>337.17168799973683</v>
      </c>
      <c r="AF4" s="240">
        <f>JANUARY!AE40</f>
        <v>186.25758111376675</v>
      </c>
      <c r="AG4" s="240">
        <f>SUM(AE4+AF4)</f>
        <v>523.42926911350355</v>
      </c>
      <c r="AH4" s="240">
        <f>JANUARY!AF40</f>
        <v>505.87361516455809</v>
      </c>
      <c r="AI4" s="240">
        <f>JANUARY!AG40</f>
        <v>318.81896305337801</v>
      </c>
      <c r="AJ4" s="240">
        <f>JANUARY!AH40</f>
        <v>181.4459604389501</v>
      </c>
      <c r="AK4" s="241">
        <f>JANUARY!AI40</f>
        <v>0.63730025448859462</v>
      </c>
    </row>
    <row r="5" spans="1:37" ht="15.75" customHeight="1" x14ac:dyDescent="0.25">
      <c r="A5" s="462"/>
      <c r="B5" s="90" t="s">
        <v>53</v>
      </c>
      <c r="C5" s="103">
        <f>FEBRUARY!B39</f>
        <v>0</v>
      </c>
      <c r="D5" s="103">
        <f>FEBRUARY!C39</f>
        <v>1838.2920207222346</v>
      </c>
      <c r="E5" s="103">
        <f>FEBRUARY!D39</f>
        <v>26439.5119755427</v>
      </c>
      <c r="F5" s="103">
        <f>FEBRUARY!E39</f>
        <v>434.12940655499744</v>
      </c>
      <c r="G5" s="103">
        <f>FEBRUARY!F39</f>
        <v>0</v>
      </c>
      <c r="H5" s="103">
        <f>FEBRUARY!G39</f>
        <v>89293.803112411522</v>
      </c>
      <c r="I5" s="103">
        <f>FEBRUARY!H39</f>
        <v>697.03221189379678</v>
      </c>
      <c r="J5" s="103">
        <f>FEBRUARY!I39</f>
        <v>2886.9926857948303</v>
      </c>
      <c r="K5" s="103">
        <f>FEBRUARY!J39</f>
        <v>7799.2606480598415</v>
      </c>
      <c r="L5" s="104">
        <f>FEBRUARY!K39</f>
        <v>423.16326256295037</v>
      </c>
      <c r="M5" s="103">
        <f>FEBRUARY!L39</f>
        <v>4.3241500854492212E-3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5582.3050837121136</v>
      </c>
      <c r="W5" s="103">
        <f>FEBRUARY!V39</f>
        <v>4582.7800549796784</v>
      </c>
      <c r="X5" s="103">
        <f>FEBRUARY!W39</f>
        <v>834.22779485448416</v>
      </c>
      <c r="Y5" s="103">
        <f>FEBRUARY!X39</f>
        <v>680.44485555028677</v>
      </c>
      <c r="Z5" s="103">
        <f>FEBRUARY!Y39</f>
        <v>2488.2053064683187</v>
      </c>
      <c r="AA5" s="103">
        <f>FEBRUARY!Z39</f>
        <v>1981.626978395472</v>
      </c>
      <c r="AB5" s="103">
        <f>FEBRUARY!AA39</f>
        <v>0</v>
      </c>
      <c r="AC5" s="105">
        <f>FEBRUARY!AB39</f>
        <v>1813.6615275330034</v>
      </c>
      <c r="AD5" s="105">
        <f>FEBRUARY!AC39</f>
        <v>0</v>
      </c>
      <c r="AE5" s="99">
        <f>FEBRUARY!AD40</f>
        <v>225.37722485230245</v>
      </c>
      <c r="AF5" s="99">
        <f>FEBRUARY!AE40</f>
        <v>173.7238727850804</v>
      </c>
      <c r="AG5" s="99">
        <f t="shared" ref="AG5:AG15" si="0">SUM(AE5+AF5)</f>
        <v>399.10109763738285</v>
      </c>
      <c r="AH5" s="99">
        <f>FEBRUARY!AF40</f>
        <v>383.4545171495941</v>
      </c>
      <c r="AI5" s="99">
        <f>FEBRUARY!AG40</f>
        <v>208.40188844194498</v>
      </c>
      <c r="AJ5" s="99">
        <f>FEBRUARY!AH40</f>
        <v>169.85475089191954</v>
      </c>
      <c r="AK5" s="91">
        <f>FEBRUARY!AI40</f>
        <v>0.55095368268738065</v>
      </c>
    </row>
    <row r="6" spans="1:37" ht="15.75" customHeight="1" x14ac:dyDescent="0.25">
      <c r="A6" s="462"/>
      <c r="B6" s="90" t="s">
        <v>54</v>
      </c>
      <c r="C6" s="103">
        <f>MARCH!B39</f>
        <v>0</v>
      </c>
      <c r="D6" s="103">
        <f>MARCH!C39</f>
        <v>2037.2670325597192</v>
      </c>
      <c r="E6" s="103">
        <f>MARCH!D39</f>
        <v>29295.760849571208</v>
      </c>
      <c r="F6" s="103">
        <f>MARCH!E39</f>
        <v>478.1597342049082</v>
      </c>
      <c r="G6" s="103">
        <f>MARCH!F39</f>
        <v>0</v>
      </c>
      <c r="H6" s="103">
        <f>MARCH!G39</f>
        <v>85056.680383300831</v>
      </c>
      <c r="I6" s="103">
        <f>MARCH!H39</f>
        <v>773.93848713437694</v>
      </c>
      <c r="J6" s="103">
        <f>MARCH!I39</f>
        <v>2343.6111267725628</v>
      </c>
      <c r="K6" s="103">
        <f>MARCH!J39</f>
        <v>7737.1917908906807</v>
      </c>
      <c r="L6" s="104">
        <f>MARCH!K39</f>
        <v>419.74599956572064</v>
      </c>
      <c r="M6" s="103">
        <f>MARCH!L39</f>
        <v>0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5202.4471556270119</v>
      </c>
      <c r="W6" s="103">
        <f>MARCH!V39</f>
        <v>5134.9948760637835</v>
      </c>
      <c r="X6" s="103">
        <f>MARCH!W39</f>
        <v>745.82333013967479</v>
      </c>
      <c r="Y6" s="103">
        <f>MARCH!X39</f>
        <v>735.30301421129911</v>
      </c>
      <c r="Z6" s="103">
        <f>MARCH!Y39</f>
        <v>1425.356240352796</v>
      </c>
      <c r="AA6" s="103">
        <f>MARCH!Z39</f>
        <v>1398.9963990044525</v>
      </c>
      <c r="AB6" s="103">
        <f>MARCH!AA39</f>
        <v>0</v>
      </c>
      <c r="AC6" s="105">
        <f>MARCH!AB39</f>
        <v>1633.2659421894227</v>
      </c>
      <c r="AD6" s="105">
        <f>MARCH!AC39</f>
        <v>0</v>
      </c>
      <c r="AE6" s="99">
        <f>MARCH!AD40</f>
        <v>208.54303943143961</v>
      </c>
      <c r="AF6" s="99">
        <f>MARCH!AE40</f>
        <v>192.76232495496288</v>
      </c>
      <c r="AG6" s="99">
        <f t="shared" si="0"/>
        <v>401.30536438640252</v>
      </c>
      <c r="AH6" s="99">
        <f>MARCH!AF40</f>
        <v>384.29950572815198</v>
      </c>
      <c r="AI6" s="99">
        <f>MARCH!AG40</f>
        <v>190.98921673270218</v>
      </c>
      <c r="AJ6" s="99">
        <f>MARCH!AH40</f>
        <v>188.25007003703195</v>
      </c>
      <c r="AK6" s="91">
        <f>MARCH!AI40</f>
        <v>0.50361136990711275</v>
      </c>
    </row>
    <row r="7" spans="1:37" ht="15.75" customHeight="1" x14ac:dyDescent="0.25">
      <c r="A7" s="462"/>
      <c r="B7" s="90" t="s">
        <v>55</v>
      </c>
      <c r="C7" s="103">
        <f>APRIL!B39</f>
        <v>0</v>
      </c>
      <c r="D7" s="103">
        <f>APRIL!C39</f>
        <v>1978.2498678366385</v>
      </c>
      <c r="E7" s="103">
        <f>APRIL!D39</f>
        <v>29322.168229293795</v>
      </c>
      <c r="F7" s="103">
        <f>APRIL!E39</f>
        <v>470.61547771940599</v>
      </c>
      <c r="G7" s="103">
        <f>APRIL!F39</f>
        <v>0</v>
      </c>
      <c r="H7" s="103">
        <f>APRIL!G39</f>
        <v>78616.477783711816</v>
      </c>
      <c r="I7" s="103">
        <f>APRIL!H39</f>
        <v>751.31705979704839</v>
      </c>
      <c r="J7" s="103">
        <f>APRIL!I39</f>
        <v>2499.2046239654228</v>
      </c>
      <c r="K7" s="103">
        <f>APRIL!J39</f>
        <v>8828.4447814146624</v>
      </c>
      <c r="L7" s="104">
        <f>APRIL!K39</f>
        <v>483.15328034957236</v>
      </c>
      <c r="M7" s="103">
        <f>APRIL!L39</f>
        <v>0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5831.004934696989</v>
      </c>
      <c r="W7" s="103">
        <f>APRIL!V39</f>
        <v>4895.8108909455159</v>
      </c>
      <c r="X7" s="103">
        <f>APRIL!W39</f>
        <v>869.78368412595523</v>
      </c>
      <c r="Y7" s="103">
        <f>APRIL!X39</f>
        <v>722.98197049755368</v>
      </c>
      <c r="Z7" s="103">
        <f>APRIL!Y39</f>
        <v>1556.1454451931299</v>
      </c>
      <c r="AA7" s="103">
        <f>APRIL!Z39</f>
        <v>1231.150591503304</v>
      </c>
      <c r="AB7" s="103">
        <f>APRIL!AA39</f>
        <v>0</v>
      </c>
      <c r="AC7" s="105">
        <f>APRIL!AB39</f>
        <v>1744.7021877209429</v>
      </c>
      <c r="AD7" s="105">
        <f>APRIL!AC39</f>
        <v>0</v>
      </c>
      <c r="AE7" s="99">
        <f>APRIL!AD40</f>
        <v>237.93811864607761</v>
      </c>
      <c r="AF7" s="99">
        <f>APRIL!AE40</f>
        <v>187.10109300647045</v>
      </c>
      <c r="AG7" s="99">
        <f t="shared" si="0"/>
        <v>425.03921165254803</v>
      </c>
      <c r="AH7" s="99">
        <f>APRIL!AF40</f>
        <v>408.62764611608463</v>
      </c>
      <c r="AI7" s="99">
        <f>APRIL!AG40</f>
        <v>220.12794632455658</v>
      </c>
      <c r="AJ7" s="99">
        <f>APRIL!AH40</f>
        <v>182.89386586525384</v>
      </c>
      <c r="AK7" s="91">
        <f>APRIL!AI40</f>
        <v>0.54619362939314886</v>
      </c>
    </row>
    <row r="8" spans="1:37" ht="15.75" customHeight="1" x14ac:dyDescent="0.25">
      <c r="A8" s="462"/>
      <c r="B8" s="90" t="s">
        <v>56</v>
      </c>
      <c r="C8" s="103">
        <f>MAY!B39</f>
        <v>0</v>
      </c>
      <c r="D8" s="103">
        <f>MAY!C39</f>
        <v>2040.2162906686499</v>
      </c>
      <c r="E8" s="103">
        <f>MAY!D39</f>
        <v>29629.6665924708</v>
      </c>
      <c r="F8" s="103">
        <f>MAY!E39</f>
        <v>487.20569843600185</v>
      </c>
      <c r="G8" s="103">
        <f>MAY!F39</f>
        <v>0</v>
      </c>
      <c r="H8" s="103">
        <f>MAY!G39</f>
        <v>71221.309662803047</v>
      </c>
      <c r="I8" s="103">
        <f>MAY!H39</f>
        <v>775.14969392220178</v>
      </c>
      <c r="J8" s="103">
        <f>MAY!I39</f>
        <v>6716.3707101901327</v>
      </c>
      <c r="K8" s="103">
        <f>MAY!J39</f>
        <v>23616.670030180609</v>
      </c>
      <c r="L8" s="104">
        <f>MAY!K39</f>
        <v>1296.4062791362423</v>
      </c>
      <c r="M8" s="103">
        <f>MAY!L39</f>
        <v>0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14559.619763535135</v>
      </c>
      <c r="W8" s="103">
        <f>MAY!V39</f>
        <v>4487.8597071205277</v>
      </c>
      <c r="X8" s="103">
        <f>MAY!W39</f>
        <v>2392.7943117557907</v>
      </c>
      <c r="Y8" s="103">
        <f>MAY!X39</f>
        <v>737.29862928996965</v>
      </c>
      <c r="Z8" s="103">
        <f>MAY!Y39</f>
        <v>7869.4619628322407</v>
      </c>
      <c r="AA8" s="103">
        <f>MAY!Z39</f>
        <v>2416.1053843287341</v>
      </c>
      <c r="AB8" s="103">
        <f>MAY!AA39</f>
        <v>0</v>
      </c>
      <c r="AC8" s="105">
        <f>MAY!AB39</f>
        <v>3167.4006645308409</v>
      </c>
      <c r="AD8" s="105">
        <f>MAY!AC39</f>
        <v>0</v>
      </c>
      <c r="AE8" s="99">
        <f>MAY!AD40</f>
        <v>645.20964333804545</v>
      </c>
      <c r="AF8" s="99">
        <f>MAY!AE40</f>
        <v>193.34792428067362</v>
      </c>
      <c r="AG8" s="99">
        <f t="shared" si="0"/>
        <v>838.55756761871908</v>
      </c>
      <c r="AH8" s="99">
        <f>MAY!AF40</f>
        <v>798.26063589039825</v>
      </c>
      <c r="AI8" s="99">
        <f>MAY!AG40</f>
        <v>620.06911510662246</v>
      </c>
      <c r="AJ8" s="99">
        <f>MAY!AH40</f>
        <v>191.01773746987831</v>
      </c>
      <c r="AK8" s="91">
        <f>MAY!AI40</f>
        <v>0.76449163629876282</v>
      </c>
    </row>
    <row r="9" spans="1:37" ht="15.75" customHeight="1" x14ac:dyDescent="0.25">
      <c r="A9" s="462"/>
      <c r="B9" s="90" t="s">
        <v>57</v>
      </c>
      <c r="C9" s="103">
        <f>JUNE!B39</f>
        <v>0</v>
      </c>
      <c r="D9" s="103">
        <f>JUNE!C39</f>
        <v>2202.2705054481826</v>
      </c>
      <c r="E9" s="103">
        <f>JUNE!D39</f>
        <v>26325.79423848194</v>
      </c>
      <c r="F9" s="103">
        <f>JUNE!E39</f>
        <v>521.32767195204883</v>
      </c>
      <c r="G9" s="103">
        <f>JUNE!F39</f>
        <v>0</v>
      </c>
      <c r="H9" s="103">
        <f>JUNE!G39</f>
        <v>82846.998897043901</v>
      </c>
      <c r="I9" s="103">
        <f>JUNE!H39</f>
        <v>834.69698097308583</v>
      </c>
      <c r="J9" s="103">
        <f>JUNE!I39</f>
        <v>7769.0806276361118</v>
      </c>
      <c r="K9" s="103">
        <f>JUNE!J39</f>
        <v>18614.813046709685</v>
      </c>
      <c r="L9" s="104">
        <f>JUNE!K39</f>
        <v>1020.0332151100038</v>
      </c>
      <c r="M9" s="103">
        <f>JUNE!L39</f>
        <v>0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12630.022551693792</v>
      </c>
      <c r="W9" s="103">
        <f>JUNE!V39</f>
        <v>5045.3397126214822</v>
      </c>
      <c r="X9" s="103">
        <f>JUNE!W39</f>
        <v>2049.782653124917</v>
      </c>
      <c r="Y9" s="103">
        <f>JUNE!X39</f>
        <v>819.60412290912132</v>
      </c>
      <c r="Z9" s="103">
        <f>JUNE!Y39</f>
        <v>9913.3615901012345</v>
      </c>
      <c r="AA9" s="103">
        <f>JUNE!Z39</f>
        <v>4063.0904228270915</v>
      </c>
      <c r="AB9" s="103">
        <f>JUNE!AA39</f>
        <v>0</v>
      </c>
      <c r="AC9" s="105">
        <f>JUNE!AB39</f>
        <v>2867.6708072291299</v>
      </c>
      <c r="AD9" s="105">
        <f>JUNE!AC39</f>
        <v>0</v>
      </c>
      <c r="AE9" s="99">
        <f>JUNE!AD40</f>
        <v>531.23046117482261</v>
      </c>
      <c r="AF9" s="99">
        <f>JUNE!AE40</f>
        <v>207.89136227173108</v>
      </c>
      <c r="AG9" s="99">
        <f t="shared" si="0"/>
        <v>739.12182344655366</v>
      </c>
      <c r="AH9" s="99">
        <f>JUNE!AF40</f>
        <v>720.96505059401181</v>
      </c>
      <c r="AI9" s="99">
        <f>JUNE!AG40</f>
        <v>509.0811077112088</v>
      </c>
      <c r="AJ9" s="99">
        <f>JUNE!AH40</f>
        <v>202.76109124201662</v>
      </c>
      <c r="AK9" s="91">
        <f>JUNE!AI40</f>
        <v>0.71516005718657893</v>
      </c>
    </row>
    <row r="10" spans="1:37" ht="15.75" customHeight="1" x14ac:dyDescent="0.25">
      <c r="A10" s="462"/>
      <c r="B10" s="90" t="s">
        <v>58</v>
      </c>
      <c r="C10" s="103">
        <f>JULY!B39</f>
        <v>0</v>
      </c>
      <c r="D10" s="103">
        <f>JULY!C39</f>
        <v>2387.923163211341</v>
      </c>
      <c r="E10" s="103">
        <f>JULY!D39</f>
        <v>27794.072948455807</v>
      </c>
      <c r="F10" s="103">
        <f>JULY!E39</f>
        <v>565.5351915876073</v>
      </c>
      <c r="G10" s="103">
        <f>JULY!F39</f>
        <v>0</v>
      </c>
      <c r="H10" s="103">
        <f>JULY!G39</f>
        <v>83082.942942682916</v>
      </c>
      <c r="I10" s="103">
        <f>JULY!H39</f>
        <v>915.88657340109501</v>
      </c>
      <c r="J10" s="103">
        <f>JULY!I39</f>
        <v>7453.1535406748417</v>
      </c>
      <c r="K10" s="103">
        <f>JULY!J39</f>
        <v>19760.061962890628</v>
      </c>
      <c r="L10" s="104">
        <f>JULY!K39</f>
        <v>1083.3487385228277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12373.823171513915</v>
      </c>
      <c r="W10" s="103">
        <f>JULY!V39</f>
        <v>5360.2322772725038</v>
      </c>
      <c r="X10" s="103">
        <f>JULY!W39</f>
        <v>2067.136636824006</v>
      </c>
      <c r="Y10" s="103">
        <f>JULY!X39</f>
        <v>895.01721398572704</v>
      </c>
      <c r="Z10" s="103">
        <f>JULY!Y39</f>
        <v>12101.570115560662</v>
      </c>
      <c r="AA10" s="103">
        <f>JULY!Z39</f>
        <v>5234.4580983694568</v>
      </c>
      <c r="AB10" s="103">
        <f>JULY!AA39</f>
        <v>0</v>
      </c>
      <c r="AC10" s="105">
        <f>JULY!AB39</f>
        <v>3492.1612180391817</v>
      </c>
      <c r="AD10" s="105">
        <f>JULY!AC39</f>
        <v>0</v>
      </c>
      <c r="AE10" s="99">
        <f>JULY!AD40</f>
        <v>549.68116467005416</v>
      </c>
      <c r="AF10" s="99">
        <f>JULY!AE40</f>
        <v>232.90364440986809</v>
      </c>
      <c r="AG10" s="99">
        <f t="shared" si="0"/>
        <v>782.58480907992225</v>
      </c>
      <c r="AH10" s="99">
        <f>JULY!AF40</f>
        <v>741.45077527761464</v>
      </c>
      <c r="AI10" s="99">
        <f>JULY!AG40</f>
        <v>511.09904900405331</v>
      </c>
      <c r="AJ10" s="99">
        <f>JULY!AH40</f>
        <v>221.13421586958106</v>
      </c>
      <c r="AK10" s="91">
        <f>JULY!AI40</f>
        <v>0.69800031427451814</v>
      </c>
    </row>
    <row r="11" spans="1:37" ht="15.75" customHeight="1" x14ac:dyDescent="0.25">
      <c r="A11" s="462"/>
      <c r="B11" s="90" t="s">
        <v>59</v>
      </c>
      <c r="C11" s="103">
        <f>AUGUST!B39</f>
        <v>0</v>
      </c>
      <c r="D11" s="103">
        <f>AUGUST!C39</f>
        <v>2452.567936611174</v>
      </c>
      <c r="E11" s="103">
        <f>AUGUST!D39</f>
        <v>30433.159522688373</v>
      </c>
      <c r="F11" s="103">
        <f>AUGUST!E39</f>
        <v>581.59764104634576</v>
      </c>
      <c r="G11" s="103">
        <f>AUGUST!F39</f>
        <v>0</v>
      </c>
      <c r="H11" s="103">
        <f>AUGUST!G39</f>
        <v>90174.574289194788</v>
      </c>
      <c r="I11" s="103">
        <f>AUGUST!H39</f>
        <v>932.77819061776199</v>
      </c>
      <c r="J11" s="103">
        <f>AUGUST!I39</f>
        <v>9123.7044394334207</v>
      </c>
      <c r="K11" s="103">
        <f>AUGUST!J39</f>
        <v>24934.911190970743</v>
      </c>
      <c r="L11" s="104">
        <f>AUGUST!K39</f>
        <v>1367.7322325895232</v>
      </c>
      <c r="M11" s="103">
        <f>AUGUST!L39</f>
        <v>0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15126.693190757323</v>
      </c>
      <c r="W11" s="103">
        <f>AUGUST!V39</f>
        <v>5350.6240786951103</v>
      </c>
      <c r="X11" s="103">
        <f>AUGUST!W39</f>
        <v>2656.5586698673419</v>
      </c>
      <c r="Y11" s="103">
        <f>AUGUST!X39</f>
        <v>939.71807599641295</v>
      </c>
      <c r="Z11" s="103">
        <f>AUGUST!Y39</f>
        <v>18355.942581374547</v>
      </c>
      <c r="AA11" s="103">
        <f>AUGUST!Z39</f>
        <v>6433.7656016676638</v>
      </c>
      <c r="AB11" s="103">
        <f>AUGUST!AA39</f>
        <v>0</v>
      </c>
      <c r="AC11" s="105">
        <f>AUGUST!AB39</f>
        <v>4569.8443521254667</v>
      </c>
      <c r="AD11" s="105">
        <f>AUGUST!AC39</f>
        <v>0</v>
      </c>
      <c r="AE11" s="99">
        <f>AUGUST!AD40</f>
        <v>672.01822854924933</v>
      </c>
      <c r="AF11" s="99">
        <f>AUGUST!AE40</f>
        <v>231.90895889700775</v>
      </c>
      <c r="AG11" s="99">
        <f t="shared" si="0"/>
        <v>903.92718744625711</v>
      </c>
      <c r="AH11" s="99">
        <f>AUGUST!AF40</f>
        <v>886.24203037917607</v>
      </c>
      <c r="AI11" s="99">
        <f>AUGUST!AG40</f>
        <v>646.17714075069227</v>
      </c>
      <c r="AJ11" s="99">
        <f>AUGUST!AH40</f>
        <v>228.41317303705111</v>
      </c>
      <c r="AK11" s="91">
        <f>AUGUST!AI40</f>
        <v>0.73883409244744358</v>
      </c>
    </row>
    <row r="12" spans="1:37" ht="15.75" customHeight="1" x14ac:dyDescent="0.25">
      <c r="A12" s="462"/>
      <c r="B12" s="90" t="s">
        <v>60</v>
      </c>
      <c r="C12" s="103">
        <f>SEPTEMBER!B39</f>
        <v>0</v>
      </c>
      <c r="D12" s="103">
        <f>SEPTEMBER!C39</f>
        <v>2371.754764216736</v>
      </c>
      <c r="E12" s="103">
        <f>SEPTEMBER!D39</f>
        <v>30206.793559595735</v>
      </c>
      <c r="F12" s="103">
        <f>SEPTEMBER!E39</f>
        <v>559.0461922718091</v>
      </c>
      <c r="G12" s="103">
        <f>SEPTEMBER!F39</f>
        <v>0</v>
      </c>
      <c r="H12" s="103">
        <f>SEPTEMBER!G39</f>
        <v>81626.426717656504</v>
      </c>
      <c r="I12" s="103">
        <f>SEPTEMBER!H39</f>
        <v>901.47507222871172</v>
      </c>
      <c r="J12" s="103">
        <f>SEPTEMBER!I39</f>
        <v>10813.947689830464</v>
      </c>
      <c r="K12" s="103">
        <f>SEPTEMBER!J39</f>
        <v>22072.809138704921</v>
      </c>
      <c r="L12" s="104">
        <f>SEPTEMBER!K39</f>
        <v>1210.6115887731312</v>
      </c>
      <c r="M12" s="103">
        <f>SEPTEMBER!L39</f>
        <v>0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12924.183224602528</v>
      </c>
      <c r="W12" s="103">
        <f>SEPTEMBER!V39</f>
        <v>5282.0430207350282</v>
      </c>
      <c r="X12" s="103">
        <f>SEPTEMBER!W39</f>
        <v>2236.9731673803872</v>
      </c>
      <c r="Y12" s="103">
        <f>SEPTEMBER!X39</f>
        <v>911.2388328688387</v>
      </c>
      <c r="Z12" s="103">
        <f>SEPTEMBER!Y39</f>
        <v>13505.256582034748</v>
      </c>
      <c r="AA12" s="103">
        <f>SEPTEMBER!Z39</f>
        <v>5445.8706880566269</v>
      </c>
      <c r="AB12" s="103">
        <f>SEPTEMBER!AA39</f>
        <v>0</v>
      </c>
      <c r="AC12" s="105">
        <f>SEPTEMBER!AB39</f>
        <v>3659.775376518035</v>
      </c>
      <c r="AD12" s="105">
        <f>SEPTEMBER!AC39</f>
        <v>0</v>
      </c>
      <c r="AE12" s="99">
        <f>SEPTEMBER!AD40</f>
        <v>563.97661831197445</v>
      </c>
      <c r="AF12" s="99">
        <f>SEPTEMBER!AE40</f>
        <v>224.57726707129547</v>
      </c>
      <c r="AG12" s="99">
        <f t="shared" si="0"/>
        <v>788.55388538326997</v>
      </c>
      <c r="AH12" s="99">
        <f>SEPTEMBER!AF40</f>
        <v>773.22824027154161</v>
      </c>
      <c r="AI12" s="99">
        <f>SEPTEMBER!AG40</f>
        <v>542.47709031801958</v>
      </c>
      <c r="AJ12" s="99">
        <f>SEPTEMBER!AH40</f>
        <v>221.09038777437473</v>
      </c>
      <c r="AK12" s="91">
        <f>SEPTEMBER!AI40</f>
        <v>0.7104507537084731</v>
      </c>
    </row>
    <row r="13" spans="1:37" ht="15.75" customHeight="1" x14ac:dyDescent="0.25">
      <c r="A13" s="462"/>
      <c r="B13" s="90" t="s">
        <v>61</v>
      </c>
      <c r="C13" s="103">
        <f>OCTOBER!B39</f>
        <v>0</v>
      </c>
      <c r="D13" s="103">
        <f>OCTOBER!C39</f>
        <v>2407.9934797247265</v>
      </c>
      <c r="E13" s="103">
        <f>OCTOBER!D39</f>
        <v>29750.926574522655</v>
      </c>
      <c r="F13" s="103">
        <f>OCTOBER!E39</f>
        <v>566.59968284040679</v>
      </c>
      <c r="G13" s="103">
        <f>OCTOBER!F39</f>
        <v>0</v>
      </c>
      <c r="H13" s="103">
        <f>OCTOBER!G39</f>
        <v>84609.553154296926</v>
      </c>
      <c r="I13" s="103">
        <f>OCTOBER!H39</f>
        <v>916.04731548488292</v>
      </c>
      <c r="J13" s="103">
        <f>OCTOBER!I39</f>
        <v>8227.9045688120532</v>
      </c>
      <c r="K13" s="103">
        <f>OCTOBER!J39</f>
        <v>19035.980051581068</v>
      </c>
      <c r="L13" s="104">
        <f>OCTOBER!K39</f>
        <v>1042.5826086560885</v>
      </c>
      <c r="M13" s="103">
        <f>OCTOBER!L39</f>
        <v>0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10236.91987419812</v>
      </c>
      <c r="W13" s="103">
        <f>OCTOBER!V39</f>
        <v>5420.9996487920225</v>
      </c>
      <c r="X13" s="103">
        <f>OCTOBER!W39</f>
        <v>1772.4148661770803</v>
      </c>
      <c r="Y13" s="103">
        <f>OCTOBER!X39</f>
        <v>937.02661325152815</v>
      </c>
      <c r="Z13" s="103">
        <f>OCTOBER!Y39</f>
        <v>7849.6092465136289</v>
      </c>
      <c r="AA13" s="103">
        <f>OCTOBER!Z39</f>
        <v>4140.6152413489563</v>
      </c>
      <c r="AB13" s="103">
        <f>OCTOBER!AA39</f>
        <v>0</v>
      </c>
      <c r="AC13" s="105">
        <f>OCTOBER!AB39</f>
        <v>2849.5693543794332</v>
      </c>
      <c r="AD13" s="105">
        <f>OCTOBER!AC39</f>
        <v>0</v>
      </c>
      <c r="AE13" s="99">
        <f>OCTOBER!AD40</f>
        <v>440.45815490349958</v>
      </c>
      <c r="AF13" s="99">
        <f>OCTOBER!AE40</f>
        <v>227.77622587088882</v>
      </c>
      <c r="AG13" s="99">
        <f t="shared" si="0"/>
        <v>668.23438077438846</v>
      </c>
      <c r="AH13" s="99">
        <f>OCTOBER!AF40</f>
        <v>648.64577983833044</v>
      </c>
      <c r="AI13" s="99">
        <f>OCTOBER!AG40</f>
        <v>418.69349216679853</v>
      </c>
      <c r="AJ13" s="99">
        <f>OCTOBER!AH40</f>
        <v>221.50700586700566</v>
      </c>
      <c r="AK13" s="91">
        <f>OCTOBER!AI40</f>
        <v>0.65400369642431988</v>
      </c>
    </row>
    <row r="14" spans="1:37" ht="15.75" customHeight="1" x14ac:dyDescent="0.25">
      <c r="A14" s="462"/>
      <c r="B14" s="90" t="s">
        <v>62</v>
      </c>
      <c r="C14" s="103">
        <f>NOVEMBER!B39</f>
        <v>0</v>
      </c>
      <c r="D14" s="103">
        <f>NOVEMBER!C39</f>
        <v>547.07885091305013</v>
      </c>
      <c r="E14" s="103">
        <f>NOVEMBER!D39</f>
        <v>6533.7860395371872</v>
      </c>
      <c r="F14" s="103">
        <f>NOVEMBER!E39</f>
        <v>127.71234350105118</v>
      </c>
      <c r="G14" s="103">
        <f>NOVEMBER!F39</f>
        <v>0</v>
      </c>
      <c r="H14" s="103">
        <f>NOVEMBER!G39</f>
        <v>17564.143476359073</v>
      </c>
      <c r="I14" s="103">
        <f>NOVEMBER!H39</f>
        <v>205.83517290155126</v>
      </c>
      <c r="J14" s="103">
        <f>NOVEMBER!I39</f>
        <v>8793.3135385402129</v>
      </c>
      <c r="K14" s="103">
        <f>NOVEMBER!J39</f>
        <v>18827.430632947271</v>
      </c>
      <c r="L14" s="104">
        <f>NOVEMBER!K39</f>
        <v>1029.181515654921</v>
      </c>
      <c r="M14" s="103">
        <f>NOVEMBER!L39</f>
        <v>0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10981.767856531687</v>
      </c>
      <c r="W14" s="103">
        <f>NOVEMBER!V39</f>
        <v>1258.4694704336466</v>
      </c>
      <c r="X14" s="103">
        <f>NOVEMBER!W39</f>
        <v>1863.4393448623034</v>
      </c>
      <c r="Y14" s="103">
        <f>NOVEMBER!X39</f>
        <v>211.25376623312616</v>
      </c>
      <c r="Z14" s="103">
        <f>NOVEMBER!Y39</f>
        <v>7266.6714879981464</v>
      </c>
      <c r="AA14" s="103">
        <f>NOVEMBER!Z39</f>
        <v>901.14384981395517</v>
      </c>
      <c r="AB14" s="103">
        <f>NOVEMBER!AA39</f>
        <v>0</v>
      </c>
      <c r="AC14" s="105">
        <f>NOVEMBER!AB39</f>
        <v>2042.4698581706305</v>
      </c>
      <c r="AD14" s="105">
        <f>NOVEMBER!AC39</f>
        <v>0</v>
      </c>
      <c r="AE14" s="99">
        <f>NOVEMBER!AD40</f>
        <v>462.71131724941614</v>
      </c>
      <c r="AF14" s="99">
        <f>NOVEMBER!AE40</f>
        <v>51.305068775427884</v>
      </c>
      <c r="AG14" s="99">
        <f t="shared" si="0"/>
        <v>514.016386024844</v>
      </c>
      <c r="AH14" s="99">
        <f>NOVEMBER!AF40</f>
        <v>499.11155325306783</v>
      </c>
      <c r="AI14" s="99">
        <f>NOVEMBER!AG40</f>
        <v>443.10605583876901</v>
      </c>
      <c r="AJ14" s="99">
        <f>NOVEMBER!AH40</f>
        <v>49.657526547637261</v>
      </c>
      <c r="AK14" s="91">
        <f>NOVEMBER!AI40</f>
        <v>0.89922646818348329</v>
      </c>
    </row>
    <row r="15" spans="1:37" ht="15.75" customHeight="1" x14ac:dyDescent="0.25">
      <c r="A15" s="463"/>
      <c r="B15" s="92" t="s">
        <v>63</v>
      </c>
      <c r="C15" s="106">
        <f>DECEMBER!B39</f>
        <v>0</v>
      </c>
      <c r="D15" s="106">
        <f>DECEMBER!C39</f>
        <v>0</v>
      </c>
      <c r="E15" s="106">
        <f>DECEMBER!D39</f>
        <v>0</v>
      </c>
      <c r="F15" s="106">
        <f>DECEMBER!E39</f>
        <v>0.52</v>
      </c>
      <c r="G15" s="106">
        <f>DECEMBER!F39</f>
        <v>0</v>
      </c>
      <c r="H15" s="106">
        <f>DECEMBER!G39</f>
        <v>0</v>
      </c>
      <c r="I15" s="106">
        <f>DECEMBER!H39</f>
        <v>0</v>
      </c>
      <c r="J15" s="106">
        <f>DECEMBER!I39</f>
        <v>6524.1145082084349</v>
      </c>
      <c r="K15" s="106">
        <f>DECEMBER!J39</f>
        <v>18009.905885728211</v>
      </c>
      <c r="L15" s="107">
        <f>DECEMBER!K39</f>
        <v>994.60690151900076</v>
      </c>
      <c r="M15" s="106">
        <f>DECEMBER!L39</f>
        <v>0</v>
      </c>
      <c r="N15" s="106">
        <f>DECEMBER!M39</f>
        <v>0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10565.071904178174</v>
      </c>
      <c r="W15" s="106">
        <f>DECEMBER!V39</f>
        <v>0</v>
      </c>
      <c r="X15" s="106">
        <f>DECEMBER!W39</f>
        <v>1721.9477228736882</v>
      </c>
      <c r="Y15" s="106">
        <f>DECEMBER!X39</f>
        <v>0</v>
      </c>
      <c r="Z15" s="106">
        <f>DECEMBER!Y39</f>
        <v>7012.9446329720813</v>
      </c>
      <c r="AA15" s="106">
        <f>DECEMBER!Z39</f>
        <v>0</v>
      </c>
      <c r="AB15" s="106">
        <f>DECEMBER!AA39</f>
        <v>0</v>
      </c>
      <c r="AC15" s="108">
        <f>DECEMBER!AB39</f>
        <v>1717.8484787755501</v>
      </c>
      <c r="AD15" s="108">
        <f>DECEMBER!AC39</f>
        <v>0</v>
      </c>
      <c r="AE15" s="100">
        <f>DECEMBER!AD40</f>
        <v>431.79969551087265</v>
      </c>
      <c r="AF15" s="100">
        <f>DECEMBER!AE40</f>
        <v>0</v>
      </c>
      <c r="AG15" s="100">
        <f t="shared" si="0"/>
        <v>431.79969551087265</v>
      </c>
      <c r="AH15" s="100">
        <f>DECEMBER!AF40</f>
        <v>419.62941029065178</v>
      </c>
      <c r="AI15" s="100">
        <f>DECEMBER!AG40</f>
        <v>413.89421101759234</v>
      </c>
      <c r="AJ15" s="100">
        <f>DECEMBER!AH40</f>
        <v>0</v>
      </c>
      <c r="AK15" s="93">
        <f>DECEMBER!AI40</f>
        <v>1</v>
      </c>
    </row>
    <row r="16" spans="1:37" ht="15.75" customHeight="1" x14ac:dyDescent="0.25">
      <c r="A16" s="466" t="s">
        <v>160</v>
      </c>
      <c r="B16" s="467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2" t="s">
        <v>28</v>
      </c>
      <c r="AF16" s="242" t="s">
        <v>28</v>
      </c>
      <c r="AG16" s="242" t="s">
        <v>28</v>
      </c>
      <c r="AH16" s="242" t="s">
        <v>28</v>
      </c>
      <c r="AI16" s="242" t="s">
        <v>28</v>
      </c>
      <c r="AJ16" s="242" t="s">
        <v>28</v>
      </c>
      <c r="AK16" s="243" t="s">
        <v>34</v>
      </c>
    </row>
    <row r="17" spans="1:37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J17" si="1">SUM(D4:D15)</f>
        <v>22238.55059209825</v>
      </c>
      <c r="E17" s="109">
        <f t="shared" si="1"/>
        <v>294897.8826919109</v>
      </c>
      <c r="F17" s="109">
        <f t="shared" si="1"/>
        <v>5272.5028332409274</v>
      </c>
      <c r="G17" s="109">
        <f t="shared" si="1"/>
        <v>0</v>
      </c>
      <c r="H17" s="109">
        <f t="shared" si="1"/>
        <v>878496.22707717144</v>
      </c>
      <c r="I17" s="109">
        <f t="shared" si="1"/>
        <v>8450.606210199403</v>
      </c>
      <c r="J17" s="109">
        <f t="shared" si="1"/>
        <v>77776.724426187691</v>
      </c>
      <c r="K17" s="109">
        <f t="shared" si="1"/>
        <v>201171.42106562454</v>
      </c>
      <c r="L17" s="109">
        <f t="shared" si="1"/>
        <v>11039.493928794564</v>
      </c>
      <c r="M17" s="109">
        <f t="shared" si="1"/>
        <v>4.4374465942382839E-3</v>
      </c>
      <c r="N17" s="109">
        <f t="shared" si="1"/>
        <v>0</v>
      </c>
      <c r="O17" s="109">
        <f t="shared" si="1"/>
        <v>0</v>
      </c>
      <c r="P17" s="109">
        <f t="shared" si="1"/>
        <v>0</v>
      </c>
      <c r="Q17" s="109">
        <f t="shared" si="1"/>
        <v>0</v>
      </c>
      <c r="R17" s="109">
        <f t="shared" si="1"/>
        <v>0</v>
      </c>
      <c r="S17" s="109">
        <f t="shared" si="1"/>
        <v>0</v>
      </c>
      <c r="T17" s="109">
        <f t="shared" si="1"/>
        <v>0</v>
      </c>
      <c r="U17" s="109">
        <f t="shared" si="1"/>
        <v>0</v>
      </c>
      <c r="V17" s="109">
        <f t="shared" si="1"/>
        <v>124302.95404708546</v>
      </c>
      <c r="W17" s="109">
        <f t="shared" si="1"/>
        <v>51537.11865125654</v>
      </c>
      <c r="X17" s="109">
        <f t="shared" si="1"/>
        <v>20470.477629182522</v>
      </c>
      <c r="Y17" s="109">
        <f t="shared" si="1"/>
        <v>8306.9316450196638</v>
      </c>
      <c r="Z17" s="109">
        <f t="shared" si="1"/>
        <v>93991.717898607996</v>
      </c>
      <c r="AA17" s="109">
        <f t="shared" si="1"/>
        <v>35888.658595607325</v>
      </c>
      <c r="AB17" s="109">
        <f t="shared" si="1"/>
        <v>0</v>
      </c>
      <c r="AC17" s="109">
        <f t="shared" si="1"/>
        <v>32009.663082887153</v>
      </c>
      <c r="AD17" s="109">
        <f t="shared" si="1"/>
        <v>0</v>
      </c>
      <c r="AE17" s="96">
        <f>SUM(AE4:AE15)</f>
        <v>5306.1153546374908</v>
      </c>
      <c r="AF17" s="96">
        <f>SUM(AF4:AF15)</f>
        <v>2109.5553234371732</v>
      </c>
      <c r="AG17" s="96">
        <f>SUM(AG4:AG15)</f>
        <v>7415.6706780746636</v>
      </c>
      <c r="AH17" s="96">
        <f t="shared" si="1"/>
        <v>7169.7887599531805</v>
      </c>
      <c r="AI17" s="96">
        <f t="shared" si="1"/>
        <v>5042.9352764663381</v>
      </c>
      <c r="AJ17" s="96">
        <f t="shared" si="1"/>
        <v>2058.0257850407002</v>
      </c>
      <c r="AK17" s="226">
        <f>IF(SUM(AI17:AJ17)&gt;0, AI17/(AI17+AJ17), "")</f>
        <v>0.71017644411587233</v>
      </c>
    </row>
    <row r="18" spans="1:37" ht="15.75" customHeight="1" thickTop="1" x14ac:dyDescent="0.25">
      <c r="A18" s="461" t="s">
        <v>87</v>
      </c>
      <c r="B18" s="89" t="s">
        <v>52</v>
      </c>
      <c r="C18" s="110">
        <f>JANUARY!B41</f>
        <v>0</v>
      </c>
      <c r="D18" s="110">
        <f>JANUARY!C41</f>
        <v>2821.5433725416501</v>
      </c>
      <c r="E18" s="110">
        <f>JANUARY!D41</f>
        <v>98894.280626766806</v>
      </c>
      <c r="F18" s="110">
        <f>JANUARY!E41</f>
        <v>2123.5352358309378</v>
      </c>
      <c r="G18" s="110">
        <f>JANUARY!F41</f>
        <v>0</v>
      </c>
      <c r="H18" s="110">
        <f>JANUARY!G41</f>
        <v>6861.3389165461667</v>
      </c>
      <c r="I18" s="110">
        <f>JANUARY!H41</f>
        <v>2790.9972671563264</v>
      </c>
      <c r="J18" s="110">
        <f>JANUARY!I41</f>
        <v>3798.7065486949573</v>
      </c>
      <c r="K18" s="110">
        <f>JANUARY!J41</f>
        <v>17049.728748125297</v>
      </c>
      <c r="L18" s="111">
        <f>JANUARY!K41</f>
        <v>2959.028444578521</v>
      </c>
      <c r="M18" s="110">
        <f>JANUARY!L41</f>
        <v>0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2192.465716382228</v>
      </c>
      <c r="W18" s="110">
        <f>JANUARY!V41</f>
        <v>1247.9017196464715</v>
      </c>
      <c r="X18" s="110">
        <f>JANUARY!W41</f>
        <v>1082.437882092262</v>
      </c>
      <c r="Y18" s="110">
        <f>JANUARY!X41</f>
        <v>616.19481559692235</v>
      </c>
      <c r="Z18" s="110">
        <f>JANUARY!Y41</f>
        <v>15757.284643129075</v>
      </c>
      <c r="AA18" s="110">
        <f>JANUARY!Z41</f>
        <v>8957.698563414313</v>
      </c>
      <c r="AB18" s="110">
        <f>JANUARY!AA41</f>
        <v>0</v>
      </c>
      <c r="AC18" s="113">
        <f>JANUARY!AB41</f>
        <v>648.36708199617385</v>
      </c>
      <c r="AD18" s="113">
        <f>JANUARY!AC41</f>
        <v>0</v>
      </c>
      <c r="AE18" s="123"/>
      <c r="AF18" s="123"/>
      <c r="AG18" s="123"/>
      <c r="AH18" s="123"/>
      <c r="AI18" s="123"/>
      <c r="AJ18" s="123"/>
      <c r="AK18" s="124"/>
    </row>
    <row r="19" spans="1:37" ht="15.75" customHeight="1" x14ac:dyDescent="0.25">
      <c r="A19" s="462"/>
      <c r="B19" s="90" t="s">
        <v>53</v>
      </c>
      <c r="C19" s="114">
        <f>FEBRUARY!B41</f>
        <v>0</v>
      </c>
      <c r="D19" s="114">
        <f>FEBRUARY!C41</f>
        <v>2626.3225144904659</v>
      </c>
      <c r="E19" s="114">
        <f>FEBRUARY!D41</f>
        <v>89648.728226397187</v>
      </c>
      <c r="F19" s="114">
        <f>FEBRUARY!E41</f>
        <v>1920.3870585546674</v>
      </c>
      <c r="G19" s="114">
        <f>FEBRUARY!F41</f>
        <v>0</v>
      </c>
      <c r="H19" s="114">
        <f>FEBRUARY!G41</f>
        <v>5355.3958416668811</v>
      </c>
      <c r="I19" s="114">
        <f>FEBRUARY!H41</f>
        <v>2606.2246997533689</v>
      </c>
      <c r="J19" s="114">
        <f>FEBRUARY!I41</f>
        <v>2371.0409067343062</v>
      </c>
      <c r="K19" s="114">
        <f>FEBRUARY!J41</f>
        <v>11142.611514100727</v>
      </c>
      <c r="L19" s="115">
        <f>FEBRUARY!K41</f>
        <v>1871.8779258246634</v>
      </c>
      <c r="M19" s="114">
        <f>FEBRUARY!L41</f>
        <v>0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1476.5196946418541</v>
      </c>
      <c r="W19" s="114">
        <f>FEBRUARY!V41</f>
        <v>1212.1453245421251</v>
      </c>
      <c r="X19" s="114">
        <f>FEBRUARY!W41</f>
        <v>716.89665872826254</v>
      </c>
      <c r="Y19" s="114">
        <f>FEBRUARY!X41</f>
        <v>584.74273621861892</v>
      </c>
      <c r="Z19" s="114">
        <f>FEBRUARY!Y41</f>
        <v>8436.7836099773158</v>
      </c>
      <c r="AA19" s="114">
        <f>FEBRUARY!Z41</f>
        <v>6719.1232045661027</v>
      </c>
      <c r="AB19" s="114">
        <f>FEBRUARY!AA41</f>
        <v>0</v>
      </c>
      <c r="AC19" s="117">
        <f>FEBRUARY!AB41</f>
        <v>479.71347403247944</v>
      </c>
      <c r="AD19" s="117">
        <f>FEBRUARY!AC41</f>
        <v>0</v>
      </c>
      <c r="AE19" s="125"/>
      <c r="AF19" s="125"/>
      <c r="AG19" s="125"/>
      <c r="AH19" s="125"/>
      <c r="AI19" s="125"/>
      <c r="AJ19" s="125"/>
      <c r="AK19" s="126"/>
    </row>
    <row r="20" spans="1:37" ht="15.75" customHeight="1" x14ac:dyDescent="0.25">
      <c r="A20" s="462"/>
      <c r="B20" s="90" t="s">
        <v>54</v>
      </c>
      <c r="C20" s="114">
        <f>MARCH!B41</f>
        <v>0</v>
      </c>
      <c r="D20" s="114">
        <f>MARCH!C41</f>
        <v>2910.5932111583884</v>
      </c>
      <c r="E20" s="114">
        <f>MARCH!D41</f>
        <v>99333.440988553935</v>
      </c>
      <c r="F20" s="114">
        <f>MARCH!E41</f>
        <v>2115.156798005843</v>
      </c>
      <c r="G20" s="114">
        <f>MARCH!F41</f>
        <v>0</v>
      </c>
      <c r="H20" s="114">
        <f>MARCH!G41</f>
        <v>5101.2744059884672</v>
      </c>
      <c r="I20" s="114">
        <f>MARCH!H41</f>
        <v>2893.7796085192931</v>
      </c>
      <c r="J20" s="114">
        <f>MARCH!I41</f>
        <v>1924.7703253274994</v>
      </c>
      <c r="K20" s="114">
        <f>MARCH!J41</f>
        <v>11053.935267239787</v>
      </c>
      <c r="L20" s="115">
        <f>MARCH!K41</f>
        <v>1856.7615399349497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1376.0472726633448</v>
      </c>
      <c r="W20" s="114">
        <f>MARCH!V41</f>
        <v>1358.2061447188707</v>
      </c>
      <c r="X20" s="114">
        <f>MARCH!W41</f>
        <v>640.92596371951811</v>
      </c>
      <c r="Y20" s="114">
        <f>MARCH!X41</f>
        <v>631.88529235333112</v>
      </c>
      <c r="Z20" s="114">
        <f>MARCH!Y41</f>
        <v>4832.9702278691257</v>
      </c>
      <c r="AA20" s="114">
        <f>MARCH!Z41</f>
        <v>4743.5916396669472</v>
      </c>
      <c r="AB20" s="114">
        <f>MARCH!AA41</f>
        <v>0</v>
      </c>
      <c r="AC20" s="117">
        <f>MARCH!AB41</f>
        <v>431.99884170910235</v>
      </c>
      <c r="AD20" s="117">
        <f>MARCH!AC41</f>
        <v>0</v>
      </c>
      <c r="AE20" s="125"/>
      <c r="AF20" s="125"/>
      <c r="AG20" s="125"/>
      <c r="AH20" s="125"/>
      <c r="AI20" s="125"/>
      <c r="AJ20" s="125"/>
      <c r="AK20" s="126"/>
    </row>
    <row r="21" spans="1:37" ht="15.75" customHeight="1" x14ac:dyDescent="0.25">
      <c r="A21" s="462"/>
      <c r="B21" s="90" t="s">
        <v>55</v>
      </c>
      <c r="C21" s="114">
        <f>APRIL!B41</f>
        <v>0</v>
      </c>
      <c r="D21" s="114">
        <f>APRIL!C41</f>
        <v>2826.2768421014616</v>
      </c>
      <c r="E21" s="114">
        <f>APRIL!D41</f>
        <v>52536.006881831221</v>
      </c>
      <c r="F21" s="114">
        <f>APRIL!E41</f>
        <v>2081.7845078489904</v>
      </c>
      <c r="G21" s="114">
        <f>APRIL!F41</f>
        <v>0</v>
      </c>
      <c r="H21" s="114">
        <f>APRIL!G41</f>
        <v>4715.0232550781166</v>
      </c>
      <c r="I21" s="114">
        <f>APRIL!H41</f>
        <v>2809.1974017514876</v>
      </c>
      <c r="J21" s="114">
        <f>APRIL!I41</f>
        <v>1666.4959398911969</v>
      </c>
      <c r="K21" s="114">
        <f>APRIL!J41</f>
        <v>12612.981526327714</v>
      </c>
      <c r="L21" s="115">
        <f>APRIL!K41</f>
        <v>2137.2459291444261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1542.3008052273537</v>
      </c>
      <c r="W21" s="114">
        <f>APRIL!V41</f>
        <v>1294.9419806550891</v>
      </c>
      <c r="X21" s="114">
        <f>APRIL!W41</f>
        <v>747.45174017490251</v>
      </c>
      <c r="Y21" s="114">
        <f>APRIL!X41</f>
        <v>621.29715908216656</v>
      </c>
      <c r="Z21" s="114">
        <f>APRIL!Y41</f>
        <v>2788.1180947636071</v>
      </c>
      <c r="AA21" s="114">
        <f>APRIL!Z41</f>
        <v>2205.8306003159414</v>
      </c>
      <c r="AB21" s="114">
        <f>APRIL!AA41</f>
        <v>0</v>
      </c>
      <c r="AC21" s="117">
        <f>APRIL!AB41</f>
        <v>461.47372865218944</v>
      </c>
      <c r="AD21" s="117">
        <f>APRIL!AC41</f>
        <v>0</v>
      </c>
      <c r="AE21" s="125"/>
      <c r="AF21" s="125"/>
      <c r="AG21" s="125"/>
      <c r="AH21" s="125"/>
      <c r="AI21" s="125"/>
      <c r="AJ21" s="125"/>
      <c r="AK21" s="126"/>
    </row>
    <row r="22" spans="1:37" ht="15.75" customHeight="1" x14ac:dyDescent="0.25">
      <c r="A22" s="462"/>
      <c r="B22" s="90" t="s">
        <v>56</v>
      </c>
      <c r="C22" s="114">
        <f>MAY!B41</f>
        <v>0</v>
      </c>
      <c r="D22" s="114">
        <f>MAY!C41</f>
        <v>2914.8067435488979</v>
      </c>
      <c r="E22" s="114">
        <f>MAY!D41</f>
        <v>53086.946225664593</v>
      </c>
      <c r="F22" s="114">
        <f>MAY!E41</f>
        <v>2155.171946436798</v>
      </c>
      <c r="G22" s="114">
        <f>MAY!F41</f>
        <v>0</v>
      </c>
      <c r="H22" s="114">
        <f>MAY!G41</f>
        <v>4271.4980470266128</v>
      </c>
      <c r="I22" s="114">
        <f>MAY!H41</f>
        <v>2898.3083476407774</v>
      </c>
      <c r="J22" s="114">
        <f>MAY!I41</f>
        <v>4478.5466592073926</v>
      </c>
      <c r="K22" s="114">
        <f>MAY!J41</f>
        <v>33740.554557369491</v>
      </c>
      <c r="L22" s="115">
        <f>MAY!K41</f>
        <v>5734.6998463852178</v>
      </c>
      <c r="M22" s="114">
        <f>MAY!L41</f>
        <v>0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3851.0194274550431</v>
      </c>
      <c r="W22" s="114">
        <f>MAY!V41</f>
        <v>1187.0388925333796</v>
      </c>
      <c r="X22" s="114">
        <f>MAY!W41</f>
        <v>2056.2564058668613</v>
      </c>
      <c r="Y22" s="114">
        <f>MAY!X41</f>
        <v>633.60023135540087</v>
      </c>
      <c r="Z22" s="114">
        <f>MAY!Y41</f>
        <v>14099.57492238359</v>
      </c>
      <c r="AA22" s="114">
        <f>MAY!Z41</f>
        <v>4328.8930104259525</v>
      </c>
      <c r="AB22" s="114">
        <f>MAY!AA41</f>
        <v>0</v>
      </c>
      <c r="AC22" s="117">
        <f>MAY!AB41</f>
        <v>837.7774757684075</v>
      </c>
      <c r="AD22" s="117">
        <f>MAY!AC41</f>
        <v>0</v>
      </c>
      <c r="AE22" s="125"/>
      <c r="AF22" s="125"/>
      <c r="AG22" s="125"/>
      <c r="AH22" s="125"/>
      <c r="AI22" s="125"/>
      <c r="AJ22" s="125"/>
      <c r="AK22" s="126"/>
    </row>
    <row r="23" spans="1:37" ht="15.75" customHeight="1" x14ac:dyDescent="0.25">
      <c r="A23" s="462"/>
      <c r="B23" s="90" t="s">
        <v>57</v>
      </c>
      <c r="C23" s="114">
        <f>JUNE!B41</f>
        <v>0</v>
      </c>
      <c r="D23" s="114">
        <f>JUNE!C41</f>
        <v>3146.3296071885643</v>
      </c>
      <c r="E23" s="114">
        <f>JUNE!D41</f>
        <v>47167.456937950657</v>
      </c>
      <c r="F23" s="114">
        <f>JUNE!E41</f>
        <v>2306.1117246760787</v>
      </c>
      <c r="G23" s="114">
        <f>JUNE!F41</f>
        <v>0</v>
      </c>
      <c r="H23" s="114">
        <f>JUNE!G41</f>
        <v>4968.7487588502081</v>
      </c>
      <c r="I23" s="114">
        <f>JUNE!H41</f>
        <v>3120.9574701162878</v>
      </c>
      <c r="J23" s="114">
        <f>JUNE!I41</f>
        <v>5180.5047087741223</v>
      </c>
      <c r="K23" s="114">
        <f>JUNE!J41</f>
        <v>26594.524730840654</v>
      </c>
      <c r="L23" s="115">
        <f>JUNE!K41</f>
        <v>4512.1536482348456</v>
      </c>
      <c r="M23" s="114">
        <f>JUNE!L41</f>
        <v>0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3340.6409649230081</v>
      </c>
      <c r="W23" s="114">
        <f>JUNE!V41</f>
        <v>1334.4923539883821</v>
      </c>
      <c r="X23" s="114">
        <f>JUNE!W41</f>
        <v>1761.4881021804488</v>
      </c>
      <c r="Y23" s="114">
        <f>JUNE!X41</f>
        <v>704.32975359679597</v>
      </c>
      <c r="Z23" s="114">
        <f>JUNE!Y41</f>
        <v>17761.59350314808</v>
      </c>
      <c r="AA23" s="114">
        <f>JUNE!Z41</f>
        <v>7279.7667875697753</v>
      </c>
      <c r="AB23" s="114">
        <f>JUNE!AA41</f>
        <v>0</v>
      </c>
      <c r="AC23" s="117">
        <f>JUNE!AB41</f>
        <v>758.49892851210484</v>
      </c>
      <c r="AD23" s="117">
        <f>JUNE!AC41</f>
        <v>0</v>
      </c>
      <c r="AE23" s="125"/>
      <c r="AF23" s="125"/>
      <c r="AG23" s="125"/>
      <c r="AH23" s="125"/>
      <c r="AI23" s="125"/>
      <c r="AJ23" s="125"/>
      <c r="AK23" s="126"/>
    </row>
    <row r="24" spans="1:37" ht="15.75" customHeight="1" x14ac:dyDescent="0.25">
      <c r="A24" s="462"/>
      <c r="B24" s="90" t="s">
        <v>58</v>
      </c>
      <c r="C24" s="114">
        <f>JULY!B41</f>
        <v>0</v>
      </c>
      <c r="D24" s="114">
        <f>JULY!C41</f>
        <v>3411.5669848533012</v>
      </c>
      <c r="E24" s="114">
        <f>JULY!D41</f>
        <v>60953.644371024384</v>
      </c>
      <c r="F24" s="114">
        <f>JULY!E41</f>
        <v>2501.6652792546784</v>
      </c>
      <c r="G24" s="114">
        <f>JULY!F41</f>
        <v>0</v>
      </c>
      <c r="H24" s="114">
        <f>JULY!G41</f>
        <v>4982.8995029874077</v>
      </c>
      <c r="I24" s="114">
        <f>JULY!H41</f>
        <v>3424.5278324871829</v>
      </c>
      <c r="J24" s="114">
        <f>JULY!I41</f>
        <v>4969.8412030035388</v>
      </c>
      <c r="K24" s="114">
        <f>JULY!J41</f>
        <v>28230.713638455072</v>
      </c>
      <c r="L24" s="115">
        <f>JULY!K41</f>
        <v>4792.2321454103158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3272.8762288654307</v>
      </c>
      <c r="W24" s="114">
        <f>JULY!V41</f>
        <v>1417.7814373385772</v>
      </c>
      <c r="X24" s="114">
        <f>JULY!W41</f>
        <v>1776.4013105466022</v>
      </c>
      <c r="Y24" s="114">
        <f>JULY!X41</f>
        <v>769.13626490060494</v>
      </c>
      <c r="Z24" s="114">
        <f>JULY!Y41</f>
        <v>26539.284203608699</v>
      </c>
      <c r="AA24" s="114">
        <f>JULY!Z41</f>
        <v>11479.400590001216</v>
      </c>
      <c r="AB24" s="114">
        <f>JULY!AA41</f>
        <v>0</v>
      </c>
      <c r="AC24" s="117">
        <f>JULY!AB41</f>
        <v>923.6766421713636</v>
      </c>
      <c r="AD24" s="117">
        <f>JULY!AC41</f>
        <v>0</v>
      </c>
      <c r="AE24" s="125"/>
      <c r="AF24" s="125"/>
      <c r="AG24" s="125"/>
      <c r="AH24" s="125"/>
      <c r="AI24" s="125"/>
      <c r="AJ24" s="125"/>
      <c r="AK24" s="126"/>
    </row>
    <row r="25" spans="1:37" ht="15.75" customHeight="1" x14ac:dyDescent="0.25">
      <c r="A25" s="462"/>
      <c r="B25" s="90" t="s">
        <v>59</v>
      </c>
      <c r="C25" s="114">
        <f>AUGUST!B41</f>
        <v>0</v>
      </c>
      <c r="D25" s="114">
        <f>AUGUST!C41</f>
        <v>3503.9233797624261</v>
      </c>
      <c r="E25" s="114">
        <f>AUGUST!D41</f>
        <v>66741.279195486277</v>
      </c>
      <c r="F25" s="114">
        <f>AUGUST!E41</f>
        <v>2572.7181026835883</v>
      </c>
      <c r="G25" s="114">
        <f>AUGUST!F41</f>
        <v>0</v>
      </c>
      <c r="H25" s="114">
        <f>AUGUST!G41</f>
        <v>5408.2200929944574</v>
      </c>
      <c r="I25" s="114">
        <f>AUGUST!H41</f>
        <v>3487.6861044546263</v>
      </c>
      <c r="J25" s="114">
        <f>AUGUST!I41</f>
        <v>6083.7821198323154</v>
      </c>
      <c r="K25" s="114">
        <f>AUGUST!J41</f>
        <v>35623.893222328152</v>
      </c>
      <c r="L25" s="115">
        <f>AUGUST!K41</f>
        <v>6050.2127692201293</v>
      </c>
      <c r="M25" s="114">
        <f>AUGUST!L41</f>
        <v>0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4001.0103489553121</v>
      </c>
      <c r="W25" s="114">
        <f>AUGUST!V41</f>
        <v>1415.2400688148568</v>
      </c>
      <c r="X25" s="114">
        <f>AUGUST!W41</f>
        <v>2282.9232565617122</v>
      </c>
      <c r="Y25" s="114">
        <f>AUGUST!X41</f>
        <v>807.55011159259107</v>
      </c>
      <c r="Z25" s="114">
        <f>AUGUST!Y41</f>
        <v>40255.402591587772</v>
      </c>
      <c r="AA25" s="114">
        <f>AUGUST!Z41</f>
        <v>14109.535553779582</v>
      </c>
      <c r="AB25" s="114">
        <f>AUGUST!AA41</f>
        <v>0</v>
      </c>
      <c r="AC25" s="117">
        <f>AUGUST!AB41</f>
        <v>1208.7238311371859</v>
      </c>
      <c r="AD25" s="117">
        <f>AUGUST!AC41</f>
        <v>0</v>
      </c>
      <c r="AE25" s="125"/>
      <c r="AF25" s="125"/>
      <c r="AG25" s="125"/>
      <c r="AH25" s="125"/>
      <c r="AI25" s="125"/>
      <c r="AJ25" s="125"/>
      <c r="AK25" s="126"/>
    </row>
    <row r="26" spans="1:37" ht="15.75" customHeight="1" x14ac:dyDescent="0.25">
      <c r="A26" s="462"/>
      <c r="B26" s="90" t="s">
        <v>60</v>
      </c>
      <c r="C26" s="114">
        <f>SEPTEMBER!B41</f>
        <v>0</v>
      </c>
      <c r="D26" s="114">
        <f>SEPTEMBER!C41</f>
        <v>3388.4675915990601</v>
      </c>
      <c r="E26" s="114">
        <f>SEPTEMBER!D41</f>
        <v>66244.848519865569</v>
      </c>
      <c r="F26" s="114">
        <f>SEPTEMBER!E41</f>
        <v>2472.9609571772694</v>
      </c>
      <c r="G26" s="114">
        <f>SEPTEMBER!F41</f>
        <v>0</v>
      </c>
      <c r="H26" s="114">
        <f>SEPTEMBER!G41</f>
        <v>4895.5449423914488</v>
      </c>
      <c r="I26" s="114">
        <f>SEPTEMBER!H41</f>
        <v>3370.6427900528561</v>
      </c>
      <c r="J26" s="114">
        <f>SEPTEMBER!I41</f>
        <v>7210.8541039365446</v>
      </c>
      <c r="K26" s="114">
        <f>SEPTEMBER!J41</f>
        <v>31534.87854245054</v>
      </c>
      <c r="L26" s="115">
        <f>SEPTEMBER!K41</f>
        <v>5355.1839449551417</v>
      </c>
      <c r="M26" s="114">
        <f>SEPTEMBER!L41</f>
        <v>0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3418.4464629073686</v>
      </c>
      <c r="W26" s="114">
        <f>SEPTEMBER!V41</f>
        <v>1397.1003789844151</v>
      </c>
      <c r="X26" s="114">
        <f>SEPTEMBER!W41</f>
        <v>1922.3509444917383</v>
      </c>
      <c r="Y26" s="114">
        <f>SEPTEMBER!X41</f>
        <v>783.07637148563492</v>
      </c>
      <c r="Z26" s="114">
        <f>SEPTEMBER!Y41</f>
        <v>29617.631369371422</v>
      </c>
      <c r="AA26" s="114">
        <f>SEPTEMBER!Z41</f>
        <v>11943.03784932794</v>
      </c>
      <c r="AB26" s="114">
        <f>SEPTEMBER!AA41</f>
        <v>0</v>
      </c>
      <c r="AC26" s="117">
        <f>SEPTEMBER!AB41</f>
        <v>968.01058708902031</v>
      </c>
      <c r="AD26" s="117">
        <f>SEPTEMBER!AC41</f>
        <v>0</v>
      </c>
      <c r="AE26" s="125"/>
      <c r="AF26" s="125"/>
      <c r="AG26" s="125"/>
      <c r="AH26" s="125"/>
      <c r="AI26" s="125"/>
      <c r="AJ26" s="125"/>
      <c r="AK26" s="126"/>
    </row>
    <row r="27" spans="1:37" ht="15.75" customHeight="1" x14ac:dyDescent="0.25">
      <c r="A27" s="462"/>
      <c r="B27" s="90" t="s">
        <v>61</v>
      </c>
      <c r="C27" s="114">
        <f>OCTOBER!B41</f>
        <v>0</v>
      </c>
      <c r="D27" s="114">
        <f>OCTOBER!C41</f>
        <v>3440.2409515233762</v>
      </c>
      <c r="E27" s="114">
        <f>OCTOBER!D41</f>
        <v>62818.719690837432</v>
      </c>
      <c r="F27" s="114">
        <f>OCTOBER!E41</f>
        <v>2506.3740946331218</v>
      </c>
      <c r="G27" s="114">
        <f>OCTOBER!F41</f>
        <v>0</v>
      </c>
      <c r="H27" s="114">
        <f>OCTOBER!G41</f>
        <v>6159.9985173985888</v>
      </c>
      <c r="I27" s="114">
        <f>OCTOBER!H41</f>
        <v>3425.1288520410994</v>
      </c>
      <c r="J27" s="114">
        <f>OCTOBER!I41</f>
        <v>5486.4533404957492</v>
      </c>
      <c r="K27" s="114">
        <f>OCTOBER!J41</f>
        <v>27196.235653145399</v>
      </c>
      <c r="L27" s="115">
        <f>OCTOBER!K41</f>
        <v>4611.901702364119</v>
      </c>
      <c r="M27" s="114">
        <f>OCTOBER!L41</f>
        <v>0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2707.6653067254028</v>
      </c>
      <c r="W27" s="114">
        <f>OCTOBER!V41</f>
        <v>1433.8544071054901</v>
      </c>
      <c r="X27" s="114">
        <f>OCTOBER!W41</f>
        <v>1523.1310959427922</v>
      </c>
      <c r="Y27" s="114">
        <f>OCTOBER!X41</f>
        <v>805.23719339350851</v>
      </c>
      <c r="Z27" s="114">
        <f>OCTOBER!Y41</f>
        <v>16574.354472765088</v>
      </c>
      <c r="AA27" s="114">
        <f>OCTOBER!Z41</f>
        <v>8742.858732226985</v>
      </c>
      <c r="AB27" s="114">
        <f>OCTOBER!AA41</f>
        <v>0</v>
      </c>
      <c r="AC27" s="117">
        <f>OCTOBER!AB41</f>
        <v>753.71109423336009</v>
      </c>
      <c r="AD27" s="117">
        <f>OCTOBER!AC41</f>
        <v>0</v>
      </c>
      <c r="AE27" s="125"/>
      <c r="AF27" s="125"/>
      <c r="AG27" s="125"/>
      <c r="AH27" s="125"/>
      <c r="AI27" s="125"/>
      <c r="AJ27" s="125"/>
      <c r="AK27" s="126"/>
    </row>
    <row r="28" spans="1:37" ht="15.75" customHeight="1" x14ac:dyDescent="0.25">
      <c r="A28" s="462"/>
      <c r="B28" s="90" t="s">
        <v>62</v>
      </c>
      <c r="C28" s="114">
        <f>NOVEMBER!B41</f>
        <v>0</v>
      </c>
      <c r="D28" s="114">
        <f>NOVEMBER!C41</f>
        <v>781.59807427658825</v>
      </c>
      <c r="E28" s="114">
        <f>NOVEMBER!D41</f>
        <v>13796.009771644527</v>
      </c>
      <c r="F28" s="114">
        <f>NOVEMBER!E41</f>
        <v>564.94014912126602</v>
      </c>
      <c r="G28" s="114">
        <f>NOVEMBER!F41</f>
        <v>0</v>
      </c>
      <c r="H28" s="114">
        <f>NOVEMBER!G41</f>
        <v>1278.7574657963225</v>
      </c>
      <c r="I28" s="114">
        <f>NOVEMBER!H41</f>
        <v>769.62398945167365</v>
      </c>
      <c r="J28" s="114">
        <f>NOVEMBER!I41</f>
        <v>5863.473990743666</v>
      </c>
      <c r="K28" s="114">
        <f>NOVEMBER!J41</f>
        <v>26898.286237400971</v>
      </c>
      <c r="L28" s="115">
        <f>NOVEMBER!K41</f>
        <v>4552.6214850341066</v>
      </c>
      <c r="M28" s="114">
        <f>NOVEMBER!L41</f>
        <v>0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2904.6775980526313</v>
      </c>
      <c r="W28" s="114">
        <f>NOVEMBER!V41</f>
        <v>332.86517492969955</v>
      </c>
      <c r="X28" s="114">
        <f>NOVEMBER!W41</f>
        <v>1601.3533093890621</v>
      </c>
      <c r="Y28" s="114">
        <f>NOVEMBER!X41</f>
        <v>181.54168452599541</v>
      </c>
      <c r="Z28" s="114">
        <f>NOVEMBER!Y41</f>
        <v>15343.48848418279</v>
      </c>
      <c r="AA28" s="114">
        <f>NOVEMBER!Z41</f>
        <v>1902.7542809729523</v>
      </c>
      <c r="AB28" s="114">
        <f>NOVEMBER!AA41</f>
        <v>0</v>
      </c>
      <c r="AC28" s="117">
        <f>NOVEMBER!AB41</f>
        <v>540.23327748613178</v>
      </c>
      <c r="AD28" s="117">
        <f>NOVEMBER!AC41</f>
        <v>0</v>
      </c>
      <c r="AE28" s="125"/>
      <c r="AF28" s="125"/>
      <c r="AG28" s="125"/>
      <c r="AH28" s="125"/>
      <c r="AI28" s="125"/>
      <c r="AJ28" s="125"/>
      <c r="AK28" s="126"/>
    </row>
    <row r="29" spans="1:37" ht="15.75" customHeight="1" x14ac:dyDescent="0.25">
      <c r="A29" s="463"/>
      <c r="B29" s="92" t="s">
        <v>63</v>
      </c>
      <c r="C29" s="118">
        <f>DECEMBER!B41</f>
        <v>0</v>
      </c>
      <c r="D29" s="118">
        <f>DECEMBER!C41</f>
        <v>0</v>
      </c>
      <c r="E29" s="118">
        <f>DECEMBER!D41</f>
        <v>0</v>
      </c>
      <c r="F29" s="118">
        <f>DECEMBER!E41</f>
        <v>2.3002387200000003</v>
      </c>
      <c r="G29" s="118">
        <f>DECEMBER!F41</f>
        <v>0</v>
      </c>
      <c r="H29" s="118">
        <f>DECEMBER!G41</f>
        <v>0</v>
      </c>
      <c r="I29" s="118">
        <f>DECEMBER!H41</f>
        <v>0</v>
      </c>
      <c r="J29" s="118">
        <f>DECEMBER!I41</f>
        <v>4350.3482008062392</v>
      </c>
      <c r="K29" s="118">
        <f>DECEMBER!J41</f>
        <v>25730.30877485887</v>
      </c>
      <c r="L29" s="119">
        <f>DECEMBER!K41</f>
        <v>4399.6794347177547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2794.4615186551273</v>
      </c>
      <c r="W29" s="118">
        <f>DECEMBER!V41</f>
        <v>0</v>
      </c>
      <c r="X29" s="118">
        <f>DECEMBER!W41</f>
        <v>1479.7619746633063</v>
      </c>
      <c r="Y29" s="118">
        <f>DECEMBER!X41</f>
        <v>0</v>
      </c>
      <c r="Z29" s="118">
        <f>DECEMBER!Y41</f>
        <v>14807.747315113811</v>
      </c>
      <c r="AA29" s="118">
        <f>DECEMBER!Z41</f>
        <v>0</v>
      </c>
      <c r="AB29" s="118">
        <f>DECEMBER!AA41</f>
        <v>0</v>
      </c>
      <c r="AC29" s="121">
        <f>DECEMBER!AB41</f>
        <v>454.370922636133</v>
      </c>
      <c r="AD29" s="121">
        <f>DECEMBER!AC41</f>
        <v>0</v>
      </c>
      <c r="AE29" s="125"/>
      <c r="AF29" s="125"/>
      <c r="AG29" s="127"/>
      <c r="AH29" s="127"/>
      <c r="AI29" s="127"/>
      <c r="AJ29" s="127"/>
      <c r="AK29" s="128"/>
    </row>
    <row r="30" spans="1:37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2">SUM(D18:D29)</f>
        <v>31771.669273044179</v>
      </c>
      <c r="E30" s="122">
        <f t="shared" si="2"/>
        <v>711221.36143602245</v>
      </c>
      <c r="F30" s="122">
        <f t="shared" si="2"/>
        <v>23323.106092943242</v>
      </c>
      <c r="G30" s="122">
        <f t="shared" si="2"/>
        <v>0</v>
      </c>
      <c r="H30" s="122">
        <f t="shared" si="2"/>
        <v>53998.699746724677</v>
      </c>
      <c r="I30" s="122">
        <f t="shared" si="2"/>
        <v>31597.074363424981</v>
      </c>
      <c r="J30" s="122">
        <f t="shared" si="2"/>
        <v>53384.81804744753</v>
      </c>
      <c r="K30" s="122">
        <f t="shared" si="2"/>
        <v>287408.65241264267</v>
      </c>
      <c r="L30" s="122">
        <f t="shared" si="2"/>
        <v>48833.598815804195</v>
      </c>
      <c r="M30" s="122">
        <f t="shared" si="2"/>
        <v>0</v>
      </c>
      <c r="N30" s="122">
        <f t="shared" si="2"/>
        <v>0</v>
      </c>
      <c r="O30" s="122">
        <f t="shared" si="2"/>
        <v>0</v>
      </c>
      <c r="P30" s="122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122">
        <f t="shared" si="2"/>
        <v>0</v>
      </c>
      <c r="U30" s="122">
        <f t="shared" si="2"/>
        <v>0</v>
      </c>
      <c r="V30" s="122">
        <f t="shared" si="2"/>
        <v>32878.131345454109</v>
      </c>
      <c r="W30" s="122">
        <f t="shared" si="2"/>
        <v>13631.567883257354</v>
      </c>
      <c r="X30" s="122">
        <f t="shared" si="2"/>
        <v>17591.378644357468</v>
      </c>
      <c r="Y30" s="122">
        <f t="shared" si="2"/>
        <v>7138.5916141015696</v>
      </c>
      <c r="Z30" s="122">
        <f t="shared" si="2"/>
        <v>206814.23343790037</v>
      </c>
      <c r="AA30" s="122">
        <f t="shared" si="2"/>
        <v>82412.490812267715</v>
      </c>
      <c r="AB30" s="122">
        <f t="shared" si="2"/>
        <v>0</v>
      </c>
      <c r="AC30" s="122">
        <f t="shared" si="2"/>
        <v>8466.5558854236515</v>
      </c>
      <c r="AD30" s="122">
        <f t="shared" si="2"/>
        <v>0</v>
      </c>
      <c r="AE30" s="129"/>
      <c r="AF30" s="129"/>
      <c r="AG30" s="129"/>
      <c r="AH30" s="129" t="str">
        <f>IF(SUM(AH18:AH29)&gt;0, AVERAGE(AH18:AH29), "")</f>
        <v/>
      </c>
      <c r="AI30" s="129" t="str">
        <f>IF(SUM(AI18:AI29)&gt;0, AVERAGE(AI18:AI29), "")</f>
        <v/>
      </c>
      <c r="AJ30" s="129" t="str">
        <f>IF(SUM(AJ18:AJ29)&gt;0, AVERAGE(AJ18:AJ29), "")</f>
        <v/>
      </c>
      <c r="AK30" s="227" t="str">
        <f>IF(SUM(AK18:AK29)&gt;0, AVERAGE(AK18:AK29), "")</f>
        <v/>
      </c>
    </row>
    <row r="31" spans="1:37" ht="16.5" customHeight="1" thickTop="1" x14ac:dyDescent="0.25"/>
    <row r="32" spans="1:37" ht="15.75" thickBot="1" x14ac:dyDescent="0.3">
      <c r="C32" s="333" t="s">
        <v>201</v>
      </c>
      <c r="D32" s="333" t="s">
        <v>202</v>
      </c>
      <c r="E32" s="333" t="s">
        <v>203</v>
      </c>
    </row>
    <row r="33" spans="1:5" ht="15.75" customHeight="1" thickTop="1" x14ac:dyDescent="0.25">
      <c r="A33" s="458" t="s">
        <v>204</v>
      </c>
      <c r="B33" s="89" t="s">
        <v>52</v>
      </c>
      <c r="C33" s="328">
        <f>IF(ISNUMBER(JANUARY!B52)=TRUE,JANUARY!B52,"")</f>
        <v>0.82220651615022622</v>
      </c>
      <c r="D33" s="328">
        <f>IF(ISNUMBER(JANUARY!E52)=TRUE,JANUARY!E52,"")</f>
        <v>1.3815720071833724</v>
      </c>
      <c r="E33" s="328">
        <f>IF(ISNUMBER(JANUARY!H52)=TRUE,JANUARY!H52,"")</f>
        <v>0.51128352311284453</v>
      </c>
    </row>
    <row r="34" spans="1:5" ht="15.75" customHeight="1" x14ac:dyDescent="0.25">
      <c r="A34" s="459"/>
      <c r="B34" s="90" t="s">
        <v>53</v>
      </c>
      <c r="C34" s="329">
        <f>IF(ISNUMBER(FEBRUARY!$B$52)=TRUE,FEBRUARY!$B$52,"")</f>
        <v>0.97287775091642203</v>
      </c>
      <c r="D34" s="329">
        <f>IF(ISNUMBER(FEBRUARY!$E$52)=TRUE,FEBRUARY!$E$52,"")</f>
        <v>1.3838417744314024</v>
      </c>
      <c r="E34" s="329">
        <f>IF(ISNUMBER(FEBRUARY!$H$52)=TRUE,FEBRUARY!$H$52,"")</f>
        <v>0.65397252319656152</v>
      </c>
    </row>
    <row r="35" spans="1:5" x14ac:dyDescent="0.25">
      <c r="A35" s="459"/>
      <c r="B35" s="90" t="s">
        <v>54</v>
      </c>
      <c r="C35" s="329">
        <f>IF(ISNUMBER(MARCH!$B$52)=TRUE,MARCH!$B$52,"")</f>
        <v>0.97184860909467241</v>
      </c>
      <c r="D35" s="329">
        <f>IF(ISNUMBER(MARCH!$E$52)=TRUE,MARCH!$E$52,"")</f>
        <v>1.289879971549222</v>
      </c>
      <c r="E35" s="329">
        <f>IF(ISNUMBER(MARCH!$H$52)=TRUE,MARCH!$H$52,"")</f>
        <v>0.67581157115105417</v>
      </c>
    </row>
    <row r="36" spans="1:5" x14ac:dyDescent="0.25">
      <c r="A36" s="459"/>
      <c r="B36" s="90" t="s">
        <v>55</v>
      </c>
      <c r="C36" s="329">
        <f>IF(ISNUMBER(APRIL!$B$52)=TRUE,APRIL!$B$52,"")</f>
        <v>0.84295275903104627</v>
      </c>
      <c r="D36" s="329">
        <f>IF(ISNUMBER(APRIL!$E$52)=TRUE,APRIL!$E$52,"")</f>
        <v>1.1046856661597224</v>
      </c>
      <c r="E36" s="329">
        <f>IF(ISNUMBER(APRIL!$H$52)=TRUE,APRIL!$H$52,"")</f>
        <v>0.63520131924717382</v>
      </c>
    </row>
    <row r="37" spans="1:5" x14ac:dyDescent="0.25">
      <c r="A37" s="459"/>
      <c r="B37" s="90" t="s">
        <v>56</v>
      </c>
      <c r="C37" s="329">
        <f>IF(ISNUMBER(MAY!$B$52)=TRUE,MAY!$B$52,"")</f>
        <v>0.4262497326551587</v>
      </c>
      <c r="D37" s="329">
        <f>IF(ISNUMBER(MAY!$E$52)=TRUE,MAY!$E$52,"")</f>
        <v>0.94050176590714463</v>
      </c>
      <c r="E37" s="329">
        <f>IF(ISNUMBER(MAY!$H$52)=TRUE,MAY!$H$52,"")</f>
        <v>0.27084700162433517</v>
      </c>
    </row>
    <row r="38" spans="1:5" x14ac:dyDescent="0.25">
      <c r="A38" s="459"/>
      <c r="B38" s="90" t="s">
        <v>57</v>
      </c>
      <c r="C38" s="329">
        <f>IF(ISNUMBER(JUNE!$B$52)=TRUE,JUNE!$B$52,"")</f>
        <v>0.55546975932843723</v>
      </c>
      <c r="D38" s="329">
        <f>IF(ISNUMBER(JUNE!$E$52)=TRUE,JUNE!$E$52,"")</f>
        <v>1.0141735639721319</v>
      </c>
      <c r="E38" s="329">
        <f>IF(ISNUMBER(JUNE!$H$52)=TRUE,JUNE!$H$52,"")</f>
        <v>0.37453311359741626</v>
      </c>
    </row>
    <row r="39" spans="1:5" x14ac:dyDescent="0.25">
      <c r="A39" s="459"/>
      <c r="B39" s="90" t="s">
        <v>58</v>
      </c>
      <c r="C39" s="329">
        <f>IF(ISNUMBER(JULY!$B$52)=TRUE,JULY!$B$52,"")</f>
        <v>0.57283860830116884</v>
      </c>
      <c r="D39" s="329">
        <f>IF(ISNUMBER(JULY!$E$52)=TRUE,JULY!$E$52,"")</f>
        <v>1.0090594044015586</v>
      </c>
      <c r="E39" s="329">
        <f>IF(ISNUMBER(JULY!$H$52)=TRUE,JULY!$H$52,"")</f>
        <v>0.38632850679011482</v>
      </c>
    </row>
    <row r="40" spans="1:5" x14ac:dyDescent="0.25">
      <c r="A40" s="459"/>
      <c r="B40" s="90" t="s">
        <v>59</v>
      </c>
      <c r="C40" s="329">
        <f>IF(ISNUMBER(AUGUST!$B$52)=TRUE,AUGUST!$B$52,"")</f>
        <v>0.60429334471321039</v>
      </c>
      <c r="D40" s="329">
        <f>IF(ISNUMBER(AUGUST!$E$52)=TRUE,AUGUST!$E$52,"")</f>
        <v>1.1900939006698741</v>
      </c>
      <c r="E40" s="329">
        <f>IF(ISNUMBER(AUGUST!$H$52)=TRUE,AUGUST!$H$52,"")</f>
        <v>0.40033887582890282</v>
      </c>
    </row>
    <row r="41" spans="1:5" x14ac:dyDescent="0.25">
      <c r="A41" s="459"/>
      <c r="B41" s="90" t="s">
        <v>60</v>
      </c>
      <c r="C41" s="329">
        <f>IF(ISNUMBER(SEPTEMBER!$B$52)=TRUE,SEPTEMBER!$B$52,"")</f>
        <v>0.53647151170852014</v>
      </c>
      <c r="D41" s="329">
        <f>IF(ISNUMBER(SEPTEMBER!$E$52)=TRUE,SEPTEMBER!$E$52,"")</f>
        <v>0.98806873109354465</v>
      </c>
      <c r="E41" s="329">
        <f>IF(ISNUMBER(SEPTEMBER!$H$52)=TRUE,SEPTEMBER!$H$52,"")</f>
        <v>0.35492767352596427</v>
      </c>
    </row>
    <row r="42" spans="1:5" x14ac:dyDescent="0.25">
      <c r="A42" s="459"/>
      <c r="B42" s="90" t="s">
        <v>61</v>
      </c>
      <c r="C42" s="329">
        <f>IF(ISNUMBER(OCTOBER!$B$52)=TRUE,OCTOBER!$B$52,"")</f>
        <v>0.53480911771991868</v>
      </c>
      <c r="D42" s="329">
        <f>IF(ISNUMBER(OCTOBER!$E$52)=TRUE,OCTOBER!$E$52,"")</f>
        <v>0.87191479146295292</v>
      </c>
      <c r="E42" s="329">
        <f>IF(ISNUMBER(OCTOBER!$H$52)=TRUE,OCTOBER!$H$52,"")</f>
        <v>0.35876885528892155</v>
      </c>
    </row>
    <row r="43" spans="1:5" x14ac:dyDescent="0.25">
      <c r="A43" s="459"/>
      <c r="B43" s="90" t="s">
        <v>62</v>
      </c>
      <c r="C43" s="329">
        <f>IF(ISNUMBER(NOVEMBER!$B$52)=TRUE,NOVEMBER!$B$52,"")</f>
        <v>0.6491004398092094</v>
      </c>
      <c r="D43" s="329">
        <f>IF(ISNUMBER(NOVEMBER!$E$52)=TRUE,NOVEMBER!$E$52,"")</f>
        <v>2.8606057505083058</v>
      </c>
      <c r="E43" s="329">
        <f>IF(ISNUMBER(NOVEMBER!$H$52)=TRUE,NOVEMBER!$H$52,"")</f>
        <v>0.40272292300713652</v>
      </c>
    </row>
    <row r="44" spans="1:5" ht="15.75" thickBot="1" x14ac:dyDescent="0.3">
      <c r="A44" s="459"/>
      <c r="B44" s="92" t="s">
        <v>63</v>
      </c>
      <c r="C44" s="330">
        <f>IF(ISNUMBER(DECEMBER!$B$52)=TRUE,DECEMBER!$B$52,"")</f>
        <v>1.8386628301609085</v>
      </c>
      <c r="D44" s="330" t="str">
        <f>IF(ISNUMBER(DECEMBER!$E$52)=TRUE,DECEMBER!$E$52,"")</f>
        <v/>
      </c>
      <c r="E44" s="330">
        <f>IF(ISNUMBER(DECEMBER!$H$52)=TRUE,DECEMBER!$H$52,"")</f>
        <v>1.0025354926271948</v>
      </c>
    </row>
    <row r="45" spans="1:5" ht="15.75" thickBot="1" x14ac:dyDescent="0.3">
      <c r="A45" s="460"/>
      <c r="B45" s="332" t="s">
        <v>205</v>
      </c>
      <c r="C45" s="331">
        <f>AVERAGE(C33:C44)</f>
        <v>0.77731508163240814</v>
      </c>
      <c r="D45" s="331">
        <f>AVERAGE(D33:D44)</f>
        <v>1.2758543024853848</v>
      </c>
      <c r="E45" s="331">
        <f>AVERAGE(E33:E44)</f>
        <v>0.50227261491646835</v>
      </c>
    </row>
    <row r="47" spans="1:5" ht="15.75" thickBot="1" x14ac:dyDescent="0.3">
      <c r="C47" s="333" t="s">
        <v>201</v>
      </c>
      <c r="D47" s="333" t="s">
        <v>202</v>
      </c>
      <c r="E47" s="333" t="s">
        <v>203</v>
      </c>
    </row>
    <row r="48" spans="1:5" ht="15" customHeight="1" thickTop="1" x14ac:dyDescent="0.25">
      <c r="A48" s="454" t="s">
        <v>208</v>
      </c>
      <c r="B48" s="336" t="s">
        <v>217</v>
      </c>
      <c r="C48" s="337">
        <f>(JANUARY!B44+FEBRUARY!B44+MARCH!B44+APRIL!B44+MAY!B44+JUNE!B44+JULY!B44+AUGUST!B44+SEPTEMBER!B44+OCTOBER!B44+NOVEMBER!B44+DECEMBER!B44)/$AG$17</f>
        <v>217.17144675428659</v>
      </c>
      <c r="D48" s="338">
        <f>(JANUARY!E44+FEBRUARY!E44+MARCH!E44+APRIL!E44+MAY!E44+JUNE!E44+JULY!E44+AUGUST!E44+SEPTEMBER!E44+OCTOBER!E44+NOVEMBER!E44+DECEMBER!E44)/$AF$17</f>
        <v>452.74686594405921</v>
      </c>
      <c r="E48" s="339">
        <f>(JANUARY!H44+FEBRUARY!H44+MARCH!H44+APRIL!H44+MAY!H44+JUNE!H44+JULY!H44+AUGUST!H44+SEPTEMBER!H44+OCTOBER!H44+NOVEMBER!H44+DECEMBER!H44)/$AE$17</f>
        <v>121.91797001514729</v>
      </c>
    </row>
    <row r="49" spans="1:5" ht="15" customHeight="1" x14ac:dyDescent="0.25">
      <c r="A49" s="455"/>
      <c r="B49" s="340" t="s">
        <v>209</v>
      </c>
      <c r="C49" s="329">
        <f>(JANUARY!B47+FEBRUARY!B47+MARCH!B47+APRIL!B47+MAY!B47+JUNE!B47+JULY!B47+AUGUST!B47+SEPTEMBER!B47+OCTOBER!B47+NOVEMBER!B47+DECEMBER!B47)/$AG$17</f>
        <v>284.27825364911308</v>
      </c>
      <c r="D49" s="329">
        <f>(JANUARY!E47+FEBRUARY!E47+MARCH!E47+APRIL!E47+MAY!E47+JUNE!E47+JULY!E47+AUGUST!E47+SEPTEMBER!E47+OCTOBER!E47+NOVEMBER!E47+DECEMBER!E47)/$AF$17</f>
        <v>499.65836083530036</v>
      </c>
      <c r="E49" s="341">
        <f>(JANUARY!H47+FEBRUARY!H47+MARCH!H47+APRIL!H47+MAY!H47+JUNE!H47+JULY!H47+AUGUST!H47+SEPTEMBER!H47+OCTOBER!H47+NOVEMBER!H47+DECEMBER!H47)/$AE$17</f>
        <v>198.6494609618249</v>
      </c>
    </row>
    <row r="50" spans="1:5" ht="15" customHeight="1" x14ac:dyDescent="0.25">
      <c r="A50" s="455"/>
      <c r="B50" s="340" t="s">
        <v>210</v>
      </c>
      <c r="C50" s="342">
        <f>C49+C51</f>
        <v>423.97031455235617</v>
      </c>
      <c r="D50" s="342">
        <f>D49+D51</f>
        <v>745.1864843433757</v>
      </c>
      <c r="E50" s="343">
        <f>E49+E51</f>
        <v>296.26421778148438</v>
      </c>
    </row>
    <row r="51" spans="1:5" ht="15" customHeight="1" x14ac:dyDescent="0.25">
      <c r="A51" s="455"/>
      <c r="B51" s="340" t="s">
        <v>211</v>
      </c>
      <c r="C51" s="329">
        <f>(JANUARY!B48+FEBRUARY!B48+MARCH!B48+APRIL!B48+MAY!B48+JUNE!B48+JULY!B48+AUGUST!B48+SEPTEMBER!B48+OCTOBER!B48+NOVEMBER!B48+DECEMBER!B48)/$AG$17</f>
        <v>139.69206090324312</v>
      </c>
      <c r="D51" s="329">
        <f>(JANUARY!E48+FEBRUARY!E48+MARCH!E48+APRIL!E48+MAY!E48+JUNE!E48+JULY!E48+AUGUST!E48+SEPTEMBER!E48+OCTOBER!E48+NOVEMBER!E48+DECEMBER!E48)/$AF$17</f>
        <v>245.52812350807531</v>
      </c>
      <c r="E51" s="341">
        <f>(JANUARY!H48+FEBRUARY!H48+MARCH!H48+APRIL!H48+MAY!H48+JUNE!H48+JULY!H48+AUGUST!H48+SEPTEMBER!H48+OCTOBER!H48+NOVEMBER!H48+DECEMBER!H48)/$AE$17</f>
        <v>97.614756819659505</v>
      </c>
    </row>
    <row r="52" spans="1:5" ht="15" customHeight="1" x14ac:dyDescent="0.25">
      <c r="A52" s="455"/>
      <c r="B52" s="340" t="s">
        <v>212</v>
      </c>
      <c r="C52" s="329">
        <f>(JANUARY!B46+FEBRUARY!B46+MARCH!B46+APRIL!B46+MAY!B46+JUNE!B46+JULY!B46+AUGUST!B46+SEPTEMBER!B46+OCTOBER!B46+NOVEMBER!B46+DECEMBER!B46)/$AG$17</f>
        <v>14.686323695846227</v>
      </c>
      <c r="D52" s="329">
        <f>(JANUARY!E46+FEBRUARY!E46+MARCH!E46+APRIL!E46+MAY!E46+JUNE!E46+JULY!E46+AUGUST!E46+SEPTEMBER!E46+OCTOBER!E46+NOVEMBER!E46+DECEMBER!E46)/$AF$17</f>
        <v>19.370468788810335</v>
      </c>
      <c r="E52" s="341">
        <f>(JANUARY!H46+FEBRUARY!H46+MARCH!H46+APRIL!H46+MAY!H46+JUNE!H46+JULY!H46+AUGUST!H46+SEPTEMBER!H46+OCTOBER!H46+NOVEMBER!H46+DECEMBER!H46)/$AE$17</f>
        <v>12.824045445906139</v>
      </c>
    </row>
    <row r="53" spans="1:5" ht="15" customHeight="1" x14ac:dyDescent="0.25">
      <c r="A53" s="455"/>
      <c r="B53" s="344" t="s">
        <v>213</v>
      </c>
      <c r="C53" s="330">
        <f>(JANUARY!B45+FEBRUARY!B45+MARCH!B45+APRIL!B45+MAY!B45+JUNE!B45+JULY!B45+AUGUST!B45+SEPTEMBER!B45+OCTOBER!B45+NOVEMBER!B45+DECEMBER!B45)/$AG$17</f>
        <v>50.441567682519498</v>
      </c>
      <c r="D53" s="330">
        <f>(JANUARY!E45+FEBRUARY!E45+MARCH!E45+APRIL!E45+MAY!E45+JUNE!E45+JULY!E45+AUGUST!E45+SEPTEMBER!E45+OCTOBER!E45+NOVEMBER!E45+DECEMBER!E45)/$AF$17</f>
        <v>102.68990047074075</v>
      </c>
      <c r="E53" s="345">
        <f>(JANUARY!H45+FEBRUARY!H45+MARCH!H45+APRIL!H45+MAY!H45+JUNE!H45+JULY!H45+AUGUST!H45+SEPTEMBER!H45+OCTOBER!H45+NOVEMBER!H45+DECEMBER!H45)/$AE$17</f>
        <v>29.669168062941431</v>
      </c>
    </row>
    <row r="54" spans="1:5" ht="15" customHeight="1" x14ac:dyDescent="0.25">
      <c r="A54" s="456"/>
      <c r="B54" s="344" t="s">
        <v>218</v>
      </c>
      <c r="C54" s="353">
        <f>(SUM(JANUARY!AJ39:AS39)+SUM(FEBRUARY!AJ39:AS39)+SUM(MARCH!AJ39:AS39)+SUM(APRIL!AJ39:AS39)+SUM(MAY!AJ39:AS39)+SUM(JUNE!AJ39:AS39)+SUM(JULY!AJ39:AS39)+SUM(AUGUST!AJ39:AS39)+SUM(SEPTEMBER!AJ39:AS39)+SUM(OCTOBER!AJ39:AS39)+SUM(NOVEMBER!AJ39:AS39)+SUM(DECEMBER!AJ39:AS39))</f>
        <v>5784450.5075400732</v>
      </c>
      <c r="D54" s="353">
        <f>(JANUARY!E45/JANUARY!AJ40+FEBRUARY!E45/FEBRUARY!AJ40+MARCH!E45/MARCH!AJ40+APRIL!E45/APRIL!AJ40+MAY!E45/MAY!AJ40+JUNE!E45/JUNE!AJ40+JULY!E45/JULY!AJ40+AUGUST!E45/AUGUST!AJ40+SEPTEMBER!E45/SEPTEMBER!AJ40+OCTOBER!E45/OCTOBER!AJ40+NOVEMBER!E45/NOVEMBER!AJ40+DECEMBER!E45/DECEMBER!AJ40)</f>
        <v>3348550.8970162957</v>
      </c>
      <c r="E54" s="354">
        <f>C54-D54</f>
        <v>2435899.6105237775</v>
      </c>
    </row>
    <row r="55" spans="1:5" ht="15" customHeight="1" thickBot="1" x14ac:dyDescent="0.3">
      <c r="A55" s="456"/>
      <c r="B55" s="344" t="s">
        <v>219</v>
      </c>
      <c r="C55" s="355">
        <f>C54/C58</f>
        <v>780.03066191201128</v>
      </c>
      <c r="D55" s="355">
        <f>D54/D58</f>
        <v>1587.3254708297402</v>
      </c>
      <c r="E55" s="356">
        <f>E54/E58</f>
        <v>459.07400192399251</v>
      </c>
    </row>
    <row r="56" spans="1:5" ht="15" customHeight="1" thickTop="1" x14ac:dyDescent="0.25">
      <c r="A56" s="456"/>
      <c r="B56" s="346" t="s">
        <v>214</v>
      </c>
      <c r="C56" s="347">
        <f>C48+C49+C51+C52+C53</f>
        <v>706.26965268500851</v>
      </c>
      <c r="D56" s="347">
        <f>D48+D49+D51+D52+D53</f>
        <v>1319.9937195469859</v>
      </c>
      <c r="E56" s="348">
        <f>E48+E49+E51+E52+E53</f>
        <v>460.67540130547934</v>
      </c>
    </row>
    <row r="57" spans="1:5" ht="15" customHeight="1" x14ac:dyDescent="0.25">
      <c r="A57" s="456"/>
      <c r="B57" s="349" t="s">
        <v>215</v>
      </c>
      <c r="C57" s="350">
        <f>C56/1000</f>
        <v>0.70626965268500852</v>
      </c>
      <c r="D57" s="350">
        <f>D56/1000</f>
        <v>1.319993719546986</v>
      </c>
      <c r="E57" s="351">
        <f>E56/1000</f>
        <v>0.46067540130547935</v>
      </c>
    </row>
    <row r="58" spans="1:5" ht="15" customHeight="1" thickBot="1" x14ac:dyDescent="0.3">
      <c r="A58" s="457"/>
      <c r="B58" s="352" t="s">
        <v>216</v>
      </c>
      <c r="C58" s="400">
        <f>AG17</f>
        <v>7415.6706780746636</v>
      </c>
      <c r="D58" s="400">
        <f>AF17</f>
        <v>2109.5553234371732</v>
      </c>
      <c r="E58" s="401">
        <f>AE17</f>
        <v>5306.1153546374908</v>
      </c>
    </row>
    <row r="59" spans="1:5" ht="15.75" thickTop="1" x14ac:dyDescent="0.25"/>
  </sheetData>
  <sheetProtection algorithmName="SHA-512" hashValue="9MSSyR6MwsmG8TFDAxLxigBaokdiOfv4HJmmFaEuwG7gkJJwXsQO6XQzQK1Sg1soQ/PQNuhvafFk6WTQ3RdLqQ==" saltValue="AAz+ThVOkHn4ZgL+AAiZpw==" spinCount="100000" sheet="1" objects="1" scenarios="1" selectLockedCells="1" selectUnlockedCells="1"/>
  <mergeCells count="15">
    <mergeCell ref="C1:AK1"/>
    <mergeCell ref="A2:B3"/>
    <mergeCell ref="AH2:AK2"/>
    <mergeCell ref="C2:I2"/>
    <mergeCell ref="J2:O2"/>
    <mergeCell ref="P2:U2"/>
    <mergeCell ref="V2:AB2"/>
    <mergeCell ref="AC2:AD2"/>
    <mergeCell ref="AE2:AG2"/>
    <mergeCell ref="A48:A58"/>
    <mergeCell ref="A33:A45"/>
    <mergeCell ref="A4:A15"/>
    <mergeCell ref="A18:A29"/>
    <mergeCell ref="A1:B1"/>
    <mergeCell ref="A16:B16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35" t="s">
        <v>220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361950</xdr:colOff>
                <xdr:row>42</xdr:row>
                <xdr:rowOff>114300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104775</xdr:colOff>
                <xdr:row>0</xdr:row>
                <xdr:rowOff>0</xdr:rowOff>
              </from>
              <to>
                <xdr:col>20</xdr:col>
                <xdr:colOff>466725</xdr:colOff>
                <xdr:row>31</xdr:row>
                <xdr:rowOff>85725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45"/>
  <sheetViews>
    <sheetView topLeftCell="L7" zoomScaleNormal="100" workbookViewId="0">
      <selection activeCell="Y25" sqref="Y25"/>
    </sheetView>
  </sheetViews>
  <sheetFormatPr defaultRowHeight="15" x14ac:dyDescent="0.25"/>
  <cols>
    <col min="1" max="2" width="12.7109375" customWidth="1"/>
    <col min="3" max="35" width="9.140625" customWidth="1"/>
  </cols>
  <sheetData>
    <row r="1" spans="1:35" ht="21.75" thickBot="1" x14ac:dyDescent="0.3">
      <c r="A1" s="509">
        <v>2019</v>
      </c>
      <c r="B1" s="510"/>
      <c r="C1" s="511" t="s">
        <v>90</v>
      </c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  <c r="AC1" s="513"/>
      <c r="AD1" s="513"/>
      <c r="AE1" s="513"/>
      <c r="AF1" s="513"/>
      <c r="AG1" s="513"/>
      <c r="AH1" s="513"/>
      <c r="AI1" s="514"/>
    </row>
    <row r="2" spans="1:35" ht="28.5" customHeight="1" thickBot="1" x14ac:dyDescent="0.3">
      <c r="A2" s="515"/>
      <c r="B2" s="475"/>
      <c r="C2" s="518" t="s">
        <v>66</v>
      </c>
      <c r="D2" s="480"/>
      <c r="E2" s="480"/>
      <c r="F2" s="480"/>
      <c r="G2" s="480"/>
      <c r="H2" s="480"/>
      <c r="I2" s="480"/>
      <c r="J2" s="480"/>
      <c r="K2" s="480"/>
      <c r="L2" s="480"/>
      <c r="M2" s="519"/>
      <c r="N2" s="519"/>
      <c r="O2" s="519"/>
      <c r="P2" s="520"/>
      <c r="Q2" s="521" t="s">
        <v>71</v>
      </c>
      <c r="R2" s="522"/>
      <c r="S2" s="522"/>
      <c r="T2" s="522"/>
      <c r="U2" s="522"/>
      <c r="V2" s="522"/>
      <c r="W2" s="522"/>
      <c r="X2" s="522"/>
      <c r="Y2" s="522"/>
      <c r="Z2" s="522"/>
      <c r="AA2" s="522"/>
      <c r="AB2" s="522"/>
      <c r="AC2" s="523"/>
      <c r="AD2" s="524" t="s">
        <v>83</v>
      </c>
      <c r="AE2" s="525"/>
      <c r="AF2" s="528" t="s">
        <v>232</v>
      </c>
      <c r="AG2" s="529"/>
      <c r="AH2" s="529"/>
      <c r="AI2" s="530"/>
    </row>
    <row r="3" spans="1:35" ht="28.5" customHeight="1" thickBot="1" x14ac:dyDescent="0.3">
      <c r="A3" s="515"/>
      <c r="B3" s="475"/>
      <c r="C3" s="518" t="s">
        <v>91</v>
      </c>
      <c r="D3" s="480"/>
      <c r="E3" s="480"/>
      <c r="F3" s="480"/>
      <c r="G3" s="480"/>
      <c r="H3" s="480"/>
      <c r="I3" s="481"/>
      <c r="J3" s="485" t="s">
        <v>92</v>
      </c>
      <c r="K3" s="486"/>
      <c r="L3" s="487"/>
      <c r="M3" s="534" t="s">
        <v>93</v>
      </c>
      <c r="N3" s="535"/>
      <c r="O3" s="535"/>
      <c r="P3" s="536"/>
      <c r="Q3" s="545" t="s">
        <v>94</v>
      </c>
      <c r="R3" s="483"/>
      <c r="S3" s="483"/>
      <c r="T3" s="483"/>
      <c r="U3" s="483"/>
      <c r="V3" s="484"/>
      <c r="W3" s="485" t="s">
        <v>95</v>
      </c>
      <c r="X3" s="486"/>
      <c r="Y3" s="487"/>
      <c r="Z3" s="534" t="s">
        <v>96</v>
      </c>
      <c r="AA3" s="535"/>
      <c r="AB3" s="535"/>
      <c r="AC3" s="536"/>
      <c r="AD3" s="526"/>
      <c r="AE3" s="527"/>
      <c r="AF3" s="531"/>
      <c r="AG3" s="532"/>
      <c r="AH3" s="532"/>
      <c r="AI3" s="533"/>
    </row>
    <row r="4" spans="1:35" ht="131.25" thickBot="1" x14ac:dyDescent="0.3">
      <c r="A4" s="516"/>
      <c r="B4" s="517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546" t="s">
        <v>99</v>
      </c>
      <c r="B5" s="547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548"/>
      <c r="B6" s="549"/>
      <c r="C6" s="144">
        <f>'Yearly Summary '!$C$17</f>
        <v>0</v>
      </c>
      <c r="D6" s="142">
        <f>'Yearly Summary '!$D$17</f>
        <v>22238.55059209825</v>
      </c>
      <c r="E6" s="142">
        <f>'Yearly Summary '!$E$17</f>
        <v>294897.8826919109</v>
      </c>
      <c r="F6" s="142">
        <f>'Yearly Summary '!$F$17</f>
        <v>5272.5028332409274</v>
      </c>
      <c r="G6" s="142">
        <f>'Yearly Summary '!$G$17</f>
        <v>0</v>
      </c>
      <c r="H6" s="142">
        <f>'Yearly Summary '!$H$17</f>
        <v>878496.22707717144</v>
      </c>
      <c r="I6" s="142">
        <f>'Yearly Summary '!$I$17</f>
        <v>8450.606210199403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51537.11865125654</v>
      </c>
      <c r="N6" s="142">
        <f>'Yearly Summary '!$Y$17</f>
        <v>8306.9316450196638</v>
      </c>
      <c r="O6" s="142">
        <f>'Yearly Summary '!$AA$17</f>
        <v>35888.658595607325</v>
      </c>
      <c r="P6" s="143">
        <f>('Yearly Summary '!$AB$17)*(1-AI6)</f>
        <v>0</v>
      </c>
      <c r="Q6" s="141">
        <f>'Yearly Summary '!$J$17</f>
        <v>77776.724426187691</v>
      </c>
      <c r="R6" s="142">
        <f>'Yearly Summary '!$K$17</f>
        <v>201171.42106562454</v>
      </c>
      <c r="S6" s="142">
        <f>'Yearly Summary '!$L$17</f>
        <v>11039.493928794564</v>
      </c>
      <c r="T6" s="142">
        <f>'Yearly Summary '!$M$17</f>
        <v>4.4374465942382839E-3</v>
      </c>
      <c r="U6" s="142">
        <f>'Yearly Summary '!N17</f>
        <v>0</v>
      </c>
      <c r="V6" s="142">
        <f>'Yearly Summary '!O17</f>
        <v>0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124302.95404708546</v>
      </c>
      <c r="AA6" s="142">
        <f>'Yearly Summary '!$X$17</f>
        <v>20470.477629182522</v>
      </c>
      <c r="AB6" s="142">
        <f>'Yearly Summary '!$Z$17</f>
        <v>93991.717898607996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'!$AH$17</f>
        <v>7169.7887599531805</v>
      </c>
      <c r="AG6" s="147">
        <f>'Yearly Summary '!$AI$17</f>
        <v>5042.9352764663381</v>
      </c>
      <c r="AH6" s="147">
        <f>'Yearly Summary '!$AJ$17</f>
        <v>2058.0257850407002</v>
      </c>
      <c r="AI6" s="148">
        <f>'Yearly Summary '!$AK$17</f>
        <v>0.71017644411587233</v>
      </c>
    </row>
    <row r="7" spans="1:35" ht="15" customHeight="1" x14ac:dyDescent="0.25">
      <c r="A7" s="550" t="s">
        <v>103</v>
      </c>
      <c r="B7" s="551"/>
      <c r="C7" s="152">
        <f>(C6*(1.029*8.34)*0.03)/2000</f>
        <v>0</v>
      </c>
      <c r="D7" s="150">
        <f>(D6*(1.4*8.34)*0.38)/2000</f>
        <v>49.334890175534433</v>
      </c>
      <c r="E7" s="150">
        <f>(E6*(1.54*8.34)*0.5)/2000</f>
        <v>946.8876115354567</v>
      </c>
      <c r="F7" s="150">
        <f>(F6*(1.04*8.34)*1)/2000</f>
        <v>22.865790287199257</v>
      </c>
      <c r="G7" s="150">
        <f>(G6*(1.055*8.34)*0.005)/2000</f>
        <v>0</v>
      </c>
      <c r="H7" s="150">
        <f>H6/2000</f>
        <v>439.2481135385857</v>
      </c>
      <c r="I7" s="150">
        <f>(I6*(1.135*8.34)*0.35)/2000</f>
        <v>13.99870383189714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25.768559325628271</v>
      </c>
      <c r="N7" s="150">
        <f>(N6*(0.895*8.34)*0.29)/2000</f>
        <v>8.9907873322984404</v>
      </c>
      <c r="O7" s="150">
        <f>(O6*(1.54*8.34)*0.5)/2000</f>
        <v>115.23489388463555</v>
      </c>
      <c r="P7" s="151">
        <f>(P6*(1.135*8.34)*0.35)/2000</f>
        <v>0</v>
      </c>
      <c r="Q7" s="149">
        <f>(Q6*(1.029*8.34)*0.03)/2000</f>
        <v>10.012034404261843</v>
      </c>
      <c r="R7" s="150">
        <f>(R6*(1.4*8.34)*0.38)/2000</f>
        <v>446.28672734882412</v>
      </c>
      <c r="S7" s="150">
        <f>(S6*(1.04*8.34)*1)/2000</f>
        <v>47.876077270396266</v>
      </c>
      <c r="T7" s="150">
        <f>(T6*(1.135*8.34)*0.35)/2000</f>
        <v>7.3507745003700283E-6</v>
      </c>
      <c r="U7" s="150">
        <f>(U6*(1.055*8.34)*0.005)/2000</f>
        <v>0</v>
      </c>
      <c r="V7" s="150">
        <f>(V6*(1.055*8.34)*0.005)/2000</f>
        <v>0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62.151477023542725</v>
      </c>
      <c r="AA7" s="150">
        <f>(AA6*(0.895*8.34)*0.29)/2000</f>
        <v>22.155678994288525</v>
      </c>
      <c r="AB7" s="150">
        <f>(AB6*(1.54*8.34)*0.5)/2000</f>
        <v>301.79800700064044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496" t="s">
        <v>233</v>
      </c>
      <c r="AG7" s="497"/>
      <c r="AH7" s="497"/>
      <c r="AI7" s="498"/>
    </row>
    <row r="8" spans="1:35" x14ac:dyDescent="0.25">
      <c r="A8" s="505" t="s">
        <v>104</v>
      </c>
      <c r="B8" s="506"/>
      <c r="C8" s="156">
        <f>C7/$AH$6</f>
        <v>0</v>
      </c>
      <c r="D8" s="154">
        <f>D7/$AH$6</f>
        <v>2.3971949493605964E-2</v>
      </c>
      <c r="E8" s="154">
        <f t="shared" ref="E8:P8" si="0">E7/$AH$6</f>
        <v>0.46009511562885047</v>
      </c>
      <c r="F8" s="154">
        <f t="shared" si="0"/>
        <v>1.1110546064779774E-2</v>
      </c>
      <c r="G8" s="154">
        <f t="shared" si="0"/>
        <v>0</v>
      </c>
      <c r="H8" s="154">
        <f t="shared" si="0"/>
        <v>0.21343178337772817</v>
      </c>
      <c r="I8" s="154">
        <f t="shared" si="0"/>
        <v>6.8020060456241063E-3</v>
      </c>
      <c r="J8" s="154">
        <f t="shared" si="0"/>
        <v>0</v>
      </c>
      <c r="K8" s="154">
        <f t="shared" si="0"/>
        <v>0</v>
      </c>
      <c r="L8" s="154">
        <f t="shared" si="0"/>
        <v>0</v>
      </c>
      <c r="M8" s="154">
        <f t="shared" si="0"/>
        <v>1.2521008975171156E-2</v>
      </c>
      <c r="N8" s="154">
        <f t="shared" si="0"/>
        <v>4.3686465921128565E-3</v>
      </c>
      <c r="O8" s="154">
        <f t="shared" si="0"/>
        <v>5.5992930080007053E-2</v>
      </c>
      <c r="P8" s="155">
        <f t="shared" si="0"/>
        <v>0</v>
      </c>
      <c r="Q8" s="153">
        <f>Q7/$AG$6</f>
        <v>1.9853584976560375E-3</v>
      </c>
      <c r="R8" s="154">
        <f t="shared" ref="R8:AD8" si="1">R7/$AG$6</f>
        <v>8.8497413288544935E-2</v>
      </c>
      <c r="S8" s="154">
        <f t="shared" si="1"/>
        <v>9.4936925908642167E-3</v>
      </c>
      <c r="T8" s="154">
        <f t="shared" si="1"/>
        <v>1.4576380812725457E-9</v>
      </c>
      <c r="U8" s="154">
        <f t="shared" si="1"/>
        <v>0</v>
      </c>
      <c r="V8" s="154">
        <f t="shared" si="1"/>
        <v>0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1.2324464546190491E-2</v>
      </c>
      <c r="AA8" s="154">
        <f t="shared" si="1"/>
        <v>4.3934093498446299E-3</v>
      </c>
      <c r="AB8" s="154">
        <f t="shared" si="1"/>
        <v>5.9845703039067145E-2</v>
      </c>
      <c r="AC8" s="155">
        <f t="shared" si="1"/>
        <v>0</v>
      </c>
      <c r="AD8" s="156">
        <f t="shared" si="1"/>
        <v>4.6484679571407833E-4</v>
      </c>
      <c r="AE8" s="154"/>
      <c r="AF8" s="499"/>
      <c r="AG8" s="500"/>
      <c r="AH8" s="500"/>
      <c r="AI8" s="501"/>
    </row>
    <row r="9" spans="1:35" ht="15.75" thickBot="1" x14ac:dyDescent="0.3">
      <c r="A9" s="507" t="s">
        <v>105</v>
      </c>
      <c r="B9" s="508"/>
      <c r="C9" s="219">
        <f t="shared" ref="C9:P9" si="2">C7/$AH$19</f>
        <v>0</v>
      </c>
      <c r="D9" s="157">
        <f t="shared" si="2"/>
        <v>9.4718328701220725E-2</v>
      </c>
      <c r="E9" s="157">
        <f t="shared" si="2"/>
        <v>1.8179347661141849</v>
      </c>
      <c r="F9" s="157">
        <f t="shared" si="2"/>
        <v>4.3900157327403183E-2</v>
      </c>
      <c r="G9" s="157">
        <f t="shared" si="2"/>
        <v>0</v>
      </c>
      <c r="H9" s="157">
        <f t="shared" si="2"/>
        <v>0.84331488428388268</v>
      </c>
      <c r="I9" s="157">
        <f t="shared" si="2"/>
        <v>2.6876188965313894E-2</v>
      </c>
      <c r="J9" s="157">
        <f t="shared" si="2"/>
        <v>0</v>
      </c>
      <c r="K9" s="157">
        <f t="shared" si="2"/>
        <v>0</v>
      </c>
      <c r="L9" s="157">
        <f t="shared" si="2"/>
        <v>0</v>
      </c>
      <c r="M9" s="157">
        <f t="shared" si="2"/>
        <v>4.9473199670203277E-2</v>
      </c>
      <c r="N9" s="157">
        <f t="shared" si="2"/>
        <v>1.7261462360480262E-2</v>
      </c>
      <c r="O9" s="157">
        <f t="shared" si="2"/>
        <v>0.22124011055826703</v>
      </c>
      <c r="P9" s="158">
        <f t="shared" si="2"/>
        <v>0</v>
      </c>
      <c r="Q9" s="159">
        <f t="shared" ref="Q9:AD9" si="3">Q7/$AF$19</f>
        <v>3.2867675675238681E-3</v>
      </c>
      <c r="R9" s="160">
        <f t="shared" si="3"/>
        <v>0.14650776076459437</v>
      </c>
      <c r="S9" s="160">
        <f t="shared" si="3"/>
        <v>1.5716839523206429E-2</v>
      </c>
      <c r="T9" s="160">
        <f t="shared" si="3"/>
        <v>2.4131246706177231E-9</v>
      </c>
      <c r="U9" s="160">
        <f t="shared" si="3"/>
        <v>0</v>
      </c>
      <c r="V9" s="160">
        <f t="shared" si="3"/>
        <v>0</v>
      </c>
      <c r="W9" s="160">
        <f t="shared" si="3"/>
        <v>0</v>
      </c>
      <c r="X9" s="160">
        <f t="shared" si="3"/>
        <v>0</v>
      </c>
      <c r="Y9" s="160">
        <f t="shared" si="3"/>
        <v>0</v>
      </c>
      <c r="Z9" s="160">
        <f t="shared" si="3"/>
        <v>2.0403191869549496E-2</v>
      </c>
      <c r="AA9" s="160">
        <f t="shared" si="3"/>
        <v>7.2733037277518415E-3</v>
      </c>
      <c r="AB9" s="160">
        <f t="shared" si="3"/>
        <v>9.9074759564430293E-2</v>
      </c>
      <c r="AC9" s="161">
        <f t="shared" si="3"/>
        <v>0</v>
      </c>
      <c r="AD9" s="162">
        <f t="shared" si="3"/>
        <v>7.6955540967751392E-4</v>
      </c>
      <c r="AE9" s="160"/>
      <c r="AF9" s="502"/>
      <c r="AG9" s="503"/>
      <c r="AH9" s="503"/>
      <c r="AI9" s="504"/>
    </row>
    <row r="10" spans="1:35" ht="15.75" thickBot="1" x14ac:dyDescent="0.3">
      <c r="A10" s="537" t="s">
        <v>106</v>
      </c>
      <c r="B10" s="538"/>
      <c r="C10" s="166">
        <f>'Yearly Summary '!$C$30</f>
        <v>0</v>
      </c>
      <c r="D10" s="164">
        <f>'Yearly Summary '!D30</f>
        <v>31771.669273044179</v>
      </c>
      <c r="E10" s="164">
        <f>'Yearly Summary '!E30</f>
        <v>711221.36143602245</v>
      </c>
      <c r="F10" s="164">
        <f>'Yearly Summary '!F30</f>
        <v>23323.106092943242</v>
      </c>
      <c r="G10" s="164">
        <f>'Yearly Summary '!G30</f>
        <v>0</v>
      </c>
      <c r="H10" s="164">
        <f>'Yearly Summary '!H30</f>
        <v>53998.699746724677</v>
      </c>
      <c r="I10" s="164">
        <f>'Yearly Summary '!I30</f>
        <v>31597.074363424981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13631.567883257354</v>
      </c>
      <c r="N10" s="164">
        <f>'Yearly Summary '!$Y$30</f>
        <v>7138.5916141015696</v>
      </c>
      <c r="O10" s="164">
        <f>'Yearly Summary '!$AA$30</f>
        <v>82412.490812267715</v>
      </c>
      <c r="P10" s="165">
        <f>('Yearly Summary '!$AB$30)*(1-AI6)</f>
        <v>0</v>
      </c>
      <c r="Q10" s="163">
        <f>'Yearly Summary '!J30</f>
        <v>53384.81804744753</v>
      </c>
      <c r="R10" s="164">
        <f>'Yearly Summary '!K30</f>
        <v>287408.65241264267</v>
      </c>
      <c r="S10" s="164">
        <f>'Yearly Summary '!L30</f>
        <v>48833.598815804195</v>
      </c>
      <c r="T10" s="164">
        <f>'Yearly Summary '!M30</f>
        <v>0</v>
      </c>
      <c r="U10" s="164">
        <f>'Yearly Summary '!N30</f>
        <v>0</v>
      </c>
      <c r="V10" s="164">
        <f>'Yearly Summary '!O30</f>
        <v>0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32878.131345454109</v>
      </c>
      <c r="AA10" s="164">
        <f>'Yearly Summary '!$X$30</f>
        <v>17591.378644357468</v>
      </c>
      <c r="AB10" s="164">
        <f>'Yearly Summary '!$Z$30</f>
        <v>206814.23343790037</v>
      </c>
      <c r="AC10" s="165">
        <f>('Yearly Summary '!$AB$30)*AI6</f>
        <v>0</v>
      </c>
      <c r="AD10" s="166">
        <f>'Yearly Summary '!$AC$30</f>
        <v>8466.5558854236515</v>
      </c>
      <c r="AE10" s="164">
        <f>'Yearly Summary '!$AD$30</f>
        <v>0</v>
      </c>
      <c r="AF10" s="167" t="s">
        <v>107</v>
      </c>
      <c r="AG10" s="168">
        <f>'[1]Yearly Summary '!$Q$29</f>
        <v>42.185885911956788</v>
      </c>
      <c r="AH10" s="167" t="s">
        <v>108</v>
      </c>
      <c r="AI10" s="169">
        <f>'[1]Yearly Summary '!$R$29</f>
        <v>89.382557874206555</v>
      </c>
    </row>
    <row r="11" spans="1:35" ht="15.75" thickBot="1" x14ac:dyDescent="0.3">
      <c r="A11" s="216"/>
      <c r="B11" s="217"/>
      <c r="C11" s="541" t="s">
        <v>117</v>
      </c>
      <c r="D11" s="542"/>
      <c r="E11" s="542"/>
      <c r="F11" s="220">
        <f>SUM(C10:P10)</f>
        <v>955094.58093802421</v>
      </c>
      <c r="G11" s="543" t="s">
        <v>118</v>
      </c>
      <c r="H11" s="542"/>
      <c r="I11" s="542"/>
      <c r="J11" s="221">
        <f>SUM(Q10:AE10)</f>
        <v>655377.48719483125</v>
      </c>
      <c r="K11" s="543" t="s">
        <v>119</v>
      </c>
      <c r="L11" s="544"/>
      <c r="M11" s="544">
        <f>SUM(C10:AE10)</f>
        <v>1610472.0681328555</v>
      </c>
      <c r="N11" s="552"/>
      <c r="O11" s="553" t="s">
        <v>120</v>
      </c>
      <c r="P11" s="554"/>
      <c r="Q11" s="554"/>
      <c r="R11" s="222">
        <f>($AG$6+$AH$6)/($AG$19+$AI$19)</f>
        <v>2.066963824000223</v>
      </c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184"/>
      <c r="AF11" s="603" t="s">
        <v>110</v>
      </c>
      <c r="AG11" s="603" t="s">
        <v>111</v>
      </c>
      <c r="AH11" s="603" t="s">
        <v>112</v>
      </c>
      <c r="AI11" s="603" t="s">
        <v>113</v>
      </c>
    </row>
    <row r="12" spans="1:35" ht="21.75" customHeight="1" thickBot="1" x14ac:dyDescent="0.3">
      <c r="A12" s="509">
        <f>A1+1</f>
        <v>2020</v>
      </c>
      <c r="B12" s="539"/>
      <c r="C12" s="540" t="s">
        <v>109</v>
      </c>
      <c r="D12" s="540"/>
      <c r="E12" s="540"/>
      <c r="F12" s="540"/>
      <c r="G12" s="540"/>
      <c r="H12" s="540"/>
      <c r="I12" s="540"/>
      <c r="J12" s="540"/>
      <c r="K12" s="540"/>
      <c r="L12" s="540"/>
      <c r="M12" s="540"/>
      <c r="N12" s="540"/>
      <c r="O12" s="540"/>
      <c r="P12" s="540"/>
      <c r="Q12" s="540"/>
      <c r="R12" s="540"/>
      <c r="S12" s="513"/>
      <c r="T12" s="513"/>
      <c r="U12" s="513"/>
      <c r="V12" s="513"/>
      <c r="W12" s="513"/>
      <c r="X12" s="513"/>
      <c r="Y12" s="513"/>
      <c r="Z12" s="513"/>
      <c r="AA12" s="513"/>
      <c r="AB12" s="513"/>
      <c r="AC12" s="513"/>
      <c r="AD12" s="513"/>
      <c r="AE12" s="513"/>
      <c r="AF12" s="604"/>
      <c r="AG12" s="604"/>
      <c r="AH12" s="604"/>
      <c r="AI12" s="604"/>
    </row>
    <row r="13" spans="1:35" ht="15" customHeight="1" x14ac:dyDescent="0.25">
      <c r="A13" s="548" t="s">
        <v>114</v>
      </c>
      <c r="B13" s="564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604"/>
      <c r="AG13" s="604"/>
      <c r="AH13" s="604"/>
      <c r="AI13" s="604"/>
    </row>
    <row r="14" spans="1:35" x14ac:dyDescent="0.25">
      <c r="A14" s="548"/>
      <c r="B14" s="564"/>
      <c r="C14" s="141">
        <f t="shared" ref="C14:P14" si="4">(C6/$AH$6)*$AB$18</f>
        <v>0</v>
      </c>
      <c r="D14" s="142">
        <f t="shared" si="4"/>
        <v>13239.978800443481</v>
      </c>
      <c r="E14" s="142">
        <f t="shared" si="4"/>
        <v>175570.87180510256</v>
      </c>
      <c r="F14" s="142">
        <f t="shared" si="4"/>
        <v>3139.0456607451761</v>
      </c>
      <c r="G14" s="142">
        <f t="shared" si="4"/>
        <v>0</v>
      </c>
      <c r="H14" s="142">
        <f t="shared" si="4"/>
        <v>523022.9090066746</v>
      </c>
      <c r="I14" s="142">
        <f t="shared" si="4"/>
        <v>5031.1663348101092</v>
      </c>
      <c r="J14" s="142">
        <f t="shared" si="4"/>
        <v>0</v>
      </c>
      <c r="K14" s="142">
        <f t="shared" si="4"/>
        <v>0</v>
      </c>
      <c r="L14" s="142">
        <f t="shared" si="4"/>
        <v>0</v>
      </c>
      <c r="M14" s="142">
        <f t="shared" si="4"/>
        <v>30683.220813006948</v>
      </c>
      <c r="N14" s="142">
        <f t="shared" si="4"/>
        <v>4945.6280174964531</v>
      </c>
      <c r="O14" s="142">
        <f t="shared" si="4"/>
        <v>21366.728780922855</v>
      </c>
      <c r="P14" s="143">
        <f t="shared" si="4"/>
        <v>0</v>
      </c>
      <c r="Q14" s="141">
        <f t="shared" ref="Q14:AE14" si="5">(Q6/$AG$6)*$T$18</f>
        <v>58234.284633586409</v>
      </c>
      <c r="R14" s="142">
        <f t="shared" si="5"/>
        <v>150624.41727790399</v>
      </c>
      <c r="S14" s="142">
        <f t="shared" si="5"/>
        <v>8265.6737784101497</v>
      </c>
      <c r="T14" s="142">
        <f t="shared" si="5"/>
        <v>3.3224789282615096E-3</v>
      </c>
      <c r="U14" s="142">
        <f t="shared" si="5"/>
        <v>0</v>
      </c>
      <c r="V14" s="142">
        <f t="shared" si="5"/>
        <v>0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93070.178259349443</v>
      </c>
      <c r="AA14" s="142">
        <f t="shared" si="5"/>
        <v>15326.996985770458</v>
      </c>
      <c r="AB14" s="142">
        <f t="shared" si="5"/>
        <v>70375.044638217456</v>
      </c>
      <c r="AC14" s="143">
        <f t="shared" si="5"/>
        <v>0</v>
      </c>
      <c r="AD14" s="144">
        <f t="shared" si="5"/>
        <v>3510.3654181689731</v>
      </c>
      <c r="AE14" s="173">
        <f t="shared" si="5"/>
        <v>0</v>
      </c>
      <c r="AF14" s="604"/>
      <c r="AG14" s="604"/>
      <c r="AH14" s="604"/>
      <c r="AI14" s="604"/>
    </row>
    <row r="15" spans="1:35" x14ac:dyDescent="0.25">
      <c r="A15" s="550" t="s">
        <v>115</v>
      </c>
      <c r="B15" s="565"/>
      <c r="C15" s="149">
        <f t="shared" ref="C15:P15" si="6">C8*$AB$18</f>
        <v>0</v>
      </c>
      <c r="D15" s="150">
        <f t="shared" si="6"/>
        <v>29.372098570055829</v>
      </c>
      <c r="E15" s="150">
        <f t="shared" si="6"/>
        <v>563.74051227900372</v>
      </c>
      <c r="F15" s="150">
        <f t="shared" si="6"/>
        <v>13.61341322151968</v>
      </c>
      <c r="G15" s="150">
        <f t="shared" si="6"/>
        <v>0</v>
      </c>
      <c r="H15" s="150">
        <f t="shared" si="6"/>
        <v>261.51145450333729</v>
      </c>
      <c r="I15" s="150">
        <f t="shared" si="6"/>
        <v>8.3342905465188242</v>
      </c>
      <c r="J15" s="150">
        <f t="shared" si="6"/>
        <v>0</v>
      </c>
      <c r="K15" s="150">
        <f t="shared" si="6"/>
        <v>0</v>
      </c>
      <c r="L15" s="150">
        <f t="shared" si="6"/>
        <v>0</v>
      </c>
      <c r="M15" s="150">
        <f t="shared" si="6"/>
        <v>15.341610406503474</v>
      </c>
      <c r="N15" s="150">
        <f t="shared" si="6"/>
        <v>5.3527694255948228</v>
      </c>
      <c r="O15" s="150">
        <f t="shared" si="6"/>
        <v>68.606429442665188</v>
      </c>
      <c r="P15" s="151">
        <f t="shared" si="6"/>
        <v>0</v>
      </c>
      <c r="Q15" s="149">
        <f t="shared" ref="Q15:AD15" si="7">Q8*$T$18</f>
        <v>7.4963771688838454</v>
      </c>
      <c r="R15" s="150">
        <f t="shared" si="7"/>
        <v>334.15123226599331</v>
      </c>
      <c r="S15" s="150">
        <f t="shared" si="7"/>
        <v>35.846574042209134</v>
      </c>
      <c r="T15" s="150">
        <f t="shared" si="7"/>
        <v>5.5037943252303576E-6</v>
      </c>
      <c r="U15" s="150">
        <f t="shared" si="7"/>
        <v>0</v>
      </c>
      <c r="V15" s="150">
        <f t="shared" si="7"/>
        <v>0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46.535089129674716</v>
      </c>
      <c r="AA15" s="150">
        <f t="shared" si="7"/>
        <v>16.588769022128528</v>
      </c>
      <c r="AB15" s="150">
        <f t="shared" si="7"/>
        <v>225.96723082885245</v>
      </c>
      <c r="AC15" s="151">
        <f t="shared" si="7"/>
        <v>0</v>
      </c>
      <c r="AD15" s="152">
        <f t="shared" si="7"/>
        <v>1.7551827090844865</v>
      </c>
      <c r="AE15" s="174">
        <f>(AE14*(1.029*8.34)*0.03)/2000</f>
        <v>0</v>
      </c>
      <c r="AF15" s="604"/>
      <c r="AG15" s="604"/>
      <c r="AH15" s="604"/>
      <c r="AI15" s="604"/>
    </row>
    <row r="16" spans="1:35" ht="15" customHeight="1" thickBot="1" x14ac:dyDescent="0.3">
      <c r="A16" s="537" t="s">
        <v>116</v>
      </c>
      <c r="B16" s="566"/>
      <c r="C16" s="175">
        <f>$AI$30*C15</f>
        <v>0</v>
      </c>
      <c r="D16" s="176">
        <f>$AI$28*D15</f>
        <v>18915.631479115953</v>
      </c>
      <c r="E16" s="176">
        <f>$AI$31*E15</f>
        <v>370715.76087467279</v>
      </c>
      <c r="F16" s="176">
        <f>$AI$26*F15</f>
        <v>13885.681485950074</v>
      </c>
      <c r="G16" s="177">
        <f>$AI$23*G15</f>
        <v>0</v>
      </c>
      <c r="H16" s="177">
        <f>$AI$24*H15</f>
        <v>38078.68289023095</v>
      </c>
      <c r="I16" s="177">
        <f>$AI$29*I15</f>
        <v>18811.684376428206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>
        <f>$AI$27*M15</f>
        <v>8115.711905040338</v>
      </c>
      <c r="N16" s="177">
        <f>$AI$22*N15</f>
        <v>822.46812481358643</v>
      </c>
      <c r="O16" s="177">
        <f>$AI$31*O15</f>
        <v>45115.588001496624</v>
      </c>
      <c r="P16" s="178">
        <v>0</v>
      </c>
      <c r="Q16" s="179">
        <f>$AI$30*Q15</f>
        <v>38831.233734818321</v>
      </c>
      <c r="R16" s="177">
        <f>$AI$28*R15</f>
        <v>215193.39357929971</v>
      </c>
      <c r="S16" s="177">
        <f>$AI$26*S15</f>
        <v>36563.505523053318</v>
      </c>
      <c r="T16" s="177">
        <f>$AI$25*T15</f>
        <v>0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24617.062149597925</v>
      </c>
      <c r="AA16" s="177">
        <f>$AI$22*AA15</f>
        <v>2548.9111646313086</v>
      </c>
      <c r="AB16" s="177">
        <f>$AI$31*AB15</f>
        <v>148596.05099305336</v>
      </c>
      <c r="AC16" s="178">
        <v>0</v>
      </c>
      <c r="AD16" s="180">
        <f>$AI$27*AD15</f>
        <v>928.49165310569333</v>
      </c>
      <c r="AE16" s="181">
        <f>$AI$30*AE15</f>
        <v>0</v>
      </c>
      <c r="AF16" s="604"/>
      <c r="AG16" s="604"/>
      <c r="AH16" s="604"/>
      <c r="AI16" s="604"/>
    </row>
    <row r="17" spans="1:35" ht="15" customHeight="1" thickBot="1" x14ac:dyDescent="0.3">
      <c r="A17" s="567"/>
      <c r="B17" s="568"/>
      <c r="C17" s="569" t="s">
        <v>117</v>
      </c>
      <c r="D17" s="570"/>
      <c r="E17" s="570"/>
      <c r="F17" s="182">
        <f>SUM(C16:P16)</f>
        <v>514461.20913774846</v>
      </c>
      <c r="G17" s="571" t="s">
        <v>118</v>
      </c>
      <c r="H17" s="570"/>
      <c r="I17" s="570"/>
      <c r="J17" s="183">
        <f>SUM(Q16:AE16)</f>
        <v>467278.64879755961</v>
      </c>
      <c r="K17" s="571" t="s">
        <v>119</v>
      </c>
      <c r="L17" s="572"/>
      <c r="M17" s="573">
        <f>SUM(C16:AE16)</f>
        <v>981739.85793530801</v>
      </c>
      <c r="N17" s="574"/>
      <c r="O17" s="575"/>
      <c r="P17" s="576"/>
      <c r="Q17" s="576"/>
      <c r="R17" s="223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605"/>
      <c r="AG17" s="605"/>
      <c r="AH17" s="605"/>
      <c r="AI17" s="605"/>
    </row>
    <row r="18" spans="1:35" ht="15" customHeight="1" thickTop="1" thickBot="1" x14ac:dyDescent="0.3">
      <c r="A18" s="185" t="s">
        <v>121</v>
      </c>
      <c r="B18" s="186"/>
      <c r="C18" s="186"/>
      <c r="D18" s="187">
        <v>5001.1000000000004</v>
      </c>
      <c r="E18" s="188" t="s">
        <v>122</v>
      </c>
      <c r="F18" s="189"/>
      <c r="G18" s="189"/>
      <c r="H18" s="190">
        <f>D18*((AF19+AH19)/(AG6+AH6))</f>
        <v>2512.2008761180873</v>
      </c>
      <c r="I18" s="191" t="s">
        <v>123</v>
      </c>
      <c r="J18" s="189"/>
      <c r="K18" s="189"/>
      <c r="L18" s="192">
        <v>0.755</v>
      </c>
      <c r="M18" s="191" t="s">
        <v>124</v>
      </c>
      <c r="N18" s="189"/>
      <c r="O18" s="189"/>
      <c r="P18" s="193">
        <f>L18/(1-L18)</f>
        <v>3.0816326530612246</v>
      </c>
      <c r="Q18" s="191" t="s">
        <v>125</v>
      </c>
      <c r="R18" s="189"/>
      <c r="S18" s="189"/>
      <c r="T18" s="190">
        <f>D18*L18</f>
        <v>3775.8305000000005</v>
      </c>
      <c r="U18" s="191" t="s">
        <v>126</v>
      </c>
      <c r="V18" s="189"/>
      <c r="W18" s="189"/>
      <c r="X18" s="190">
        <f>H18*L18</f>
        <v>1896.7116614691558</v>
      </c>
      <c r="Y18" s="191" t="s">
        <v>127</v>
      </c>
      <c r="Z18" s="189"/>
      <c r="AA18" s="189"/>
      <c r="AB18" s="190">
        <f>D18-T18</f>
        <v>1225.2694999999999</v>
      </c>
      <c r="AC18" s="191" t="s">
        <v>128</v>
      </c>
      <c r="AD18" s="189"/>
      <c r="AE18" s="194">
        <f>H18-X18</f>
        <v>615.48921464893147</v>
      </c>
      <c r="AF18" s="224" t="s">
        <v>102</v>
      </c>
      <c r="AG18" s="225" t="s">
        <v>102</v>
      </c>
      <c r="AH18" s="225" t="s">
        <v>102</v>
      </c>
      <c r="AI18" s="225" t="s">
        <v>102</v>
      </c>
    </row>
    <row r="19" spans="1:35" ht="16.5" thickTop="1" thickBot="1" x14ac:dyDescent="0.3">
      <c r="O19" s="555"/>
      <c r="P19" s="555"/>
      <c r="AF19" s="195">
        <f>'[1]Yearly Summary '!$C$29</f>
        <v>3046.1644149070598</v>
      </c>
      <c r="AG19" s="195">
        <f>AF19-AG10</f>
        <v>3003.9785289951033</v>
      </c>
      <c r="AH19" s="195">
        <f>'[1]Yearly Summary '!$D$29</f>
        <v>520.85895995015176</v>
      </c>
      <c r="AI19" s="195">
        <f>AH19-AI10</f>
        <v>431.4764020759452</v>
      </c>
    </row>
    <row r="20" spans="1:35" ht="15" customHeight="1" x14ac:dyDescent="0.25">
      <c r="A20" s="556">
        <f>A12</f>
        <v>2020</v>
      </c>
      <c r="B20" s="557"/>
      <c r="C20" s="557" t="s">
        <v>129</v>
      </c>
      <c r="D20" s="557"/>
      <c r="E20" s="557"/>
      <c r="F20" s="557"/>
      <c r="G20" s="557"/>
      <c r="H20" s="557"/>
      <c r="I20" s="557"/>
      <c r="J20" s="557" t="s">
        <v>130</v>
      </c>
      <c r="K20" s="557"/>
      <c r="L20" s="557"/>
      <c r="M20" s="557"/>
      <c r="N20" s="557"/>
      <c r="O20" s="557"/>
      <c r="P20" s="558"/>
      <c r="Q20" s="196"/>
      <c r="R20" s="197">
        <f>A1</f>
        <v>2019</v>
      </c>
      <c r="S20" s="559" t="s">
        <v>131</v>
      </c>
      <c r="T20" s="560"/>
      <c r="U20" s="561" t="s">
        <v>132</v>
      </c>
      <c r="V20" s="562"/>
      <c r="W20" s="562"/>
      <c r="X20" s="562"/>
      <c r="Y20" s="563"/>
      <c r="Z20" s="577" t="s">
        <v>133</v>
      </c>
      <c r="AA20" s="578"/>
      <c r="AB20" s="578"/>
      <c r="AC20" s="578"/>
      <c r="AD20" s="579"/>
      <c r="AE20" s="580" t="s">
        <v>134</v>
      </c>
      <c r="AF20" s="581"/>
      <c r="AG20" s="581"/>
      <c r="AH20" s="581"/>
      <c r="AI20" s="582"/>
    </row>
    <row r="21" spans="1:35" ht="15.75" thickBot="1" x14ac:dyDescent="0.3">
      <c r="A21" s="583" t="s">
        <v>135</v>
      </c>
      <c r="B21" s="584"/>
      <c r="C21" s="585" t="s">
        <v>161</v>
      </c>
      <c r="D21" s="585"/>
      <c r="E21" s="585" t="s">
        <v>162</v>
      </c>
      <c r="F21" s="586"/>
      <c r="G21" s="586" t="s">
        <v>163</v>
      </c>
      <c r="H21" s="587"/>
      <c r="I21" s="587"/>
      <c r="J21" s="588" t="s">
        <v>164</v>
      </c>
      <c r="K21" s="588"/>
      <c r="L21" s="589"/>
      <c r="M21" s="588" t="s">
        <v>165</v>
      </c>
      <c r="N21" s="589"/>
      <c r="O21" s="585" t="s">
        <v>136</v>
      </c>
      <c r="P21" s="590"/>
      <c r="Q21" s="196"/>
      <c r="R21" s="591" t="s">
        <v>135</v>
      </c>
      <c r="S21" s="592"/>
      <c r="T21" s="592"/>
      <c r="U21" s="198" t="s">
        <v>137</v>
      </c>
      <c r="V21" s="248" t="s">
        <v>138</v>
      </c>
      <c r="W21" s="248" t="s">
        <v>139</v>
      </c>
      <c r="X21" s="248" t="s">
        <v>58</v>
      </c>
      <c r="Y21" s="248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594" t="s">
        <v>141</v>
      </c>
      <c r="B22" s="595"/>
      <c r="C22" s="596">
        <f>N15+AA15</f>
        <v>21.941538447723349</v>
      </c>
      <c r="D22" s="585"/>
      <c r="E22" s="597">
        <f>N16+AA16</f>
        <v>3371.3792894448952</v>
      </c>
      <c r="F22" s="598"/>
      <c r="G22" s="599">
        <f>(C22*2000)/(8.34*0.895*0.29)</f>
        <v>20272.625003266905</v>
      </c>
      <c r="H22" s="599"/>
      <c r="I22" s="202" t="s">
        <v>142</v>
      </c>
      <c r="J22" s="600">
        <f>(G22*8.34*0.895)/27000</f>
        <v>5.604479807847599</v>
      </c>
      <c r="K22" s="601"/>
      <c r="L22" s="203" t="s">
        <v>143</v>
      </c>
      <c r="M22" s="602">
        <f>ROUNDUP(J22,0)</f>
        <v>6</v>
      </c>
      <c r="N22" s="586"/>
      <c r="O22" s="593">
        <f>((M22*27000)/(8.34*0.895))*$Y$22</f>
        <v>2430.770467424943</v>
      </c>
      <c r="P22" s="590"/>
      <c r="Q22" s="196"/>
      <c r="R22" s="591" t="s">
        <v>141</v>
      </c>
      <c r="S22" s="592"/>
      <c r="T22" s="592"/>
      <c r="U22" s="244" t="s">
        <v>146</v>
      </c>
      <c r="V22" s="357">
        <v>0.112</v>
      </c>
      <c r="W22" s="358">
        <v>0.112</v>
      </c>
      <c r="X22" s="358">
        <v>0.112</v>
      </c>
      <c r="Y22" s="249">
        <v>0.112</v>
      </c>
      <c r="Z22" s="246" t="s">
        <v>142</v>
      </c>
      <c r="AA22" s="205">
        <f>V22*8.34*0.92</f>
        <v>0.85935360000000005</v>
      </c>
      <c r="AB22" s="205">
        <f t="shared" ref="AB22:AD22" si="8">W22*8.34*0.92</f>
        <v>0.85935360000000005</v>
      </c>
      <c r="AC22" s="205">
        <f t="shared" si="8"/>
        <v>0.85935360000000005</v>
      </c>
      <c r="AD22" s="205">
        <f t="shared" si="8"/>
        <v>0.85935360000000005</v>
      </c>
      <c r="AE22" s="206" t="s">
        <v>144</v>
      </c>
      <c r="AF22" s="207">
        <f>(V22/((0.92*8.34)*0.19))*2000</f>
        <v>153.65282144993387</v>
      </c>
      <c r="AG22" s="207">
        <f>(W22/((0.92*8.34)*0.19))*2000</f>
        <v>153.65282144993387</v>
      </c>
      <c r="AH22" s="207">
        <f>(X22/((0.92*8.34)*0.19))*2000</f>
        <v>153.65282144993387</v>
      </c>
      <c r="AI22" s="208">
        <f>(Y22/((0.92*8.34)*0.19))*2000</f>
        <v>153.65282144993387</v>
      </c>
    </row>
    <row r="23" spans="1:35" x14ac:dyDescent="0.25">
      <c r="A23" s="594" t="s">
        <v>145</v>
      </c>
      <c r="B23" s="595"/>
      <c r="C23" s="596">
        <f>G15+U15+V15</f>
        <v>0</v>
      </c>
      <c r="D23" s="585"/>
      <c r="E23" s="597">
        <f>G16+U16+V16</f>
        <v>0</v>
      </c>
      <c r="F23" s="598"/>
      <c r="G23" s="599">
        <f>C23*2000</f>
        <v>0</v>
      </c>
      <c r="H23" s="599"/>
      <c r="I23" s="202" t="s">
        <v>146</v>
      </c>
      <c r="J23" s="600">
        <f>(G23/(8.34*1.055))/400</f>
        <v>0</v>
      </c>
      <c r="K23" s="601"/>
      <c r="L23" s="203" t="s">
        <v>147</v>
      </c>
      <c r="M23" s="602">
        <f t="shared" ref="M23:M31" si="9">ROUNDUP(J23,0)</f>
        <v>0</v>
      </c>
      <c r="N23" s="586"/>
      <c r="O23" s="593">
        <f>(M23*400*8.34*1.055)*$Y$23</f>
        <v>0</v>
      </c>
      <c r="P23" s="590"/>
      <c r="Q23" s="196"/>
      <c r="R23" s="591" t="s">
        <v>145</v>
      </c>
      <c r="S23" s="592"/>
      <c r="T23" s="592"/>
      <c r="U23" s="244" t="s">
        <v>146</v>
      </c>
      <c r="V23" s="359"/>
      <c r="W23" s="360"/>
      <c r="X23" s="360"/>
      <c r="Y23" s="360"/>
      <c r="Z23" s="246" t="s">
        <v>142</v>
      </c>
      <c r="AA23" s="205">
        <f>V23*8.34*0.005</f>
        <v>0</v>
      </c>
      <c r="AB23" s="205">
        <f>W23*8.34*0.005</f>
        <v>0</v>
      </c>
      <c r="AC23" s="205">
        <f>X23*8.34*0.005</f>
        <v>0</v>
      </c>
      <c r="AD23" s="205">
        <f>Y23*8.34*0.005</f>
        <v>0</v>
      </c>
      <c r="AE23" s="206" t="s">
        <v>144</v>
      </c>
      <c r="AF23" s="207">
        <f>V23*2000</f>
        <v>0</v>
      </c>
      <c r="AG23" s="207">
        <f>W23*2000</f>
        <v>0</v>
      </c>
      <c r="AH23" s="207">
        <f>X23*2000</f>
        <v>0</v>
      </c>
      <c r="AI23" s="208">
        <f>Y23*2000</f>
        <v>0</v>
      </c>
    </row>
    <row r="24" spans="1:35" x14ac:dyDescent="0.25">
      <c r="A24" s="594" t="s">
        <v>148</v>
      </c>
      <c r="B24" s="595"/>
      <c r="C24" s="596">
        <f>H15</f>
        <v>261.51145450333729</v>
      </c>
      <c r="D24" s="585"/>
      <c r="E24" s="597">
        <f>H16</f>
        <v>38078.68289023095</v>
      </c>
      <c r="F24" s="598"/>
      <c r="G24" s="599">
        <f>C24</f>
        <v>261.51145450333729</v>
      </c>
      <c r="H24" s="599"/>
      <c r="I24" s="202" t="s">
        <v>149</v>
      </c>
      <c r="J24" s="600">
        <f>(G24*2000)/40000</f>
        <v>13.075572725166865</v>
      </c>
      <c r="K24" s="601"/>
      <c r="L24" s="203" t="s">
        <v>143</v>
      </c>
      <c r="M24" s="602">
        <f t="shared" si="9"/>
        <v>14</v>
      </c>
      <c r="N24" s="586"/>
      <c r="O24" s="593">
        <f>((M24*40000)/2000)*$Y$24</f>
        <v>40770.800000000003</v>
      </c>
      <c r="P24" s="590"/>
      <c r="Q24" s="196"/>
      <c r="R24" s="591" t="s">
        <v>148</v>
      </c>
      <c r="S24" s="592"/>
      <c r="T24" s="592"/>
      <c r="U24" s="244" t="s">
        <v>149</v>
      </c>
      <c r="V24" s="359">
        <v>119.95</v>
      </c>
      <c r="W24" s="360">
        <v>119.95</v>
      </c>
      <c r="X24" s="360">
        <v>119.95</v>
      </c>
      <c r="Y24" s="251">
        <v>145.61000000000001</v>
      </c>
      <c r="Z24" s="246" t="s">
        <v>146</v>
      </c>
      <c r="AA24" s="205">
        <f>V24/2000</f>
        <v>5.9975000000000001E-2</v>
      </c>
      <c r="AB24" s="205">
        <f>W24/2000</f>
        <v>5.9975000000000001E-2</v>
      </c>
      <c r="AC24" s="205">
        <f>X24/2000</f>
        <v>5.9975000000000001E-2</v>
      </c>
      <c r="AD24" s="205">
        <f>Y24/2000</f>
        <v>7.2805000000000009E-2</v>
      </c>
      <c r="AE24" s="206" t="s">
        <v>144</v>
      </c>
      <c r="AF24" s="207">
        <f>V24</f>
        <v>119.95</v>
      </c>
      <c r="AG24" s="207">
        <f>W24</f>
        <v>119.95</v>
      </c>
      <c r="AH24" s="207">
        <f>X24</f>
        <v>119.95</v>
      </c>
      <c r="AI24" s="207">
        <f>Y24</f>
        <v>145.61000000000001</v>
      </c>
    </row>
    <row r="25" spans="1:35" ht="15.75" customHeight="1" x14ac:dyDescent="0.25">
      <c r="A25" s="594" t="s">
        <v>150</v>
      </c>
      <c r="B25" s="595"/>
      <c r="C25" s="596">
        <f>T15</f>
        <v>5.5037943252303576E-6</v>
      </c>
      <c r="D25" s="585"/>
      <c r="E25" s="597">
        <f>T16</f>
        <v>0</v>
      </c>
      <c r="F25" s="598"/>
      <c r="G25" s="599">
        <f>C25*2000</f>
        <v>1.1007588650460715E-2</v>
      </c>
      <c r="H25" s="599"/>
      <c r="I25" s="202" t="s">
        <v>151</v>
      </c>
      <c r="J25" s="600">
        <f>G25/45000</f>
        <v>2.4461308112134925E-7</v>
      </c>
      <c r="K25" s="601"/>
      <c r="L25" s="203" t="s">
        <v>143</v>
      </c>
      <c r="M25" s="602">
        <f t="shared" si="9"/>
        <v>1</v>
      </c>
      <c r="N25" s="586"/>
      <c r="O25" s="593">
        <f>J25*45000*$Y$25</f>
        <v>0</v>
      </c>
      <c r="P25" s="590"/>
      <c r="Q25" s="196"/>
      <c r="R25" s="591" t="s">
        <v>150</v>
      </c>
      <c r="S25" s="592"/>
      <c r="T25" s="592"/>
      <c r="U25" s="244" t="s">
        <v>151</v>
      </c>
      <c r="V25" s="250"/>
      <c r="W25" s="204"/>
      <c r="X25" s="204"/>
      <c r="Y25" s="251"/>
      <c r="Z25" s="246" t="s">
        <v>142</v>
      </c>
      <c r="AA25" s="205">
        <f>V25*8.34*0.055</f>
        <v>0</v>
      </c>
      <c r="AB25" s="205">
        <f>W25*8.34*0.055</f>
        <v>0</v>
      </c>
      <c r="AC25" s="205">
        <f>X25*8.34*0.055</f>
        <v>0</v>
      </c>
      <c r="AD25" s="205">
        <f>Y25*8.34*0.055</f>
        <v>0</v>
      </c>
      <c r="AE25" s="206" t="s">
        <v>144</v>
      </c>
      <c r="AF25" s="207">
        <f>V25*2000</f>
        <v>0</v>
      </c>
      <c r="AG25" s="207">
        <f>W25*2000</f>
        <v>0</v>
      </c>
      <c r="AH25" s="207">
        <f>X25*2000</f>
        <v>0</v>
      </c>
      <c r="AI25" s="208">
        <f>Y25*2000</f>
        <v>0</v>
      </c>
    </row>
    <row r="26" spans="1:35" x14ac:dyDescent="0.25">
      <c r="A26" s="594" t="s">
        <v>152</v>
      </c>
      <c r="B26" s="595"/>
      <c r="C26" s="596">
        <f>F15+S15</f>
        <v>49.459987263728813</v>
      </c>
      <c r="D26" s="585"/>
      <c r="E26" s="597">
        <f>F16+S16</f>
        <v>50449.187009003392</v>
      </c>
      <c r="F26" s="598"/>
      <c r="G26" s="599">
        <f>C26</f>
        <v>49.459987263728813</v>
      </c>
      <c r="H26" s="599"/>
      <c r="I26" s="202" t="s">
        <v>149</v>
      </c>
      <c r="J26" s="600">
        <f>(G26*2000)/45000</f>
        <v>2.1982216561657251</v>
      </c>
      <c r="K26" s="601"/>
      <c r="L26" s="203" t="s">
        <v>143</v>
      </c>
      <c r="M26" s="602">
        <f t="shared" si="9"/>
        <v>3</v>
      </c>
      <c r="N26" s="586"/>
      <c r="O26" s="593">
        <f>((M26*45000)/2000)*$Y$26</f>
        <v>68850</v>
      </c>
      <c r="P26" s="590"/>
      <c r="Q26" s="196"/>
      <c r="R26" s="591" t="s">
        <v>152</v>
      </c>
      <c r="S26" s="592"/>
      <c r="T26" s="592"/>
      <c r="U26" s="244" t="s">
        <v>149</v>
      </c>
      <c r="V26" s="359">
        <v>1020</v>
      </c>
      <c r="W26" s="360">
        <v>1020</v>
      </c>
      <c r="X26" s="360">
        <v>1020</v>
      </c>
      <c r="Y26" s="251">
        <v>1020</v>
      </c>
      <c r="Z26" s="246" t="s">
        <v>142</v>
      </c>
      <c r="AA26" s="205">
        <f>(V26/2000)*8.34*1.04*1</f>
        <v>4.4235360000000004</v>
      </c>
      <c r="AB26" s="205">
        <f t="shared" ref="AB26:AD26" si="10">(W26/2000)*8.34*1.04*1</f>
        <v>4.4235360000000004</v>
      </c>
      <c r="AC26" s="205">
        <f t="shared" si="10"/>
        <v>4.4235360000000004</v>
      </c>
      <c r="AD26" s="205">
        <f t="shared" si="10"/>
        <v>4.4235360000000004</v>
      </c>
      <c r="AE26" s="206" t="s">
        <v>144</v>
      </c>
      <c r="AF26" s="207">
        <f t="shared" ref="AF26:AI28" si="11">V26</f>
        <v>1020</v>
      </c>
      <c r="AG26" s="207">
        <f t="shared" si="11"/>
        <v>1020</v>
      </c>
      <c r="AH26" s="207">
        <f t="shared" si="11"/>
        <v>1020</v>
      </c>
      <c r="AI26" s="208">
        <f t="shared" si="11"/>
        <v>1020</v>
      </c>
    </row>
    <row r="27" spans="1:35" x14ac:dyDescent="0.25">
      <c r="A27" s="594" t="s">
        <v>153</v>
      </c>
      <c r="B27" s="595"/>
      <c r="C27" s="596">
        <f>M15+Z15+AD15</f>
        <v>63.63188224526268</v>
      </c>
      <c r="D27" s="585"/>
      <c r="E27" s="597">
        <f>M16+Z16+AD16</f>
        <v>33661.265707743958</v>
      </c>
      <c r="F27" s="598"/>
      <c r="G27" s="599">
        <f>C27</f>
        <v>63.63188224526268</v>
      </c>
      <c r="H27" s="599"/>
      <c r="I27" s="202" t="s">
        <v>149</v>
      </c>
      <c r="J27" s="600">
        <f>G27/8</f>
        <v>7.9539852806578351</v>
      </c>
      <c r="K27" s="601"/>
      <c r="L27" s="203" t="s">
        <v>143</v>
      </c>
      <c r="M27" s="602">
        <f t="shared" si="9"/>
        <v>8</v>
      </c>
      <c r="N27" s="586"/>
      <c r="O27" s="593">
        <f>M27*8*$Y$27</f>
        <v>33856</v>
      </c>
      <c r="P27" s="590"/>
      <c r="Q27" s="196"/>
      <c r="R27" s="591" t="s">
        <v>153</v>
      </c>
      <c r="S27" s="592"/>
      <c r="T27" s="592"/>
      <c r="U27" s="244" t="s">
        <v>149</v>
      </c>
      <c r="V27" s="359">
        <v>529</v>
      </c>
      <c r="W27" s="360">
        <v>529</v>
      </c>
      <c r="X27" s="360">
        <v>529</v>
      </c>
      <c r="Y27" s="251">
        <v>529</v>
      </c>
      <c r="Z27" s="246" t="s">
        <v>146</v>
      </c>
      <c r="AA27" s="205">
        <f>V27/2000</f>
        <v>0.26450000000000001</v>
      </c>
      <c r="AB27" s="205">
        <f>W27/2000</f>
        <v>0.26450000000000001</v>
      </c>
      <c r="AC27" s="205">
        <f>X27/2000</f>
        <v>0.26450000000000001</v>
      </c>
      <c r="AD27" s="205">
        <f>Y27/2000</f>
        <v>0.26450000000000001</v>
      </c>
      <c r="AE27" s="206" t="s">
        <v>144</v>
      </c>
      <c r="AF27" s="207">
        <f t="shared" si="11"/>
        <v>529</v>
      </c>
      <c r="AG27" s="207">
        <f t="shared" si="11"/>
        <v>529</v>
      </c>
      <c r="AH27" s="207">
        <f t="shared" si="11"/>
        <v>529</v>
      </c>
      <c r="AI27" s="208">
        <f t="shared" si="11"/>
        <v>529</v>
      </c>
    </row>
    <row r="28" spans="1:35" x14ac:dyDescent="0.25">
      <c r="A28" s="594" t="s">
        <v>154</v>
      </c>
      <c r="B28" s="595"/>
      <c r="C28" s="596">
        <f>D15+L15+R15+Y15</f>
        <v>363.52333083604913</v>
      </c>
      <c r="D28" s="585"/>
      <c r="E28" s="597">
        <f>D16+L16+R16+Y16</f>
        <v>234109.02505841566</v>
      </c>
      <c r="F28" s="598"/>
      <c r="G28" s="599">
        <f>C28</f>
        <v>363.52333083604913</v>
      </c>
      <c r="H28" s="599"/>
      <c r="I28" s="202" t="s">
        <v>144</v>
      </c>
      <c r="J28" s="600">
        <f>((G28/0.38)*2000)/45000</f>
        <v>42.517348635795223</v>
      </c>
      <c r="K28" s="601"/>
      <c r="L28" s="203" t="s">
        <v>143</v>
      </c>
      <c r="M28" s="602">
        <f t="shared" si="9"/>
        <v>43</v>
      </c>
      <c r="N28" s="586"/>
      <c r="O28" s="593">
        <f>((M28*45000*0.38)/2000)*$Y$28</f>
        <v>236766.59999999998</v>
      </c>
      <c r="P28" s="590"/>
      <c r="Q28" s="196"/>
      <c r="R28" s="591" t="s">
        <v>154</v>
      </c>
      <c r="S28" s="592"/>
      <c r="T28" s="592"/>
      <c r="U28" s="244" t="s">
        <v>144</v>
      </c>
      <c r="V28" s="250">
        <v>644</v>
      </c>
      <c r="W28" s="204">
        <v>644</v>
      </c>
      <c r="X28" s="204">
        <v>644</v>
      </c>
      <c r="Y28" s="251">
        <v>644</v>
      </c>
      <c r="Z28" s="246" t="s">
        <v>142</v>
      </c>
      <c r="AA28" s="205">
        <f>(V28/2000)*8.34*1.4*0.38</f>
        <v>1.4286753599999999</v>
      </c>
      <c r="AB28" s="205">
        <f>(W28/2000)*8.34*1.4*0.38</f>
        <v>1.4286753599999999</v>
      </c>
      <c r="AC28" s="205">
        <f>(X28/2000)*8.34*1.4*0.38</f>
        <v>1.4286753599999999</v>
      </c>
      <c r="AD28" s="205">
        <f>(Y28/2000)*8.34*1.4*0.38</f>
        <v>1.4286753599999999</v>
      </c>
      <c r="AE28" s="206" t="s">
        <v>144</v>
      </c>
      <c r="AF28" s="207">
        <f t="shared" si="11"/>
        <v>644</v>
      </c>
      <c r="AG28" s="207">
        <f t="shared" si="11"/>
        <v>644</v>
      </c>
      <c r="AH28" s="207">
        <f t="shared" si="11"/>
        <v>644</v>
      </c>
      <c r="AI28" s="208">
        <f t="shared" si="11"/>
        <v>644</v>
      </c>
    </row>
    <row r="29" spans="1:35" x14ac:dyDescent="0.25">
      <c r="A29" s="594" t="s">
        <v>155</v>
      </c>
      <c r="B29" s="595"/>
      <c r="C29" s="596">
        <f>I15</f>
        <v>8.3342905465188242</v>
      </c>
      <c r="D29" s="585"/>
      <c r="E29" s="597">
        <f>I16</f>
        <v>18811.684376428206</v>
      </c>
      <c r="F29" s="598"/>
      <c r="G29" s="599">
        <f>C29/0.35</f>
        <v>23.812258704339499</v>
      </c>
      <c r="H29" s="599"/>
      <c r="I29" s="202" t="s">
        <v>149</v>
      </c>
      <c r="J29" s="600">
        <f>(G29*2000)/45000</f>
        <v>1.0583226090817555</v>
      </c>
      <c r="K29" s="601"/>
      <c r="L29" s="203" t="s">
        <v>143</v>
      </c>
      <c r="M29" s="602">
        <f t="shared" si="9"/>
        <v>2</v>
      </c>
      <c r="N29" s="586"/>
      <c r="O29" s="593">
        <f>((M29*45000)/2000)*$Y$29</f>
        <v>35550</v>
      </c>
      <c r="P29" s="590"/>
      <c r="Q29" s="196"/>
      <c r="R29" s="591" t="s">
        <v>155</v>
      </c>
      <c r="S29" s="592"/>
      <c r="T29" s="592"/>
      <c r="U29" s="244" t="s">
        <v>149</v>
      </c>
      <c r="V29" s="250">
        <v>790</v>
      </c>
      <c r="W29" s="204">
        <v>790</v>
      </c>
      <c r="X29" s="204">
        <v>790</v>
      </c>
      <c r="Y29" s="251">
        <v>790</v>
      </c>
      <c r="Z29" s="246" t="s">
        <v>142</v>
      </c>
      <c r="AA29" s="205">
        <f>(V29/2000)*8.34*1.135</f>
        <v>3.7390305000000001</v>
      </c>
      <c r="AB29" s="205">
        <f>(W29/2000)*8.34*1.135</f>
        <v>3.7390305000000001</v>
      </c>
      <c r="AC29" s="205">
        <f>(X29/2000)*8.34*1.135</f>
        <v>3.7390305000000001</v>
      </c>
      <c r="AD29" s="205">
        <f>(Y29/2000)*8.34*1.135</f>
        <v>3.7390305000000001</v>
      </c>
      <c r="AE29" s="206" t="s">
        <v>144</v>
      </c>
      <c r="AF29" s="207">
        <f>V29/0.35</f>
        <v>2257.1428571428573</v>
      </c>
      <c r="AG29" s="207">
        <f>W29/0.35</f>
        <v>2257.1428571428573</v>
      </c>
      <c r="AH29" s="207">
        <f>X29/0.35</f>
        <v>2257.1428571428573</v>
      </c>
      <c r="AI29" s="208">
        <f>Y29/0.35</f>
        <v>2257.1428571428573</v>
      </c>
    </row>
    <row r="30" spans="1:35" x14ac:dyDescent="0.25">
      <c r="A30" s="594" t="s">
        <v>156</v>
      </c>
      <c r="B30" s="595"/>
      <c r="C30" s="596">
        <f>C15+Q15+AE15</f>
        <v>7.4963771688838454</v>
      </c>
      <c r="D30" s="585"/>
      <c r="E30" s="597">
        <f>C16+Q16+AE16</f>
        <v>38831.233734818321</v>
      </c>
      <c r="F30" s="598"/>
      <c r="G30" s="599">
        <f>C30*2000</f>
        <v>14992.75433776769</v>
      </c>
      <c r="H30" s="599"/>
      <c r="I30" s="202" t="s">
        <v>151</v>
      </c>
      <c r="J30" s="600">
        <f>G30/3300</f>
        <v>4.5432588902326332</v>
      </c>
      <c r="K30" s="601"/>
      <c r="L30" s="203" t="s">
        <v>157</v>
      </c>
      <c r="M30" s="602">
        <f t="shared" si="9"/>
        <v>5</v>
      </c>
      <c r="N30" s="586"/>
      <c r="O30" s="593">
        <f>M30*3300*$Y$30</f>
        <v>42735</v>
      </c>
      <c r="P30" s="590"/>
      <c r="Q30" s="196"/>
      <c r="R30" s="591" t="s">
        <v>156</v>
      </c>
      <c r="S30" s="592"/>
      <c r="T30" s="592"/>
      <c r="U30" s="244" t="s">
        <v>151</v>
      </c>
      <c r="V30" s="250">
        <v>3.19</v>
      </c>
      <c r="W30" s="204">
        <v>2.59</v>
      </c>
      <c r="X30" s="204">
        <v>2.59</v>
      </c>
      <c r="Y30" s="251">
        <v>2.59</v>
      </c>
      <c r="Z30" s="246" t="s">
        <v>142</v>
      </c>
      <c r="AA30" s="205">
        <f>(8.34*1.029*0.03)*V30</f>
        <v>0.82128400199999985</v>
      </c>
      <c r="AB30" s="205">
        <f>(8.34*1.029*0.03)*W30</f>
        <v>0.66681052199999991</v>
      </c>
      <c r="AC30" s="205">
        <f>(8.34*1.029*0.03)*X30</f>
        <v>0.66681052199999991</v>
      </c>
      <c r="AD30" s="205">
        <f>(8.34*1.029*0.03)*Y30</f>
        <v>0.66681052199999991</v>
      </c>
      <c r="AE30" s="206" t="s">
        <v>144</v>
      </c>
      <c r="AF30" s="207">
        <f>V30*2000</f>
        <v>6380</v>
      </c>
      <c r="AG30" s="207">
        <f>W30*2000</f>
        <v>5180</v>
      </c>
      <c r="AH30" s="207">
        <f>X30*2000</f>
        <v>5180</v>
      </c>
      <c r="AI30" s="208">
        <f>Y30*2000</f>
        <v>5180</v>
      </c>
    </row>
    <row r="31" spans="1:35" ht="15.75" thickBot="1" x14ac:dyDescent="0.3">
      <c r="A31" s="606" t="s">
        <v>158</v>
      </c>
      <c r="B31" s="607"/>
      <c r="C31" s="608">
        <f>E15+O15+AB15</f>
        <v>858.31417255052133</v>
      </c>
      <c r="D31" s="609"/>
      <c r="E31" s="610">
        <f>E16+O16+AB16</f>
        <v>564427.39986922278</v>
      </c>
      <c r="F31" s="611"/>
      <c r="G31" s="612">
        <f>(C31/0.5)*2000</f>
        <v>3433256.6902020853</v>
      </c>
      <c r="H31" s="612"/>
      <c r="I31" s="209" t="s">
        <v>146</v>
      </c>
      <c r="J31" s="613">
        <f>G31/45000</f>
        <v>76.294593115601899</v>
      </c>
      <c r="K31" s="614"/>
      <c r="L31" s="210" t="s">
        <v>143</v>
      </c>
      <c r="M31" s="615">
        <f t="shared" si="9"/>
        <v>77</v>
      </c>
      <c r="N31" s="616"/>
      <c r="O31" s="617">
        <f>M31*45000*$Y$31</f>
        <v>569646</v>
      </c>
      <c r="P31" s="618"/>
      <c r="Q31" s="196"/>
      <c r="R31" s="619" t="s">
        <v>158</v>
      </c>
      <c r="S31" s="620"/>
      <c r="T31" s="620"/>
      <c r="U31" s="245" t="s">
        <v>146</v>
      </c>
      <c r="V31" s="445">
        <v>0.26400000000000001</v>
      </c>
      <c r="W31" s="444">
        <v>0.13950000000000001</v>
      </c>
      <c r="X31" s="444">
        <v>0.17075000000000001</v>
      </c>
      <c r="Y31" s="446">
        <v>0.16439999999999999</v>
      </c>
      <c r="Z31" s="247" t="s">
        <v>142</v>
      </c>
      <c r="AA31" s="211">
        <f>V31*8.34*1.54</f>
        <v>3.3907104000000001</v>
      </c>
      <c r="AB31" s="211">
        <f>W31*8.34*1.54</f>
        <v>1.7916822000000003</v>
      </c>
      <c r="AC31" s="211">
        <f>X31*8.34*1.54</f>
        <v>2.1930447000000002</v>
      </c>
      <c r="AD31" s="211">
        <f>Y31*8.34*1.54</f>
        <v>2.1114878399999997</v>
      </c>
      <c r="AE31" s="212" t="s">
        <v>144</v>
      </c>
      <c r="AF31" s="213">
        <f>(V31*2000)/0.5</f>
        <v>1056</v>
      </c>
      <c r="AG31" s="213">
        <f>(W31*2000)/0.5</f>
        <v>558</v>
      </c>
      <c r="AH31" s="213">
        <f>(X31*2000)/0.5</f>
        <v>683</v>
      </c>
      <c r="AI31" s="214">
        <f>(Y31*2000)/0.5</f>
        <v>657.59999999999991</v>
      </c>
    </row>
    <row r="32" spans="1:35" x14ac:dyDescent="0.25">
      <c r="F32" s="215"/>
    </row>
    <row r="34" spans="7:7" x14ac:dyDescent="0.25">
      <c r="G34" s="196"/>
    </row>
    <row r="35" spans="7:7" x14ac:dyDescent="0.25">
      <c r="G35" s="196"/>
    </row>
    <row r="36" spans="7:7" x14ac:dyDescent="0.25">
      <c r="G36" s="196"/>
    </row>
    <row r="37" spans="7:7" x14ac:dyDescent="0.25">
      <c r="G37" s="196"/>
    </row>
    <row r="38" spans="7:7" x14ac:dyDescent="0.25">
      <c r="G38" s="196"/>
    </row>
    <row r="39" spans="7:7" x14ac:dyDescent="0.25">
      <c r="G39" s="196"/>
    </row>
    <row r="40" spans="7:7" x14ac:dyDescent="0.25">
      <c r="G40" s="196"/>
    </row>
    <row r="41" spans="7:7" x14ac:dyDescent="0.25">
      <c r="G41" s="196"/>
    </row>
    <row r="42" spans="7:7" x14ac:dyDescent="0.25">
      <c r="G42" s="196"/>
    </row>
    <row r="43" spans="7:7" x14ac:dyDescent="0.25">
      <c r="G43" s="196"/>
    </row>
    <row r="44" spans="7:7" x14ac:dyDescent="0.25">
      <c r="G44" s="196"/>
    </row>
    <row r="45" spans="7:7" x14ac:dyDescent="0.25">
      <c r="G45" s="196"/>
    </row>
  </sheetData>
  <sheetProtection algorithmName="SHA-512" hashValue="RPesB9jCsK9FakKTNtJkKfSVn0wnjuVv+FdlBkfEOeY+qAUZGTCtB2mvV706jjPOojxD2uT220Tttj+rhuMlQg==" saltValue="IP/mBtWF288+Ja3EFXC0Ew==" spinCount="100000" sheet="1" objects="1" scenarios="1" selectLockedCells="1" selectUnlockedCells="1"/>
  <mergeCells count="135"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63"/>
  <sheetViews>
    <sheetView zoomScale="90" zoomScaleNormal="90" workbookViewId="0">
      <selection activeCell="W40" sqref="W40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9.1406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</row>
    <row r="5" spans="1:49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  <c r="AV5" t="s">
        <v>169</v>
      </c>
      <c r="AW5" s="334" t="s">
        <v>207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404" t="s">
        <v>28</v>
      </c>
      <c r="AE7" s="404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43831</v>
      </c>
      <c r="B8" s="59"/>
      <c r="C8" s="60">
        <v>63.407519292831488</v>
      </c>
      <c r="D8" s="60">
        <v>945.2423160552961</v>
      </c>
      <c r="E8" s="60">
        <v>16.695213832457856</v>
      </c>
      <c r="F8" s="60">
        <v>0</v>
      </c>
      <c r="G8" s="60">
        <v>4249.6154594739246</v>
      </c>
      <c r="H8" s="61">
        <v>24.181782889366094</v>
      </c>
      <c r="I8" s="59">
        <v>151.15751196543386</v>
      </c>
      <c r="J8" s="60">
        <v>387.58207626342841</v>
      </c>
      <c r="K8" s="60">
        <v>23.113698578874239</v>
      </c>
      <c r="L8" s="60">
        <v>0</v>
      </c>
      <c r="M8" s="50">
        <v>0</v>
      </c>
      <c r="N8" s="61">
        <v>0</v>
      </c>
      <c r="O8" s="49">
        <v>0</v>
      </c>
      <c r="P8" s="60">
        <v>0</v>
      </c>
      <c r="Q8" s="50">
        <v>0</v>
      </c>
      <c r="R8" s="63">
        <v>0</v>
      </c>
      <c r="S8" s="60">
        <v>0</v>
      </c>
      <c r="T8" s="64">
        <v>0</v>
      </c>
      <c r="U8" s="65">
        <v>249.05992707603153</v>
      </c>
      <c r="V8" s="62">
        <v>149.44787917210155</v>
      </c>
      <c r="W8" s="62">
        <v>39.099025020597914</v>
      </c>
      <c r="X8" s="62">
        <v>23.461286749841111</v>
      </c>
      <c r="Y8" s="66">
        <v>151.65598644561203</v>
      </c>
      <c r="Z8" s="66">
        <v>91.000851899915489</v>
      </c>
      <c r="AA8" s="67">
        <v>0</v>
      </c>
      <c r="AB8" s="68">
        <v>77.772556977801955</v>
      </c>
      <c r="AC8" s="69">
        <v>0</v>
      </c>
      <c r="AD8" s="403">
        <v>10.445870762956815</v>
      </c>
      <c r="AE8" s="403">
        <v>6.0228120086068113</v>
      </c>
      <c r="AF8" s="69">
        <v>16.060215353303459</v>
      </c>
      <c r="AG8" s="68">
        <v>9.8947858367528436</v>
      </c>
      <c r="AH8" s="68">
        <v>5.9373451824445249</v>
      </c>
      <c r="AI8" s="68">
        <v>0.62498130066981172</v>
      </c>
      <c r="AJ8" s="69">
        <v>262.98617245356246</v>
      </c>
      <c r="AK8" s="69">
        <v>970.84950186411527</v>
      </c>
      <c r="AL8" s="69">
        <v>2794.4704399108891</v>
      </c>
      <c r="AM8" s="69">
        <v>480.9385986328125</v>
      </c>
      <c r="AN8" s="69">
        <v>3704.1353759765625</v>
      </c>
      <c r="AO8" s="69">
        <v>2528.6460997263594</v>
      </c>
      <c r="AP8" s="69">
        <v>596.64670241673787</v>
      </c>
      <c r="AQ8" s="69">
        <v>2125.0166263580318</v>
      </c>
      <c r="AR8" s="69">
        <v>376.25600654284153</v>
      </c>
      <c r="AS8" s="69">
        <v>612.36606702804568</v>
      </c>
    </row>
    <row r="9" spans="1:49" x14ac:dyDescent="0.25">
      <c r="A9" s="11">
        <v>43832</v>
      </c>
      <c r="B9" s="59"/>
      <c r="C9" s="60">
        <v>64.232700212796686</v>
      </c>
      <c r="D9" s="60">
        <v>943.76421229044445</v>
      </c>
      <c r="E9" s="60">
        <v>16.538403755923088</v>
      </c>
      <c r="F9" s="60">
        <v>0</v>
      </c>
      <c r="G9" s="60">
        <v>4354.3506510893476</v>
      </c>
      <c r="H9" s="61">
        <v>24.077499145269375</v>
      </c>
      <c r="I9" s="59">
        <v>159.25323670705149</v>
      </c>
      <c r="J9" s="60">
        <v>388.07129724820521</v>
      </c>
      <c r="K9" s="60">
        <v>23.145090884963682</v>
      </c>
      <c r="L9" s="60">
        <v>0</v>
      </c>
      <c r="M9" s="50">
        <v>0</v>
      </c>
      <c r="N9" s="61">
        <v>0</v>
      </c>
      <c r="O9" s="59">
        <v>0</v>
      </c>
      <c r="P9" s="60">
        <v>0</v>
      </c>
      <c r="Q9" s="60">
        <v>0</v>
      </c>
      <c r="R9" s="63">
        <v>0</v>
      </c>
      <c r="S9" s="60">
        <v>0</v>
      </c>
      <c r="T9" s="64">
        <v>0</v>
      </c>
      <c r="U9" s="65">
        <v>254.48410261347206</v>
      </c>
      <c r="V9" s="62">
        <v>148.69601979380914</v>
      </c>
      <c r="W9" s="62">
        <v>40.026597240181289</v>
      </c>
      <c r="X9" s="62">
        <v>23.387691546865774</v>
      </c>
      <c r="Y9" s="66">
        <v>149.33404163862647</v>
      </c>
      <c r="Z9" s="66">
        <v>87.256443067934086</v>
      </c>
      <c r="AA9" s="67">
        <v>0</v>
      </c>
      <c r="AB9" s="68">
        <v>77.763683499229955</v>
      </c>
      <c r="AC9" s="69">
        <v>0</v>
      </c>
      <c r="AD9" s="402">
        <v>10.457365977268934</v>
      </c>
      <c r="AE9" s="402">
        <v>6.0103573116859268</v>
      </c>
      <c r="AF9" s="69">
        <v>15.773205286264433</v>
      </c>
      <c r="AG9" s="68">
        <v>9.7846620478564148</v>
      </c>
      <c r="AH9" s="68">
        <v>5.7172148931976858</v>
      </c>
      <c r="AI9" s="68">
        <v>0.63119208629139556</v>
      </c>
      <c r="AJ9" s="69">
        <v>261.31761913299562</v>
      </c>
      <c r="AK9" s="69">
        <v>966.41131054560367</v>
      </c>
      <c r="AL9" s="69">
        <v>2780.4256974538166</v>
      </c>
      <c r="AM9" s="69">
        <v>480.9385986328125</v>
      </c>
      <c r="AN9" s="69">
        <v>3704.1353759765625</v>
      </c>
      <c r="AO9" s="69">
        <v>2535.5002344767254</v>
      </c>
      <c r="AP9" s="69">
        <v>565.61101746559143</v>
      </c>
      <c r="AQ9" s="69">
        <v>2117.2854576746627</v>
      </c>
      <c r="AR9" s="69">
        <v>427.48868877092997</v>
      </c>
      <c r="AS9" s="69">
        <v>607.51243149439495</v>
      </c>
    </row>
    <row r="10" spans="1:49" x14ac:dyDescent="0.25">
      <c r="A10" s="11">
        <v>43833</v>
      </c>
      <c r="B10" s="59"/>
      <c r="C10" s="60">
        <v>63.825017130375159</v>
      </c>
      <c r="D10" s="60">
        <v>944.94883028665947</v>
      </c>
      <c r="E10" s="60">
        <v>16.507858257492362</v>
      </c>
      <c r="F10" s="60">
        <v>0</v>
      </c>
      <c r="G10" s="60">
        <v>4071.6593122800186</v>
      </c>
      <c r="H10" s="61">
        <v>24.114489906032915</v>
      </c>
      <c r="I10" s="59">
        <v>159.82781197230017</v>
      </c>
      <c r="J10" s="60">
        <v>387.65985355377234</v>
      </c>
      <c r="K10" s="60">
        <v>23.121292857329063</v>
      </c>
      <c r="L10" s="6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252.2538529656338</v>
      </c>
      <c r="V10" s="62">
        <v>151.35042593790163</v>
      </c>
      <c r="W10" s="62">
        <v>40.401302468165191</v>
      </c>
      <c r="X10" s="62">
        <v>24.240479442095385</v>
      </c>
      <c r="Y10" s="66">
        <v>150.50446774910952</v>
      </c>
      <c r="Z10" s="66">
        <v>90.301555483032516</v>
      </c>
      <c r="AA10" s="67">
        <v>0</v>
      </c>
      <c r="AB10" s="68">
        <v>77.762620793448164</v>
      </c>
      <c r="AC10" s="69">
        <v>0</v>
      </c>
      <c r="AD10" s="402">
        <v>10.44720725180278</v>
      </c>
      <c r="AE10" s="402">
        <v>6.0193162722077682</v>
      </c>
      <c r="AF10" s="69">
        <v>16.019773070017511</v>
      </c>
      <c r="AG10" s="68">
        <v>9.8617435561336162</v>
      </c>
      <c r="AH10" s="68">
        <v>5.9169724076108476</v>
      </c>
      <c r="AI10" s="68">
        <v>0.62500292031325178</v>
      </c>
      <c r="AJ10" s="69">
        <v>271.6390086332957</v>
      </c>
      <c r="AK10" s="69">
        <v>982.01588697433465</v>
      </c>
      <c r="AL10" s="69">
        <v>3127.0134340922041</v>
      </c>
      <c r="AM10" s="69">
        <v>480.9385986328125</v>
      </c>
      <c r="AN10" s="69">
        <v>3704.1353759765625</v>
      </c>
      <c r="AO10" s="69">
        <v>2551.3398545583091</v>
      </c>
      <c r="AP10" s="69">
        <v>573.52063976923625</v>
      </c>
      <c r="AQ10" s="69">
        <v>2127.5445632934566</v>
      </c>
      <c r="AR10" s="69">
        <v>455.03391610781341</v>
      </c>
      <c r="AS10" s="69">
        <v>618.89299259185805</v>
      </c>
    </row>
    <row r="11" spans="1:49" x14ac:dyDescent="0.25">
      <c r="A11" s="11">
        <v>43834</v>
      </c>
      <c r="B11" s="59"/>
      <c r="C11" s="60">
        <v>63.735159142812122</v>
      </c>
      <c r="D11" s="60">
        <v>943.73349863688043</v>
      </c>
      <c r="E11" s="60">
        <v>16.544752860565954</v>
      </c>
      <c r="F11" s="60">
        <v>0</v>
      </c>
      <c r="G11" s="60">
        <v>3820.9009144385623</v>
      </c>
      <c r="H11" s="61">
        <v>24.116219668587036</v>
      </c>
      <c r="I11" s="59">
        <v>168.80061279137948</v>
      </c>
      <c r="J11" s="60">
        <v>413.91165289878847</v>
      </c>
      <c r="K11" s="60">
        <v>24.789307981729408</v>
      </c>
      <c r="L11" s="6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266.66385654385186</v>
      </c>
      <c r="V11" s="62">
        <v>149.61754572614706</v>
      </c>
      <c r="W11" s="62">
        <v>42.682928305751403</v>
      </c>
      <c r="X11" s="62">
        <v>23.948183530681987</v>
      </c>
      <c r="Y11" s="66">
        <v>162.08000498037845</v>
      </c>
      <c r="Z11" s="66">
        <v>90.938505393054996</v>
      </c>
      <c r="AA11" s="67">
        <v>0</v>
      </c>
      <c r="AB11" s="68">
        <v>80.75521365271679</v>
      </c>
      <c r="AC11" s="69">
        <v>0</v>
      </c>
      <c r="AD11" s="402">
        <v>11.156162288631085</v>
      </c>
      <c r="AE11" s="402">
        <v>6.0118146067838794</v>
      </c>
      <c r="AF11" s="69">
        <v>16.821121353573254</v>
      </c>
      <c r="AG11" s="68">
        <v>10.60940441335307</v>
      </c>
      <c r="AH11" s="68">
        <v>5.952636665933035</v>
      </c>
      <c r="AI11" s="68">
        <v>0.64058556325053995</v>
      </c>
      <c r="AJ11" s="69">
        <v>255.34333429336544</v>
      </c>
      <c r="AK11" s="69">
        <v>958.22600304285709</v>
      </c>
      <c r="AL11" s="69">
        <v>2784.8309288024907</v>
      </c>
      <c r="AM11" s="69">
        <v>480.9385986328125</v>
      </c>
      <c r="AN11" s="69">
        <v>3704.1353759765625</v>
      </c>
      <c r="AO11" s="69">
        <v>2483.5345048268641</v>
      </c>
      <c r="AP11" s="69">
        <v>532.31744262377424</v>
      </c>
      <c r="AQ11" s="69">
        <v>2182.0007180531825</v>
      </c>
      <c r="AR11" s="69">
        <v>427.38921947479253</v>
      </c>
      <c r="AS11" s="69">
        <v>594.509828599294</v>
      </c>
    </row>
    <row r="12" spans="1:49" x14ac:dyDescent="0.25">
      <c r="A12" s="11">
        <v>43835</v>
      </c>
      <c r="B12" s="59"/>
      <c r="C12" s="60">
        <v>63.156612956524036</v>
      </c>
      <c r="D12" s="60">
        <v>945.79514942168942</v>
      </c>
      <c r="E12" s="60">
        <v>16.569464382529215</v>
      </c>
      <c r="F12" s="60">
        <v>0</v>
      </c>
      <c r="G12" s="60">
        <v>4221.7658536275185</v>
      </c>
      <c r="H12" s="61">
        <v>24.151391650239624</v>
      </c>
      <c r="I12" s="59">
        <v>186.85027379989626</v>
      </c>
      <c r="J12" s="60">
        <v>466.52132425308173</v>
      </c>
      <c r="K12" s="60">
        <v>28.113170776764498</v>
      </c>
      <c r="L12" s="6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286.70765650050572</v>
      </c>
      <c r="V12" s="62">
        <v>138.237528079979</v>
      </c>
      <c r="W12" s="62">
        <v>44.970678840821698</v>
      </c>
      <c r="X12" s="62">
        <v>21.682837336514734</v>
      </c>
      <c r="Y12" s="66">
        <v>177.24144410385429</v>
      </c>
      <c r="Z12" s="66">
        <v>85.457847220760812</v>
      </c>
      <c r="AA12" s="67">
        <v>0</v>
      </c>
      <c r="AB12" s="68">
        <v>86.974616400400876</v>
      </c>
      <c r="AC12" s="69">
        <v>0</v>
      </c>
      <c r="AD12" s="402">
        <v>12.571570016038283</v>
      </c>
      <c r="AE12" s="402">
        <v>6.0248013790424615</v>
      </c>
      <c r="AF12" s="69">
        <v>17.287304507361561</v>
      </c>
      <c r="AG12" s="68">
        <v>11.468268847823733</v>
      </c>
      <c r="AH12" s="68">
        <v>5.5294830847218259</v>
      </c>
      <c r="AI12" s="68">
        <v>0.67469327081221042</v>
      </c>
      <c r="AJ12" s="69">
        <v>263.58344430923466</v>
      </c>
      <c r="AK12" s="69">
        <v>975.28675902684529</v>
      </c>
      <c r="AL12" s="69">
        <v>2874.5315378824871</v>
      </c>
      <c r="AM12" s="69">
        <v>487.27493925094603</v>
      </c>
      <c r="AN12" s="69">
        <v>3704.1353759765625</v>
      </c>
      <c r="AO12" s="69">
        <v>2533.054122289022</v>
      </c>
      <c r="AP12" s="69">
        <v>552.24000760714205</v>
      </c>
      <c r="AQ12" s="69">
        <v>2325.1416007359817</v>
      </c>
      <c r="AR12" s="69">
        <v>435.1849184513091</v>
      </c>
      <c r="AS12" s="69">
        <v>581.22292378743487</v>
      </c>
    </row>
    <row r="13" spans="1:49" x14ac:dyDescent="0.25">
      <c r="A13" s="11">
        <v>43836</v>
      </c>
      <c r="B13" s="59"/>
      <c r="C13" s="60">
        <v>64.073323837916348</v>
      </c>
      <c r="D13" s="60">
        <v>946.19112230936435</v>
      </c>
      <c r="E13" s="60">
        <v>16.402625529964716</v>
      </c>
      <c r="F13" s="60">
        <v>0</v>
      </c>
      <c r="G13" s="60">
        <v>4101.0272828102134</v>
      </c>
      <c r="H13" s="61">
        <v>24.194393722216301</v>
      </c>
      <c r="I13" s="59">
        <v>186.05002985000613</v>
      </c>
      <c r="J13" s="60">
        <v>464.76498053868562</v>
      </c>
      <c r="K13" s="60">
        <v>27.966655472914351</v>
      </c>
      <c r="L13" s="6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299.57528791543393</v>
      </c>
      <c r="V13" s="62">
        <v>149.7981804200345</v>
      </c>
      <c r="W13" s="62">
        <v>45.059596953086718</v>
      </c>
      <c r="X13" s="62">
        <v>22.531383282648839</v>
      </c>
      <c r="Y13" s="66">
        <v>179.4212901968356</v>
      </c>
      <c r="Z13" s="66">
        <v>89.716955584427097</v>
      </c>
      <c r="AA13" s="67">
        <v>0</v>
      </c>
      <c r="AB13" s="68">
        <v>86.214111142688608</v>
      </c>
      <c r="AC13" s="69">
        <v>0</v>
      </c>
      <c r="AD13" s="402">
        <v>12.525146262357506</v>
      </c>
      <c r="AE13" s="402">
        <v>6.0268461628994148</v>
      </c>
      <c r="AF13" s="69">
        <v>17.858519218365359</v>
      </c>
      <c r="AG13" s="68">
        <v>11.726399030988917</v>
      </c>
      <c r="AH13" s="68">
        <v>5.8636119485838831</v>
      </c>
      <c r="AI13" s="68">
        <v>0.66665103532946801</v>
      </c>
      <c r="AJ13" s="69">
        <v>283.40718264579766</v>
      </c>
      <c r="AK13" s="69">
        <v>1006.9280038833618</v>
      </c>
      <c r="AL13" s="69">
        <v>2802.2689523061117</v>
      </c>
      <c r="AM13" s="69">
        <v>503.80659484863281</v>
      </c>
      <c r="AN13" s="69">
        <v>3704.1353759765625</v>
      </c>
      <c r="AO13" s="69">
        <v>2569.0554986317952</v>
      </c>
      <c r="AP13" s="69">
        <v>599.16228303909304</v>
      </c>
      <c r="AQ13" s="69">
        <v>2332.7154832204187</v>
      </c>
      <c r="AR13" s="69">
        <v>455.67507940928147</v>
      </c>
      <c r="AS13" s="69">
        <v>604.25720976193747</v>
      </c>
    </row>
    <row r="14" spans="1:49" x14ac:dyDescent="0.25">
      <c r="A14" s="11">
        <v>43837</v>
      </c>
      <c r="B14" s="59"/>
      <c r="C14" s="60">
        <v>64.1811916152637</v>
      </c>
      <c r="D14" s="60">
        <v>943.88091468810967</v>
      </c>
      <c r="E14" s="60">
        <v>16.267350067694945</v>
      </c>
      <c r="F14" s="60">
        <v>0</v>
      </c>
      <c r="G14" s="60">
        <v>3631.8878583272326</v>
      </c>
      <c r="H14" s="61">
        <v>24.122551690538685</v>
      </c>
      <c r="I14" s="59">
        <v>183.71923897266385</v>
      </c>
      <c r="J14" s="60">
        <v>458.77536344528141</v>
      </c>
      <c r="K14" s="60">
        <v>27.607367589076343</v>
      </c>
      <c r="L14" s="6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317.13772076706834</v>
      </c>
      <c r="V14" s="62">
        <v>158.57811772882246</v>
      </c>
      <c r="W14" s="62">
        <v>48.227192126462768</v>
      </c>
      <c r="X14" s="62">
        <v>24.115003829449538</v>
      </c>
      <c r="Y14" s="66">
        <v>180.25291841756285</v>
      </c>
      <c r="Z14" s="66">
        <v>90.13172084559011</v>
      </c>
      <c r="AA14" s="67">
        <v>0</v>
      </c>
      <c r="AB14" s="68">
        <v>86.08349487516675</v>
      </c>
      <c r="AC14" s="69">
        <v>0</v>
      </c>
      <c r="AD14" s="402">
        <v>12.36366915519854</v>
      </c>
      <c r="AE14" s="402">
        <v>6.0123567347117017</v>
      </c>
      <c r="AF14" s="69">
        <v>18.167662113242706</v>
      </c>
      <c r="AG14" s="68">
        <v>11.998805132963723</v>
      </c>
      <c r="AH14" s="68">
        <v>5.9997528152062776</v>
      </c>
      <c r="AI14" s="68">
        <v>0.66665369345235237</v>
      </c>
      <c r="AJ14" s="69">
        <v>257.13499846458427</v>
      </c>
      <c r="AK14" s="69">
        <v>959.3032326380411</v>
      </c>
      <c r="AL14" s="69">
        <v>2893.7402163187662</v>
      </c>
      <c r="AM14" s="69">
        <v>503.80659484863281</v>
      </c>
      <c r="AN14" s="69">
        <v>3704.1353759765625</v>
      </c>
      <c r="AO14" s="69">
        <v>2510.1336371103921</v>
      </c>
      <c r="AP14" s="69">
        <v>557.60328532854726</v>
      </c>
      <c r="AQ14" s="69">
        <v>2326.6405024210617</v>
      </c>
      <c r="AR14" s="69">
        <v>427.18665938377387</v>
      </c>
      <c r="AS14" s="69">
        <v>595.2484742164612</v>
      </c>
    </row>
    <row r="15" spans="1:49" x14ac:dyDescent="0.25">
      <c r="A15" s="11">
        <v>43838</v>
      </c>
      <c r="B15" s="59"/>
      <c r="C15" s="60">
        <v>64.198063596089639</v>
      </c>
      <c r="D15" s="60">
        <v>947.14352169036817</v>
      </c>
      <c r="E15" s="60">
        <v>15.821793287992431</v>
      </c>
      <c r="F15" s="60">
        <v>0</v>
      </c>
      <c r="G15" s="60">
        <v>3680.0251927693744</v>
      </c>
      <c r="H15" s="61">
        <v>24.190255485971736</v>
      </c>
      <c r="I15" s="59">
        <v>183.35432465871162</v>
      </c>
      <c r="J15" s="60">
        <v>458.7201450983685</v>
      </c>
      <c r="K15" s="60">
        <v>27.644403020540842</v>
      </c>
      <c r="L15" s="6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309.94286912635835</v>
      </c>
      <c r="V15" s="62">
        <v>154.97258592887641</v>
      </c>
      <c r="W15" s="62">
        <v>46.010118832469658</v>
      </c>
      <c r="X15" s="62">
        <v>23.00523033312896</v>
      </c>
      <c r="Y15" s="66">
        <v>177.30941147795929</v>
      </c>
      <c r="Z15" s="66">
        <v>88.655364402218922</v>
      </c>
      <c r="AA15" s="67">
        <v>0</v>
      </c>
      <c r="AB15" s="68">
        <v>86.320608827803369</v>
      </c>
      <c r="AC15" s="69">
        <v>0</v>
      </c>
      <c r="AD15" s="402">
        <v>12.363661127497679</v>
      </c>
      <c r="AE15" s="402">
        <v>6.0333746483236892</v>
      </c>
      <c r="AF15" s="69">
        <v>17.992609134647573</v>
      </c>
      <c r="AG15" s="68">
        <v>11.881892527460975</v>
      </c>
      <c r="AH15" s="68">
        <v>5.9409904021986932</v>
      </c>
      <c r="AI15" s="68">
        <v>0.66666501566297742</v>
      </c>
      <c r="AJ15" s="69">
        <v>250.6233768463135</v>
      </c>
      <c r="AK15" s="69">
        <v>952.77162106831872</v>
      </c>
      <c r="AL15" s="69">
        <v>2819.3787195841469</v>
      </c>
      <c r="AM15" s="69">
        <v>503.80659484863281</v>
      </c>
      <c r="AN15" s="69">
        <v>3704.1353759765625</v>
      </c>
      <c r="AO15" s="69">
        <v>2505.8266699473065</v>
      </c>
      <c r="AP15" s="69">
        <v>527.94961477915444</v>
      </c>
      <c r="AQ15" s="69">
        <v>2308.2744504292809</v>
      </c>
      <c r="AR15" s="69">
        <v>422.01144836743674</v>
      </c>
      <c r="AS15" s="69">
        <v>587.99859978357949</v>
      </c>
    </row>
    <row r="16" spans="1:49" x14ac:dyDescent="0.25">
      <c r="A16" s="11">
        <v>43839</v>
      </c>
      <c r="B16" s="49"/>
      <c r="C16" s="50">
        <v>63.93206392129273</v>
      </c>
      <c r="D16" s="50">
        <v>944.47330303191916</v>
      </c>
      <c r="E16" s="50">
        <v>15.741861574351782</v>
      </c>
      <c r="F16" s="50">
        <v>0</v>
      </c>
      <c r="G16" s="50">
        <v>3717.462277221689</v>
      </c>
      <c r="H16" s="51">
        <v>24.230474416414886</v>
      </c>
      <c r="I16" s="49">
        <v>175.56525979836766</v>
      </c>
      <c r="J16" s="50">
        <v>459.85367136001577</v>
      </c>
      <c r="K16" s="50">
        <v>26.433407410979271</v>
      </c>
      <c r="L16" s="6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312.67054369131603</v>
      </c>
      <c r="V16" s="66">
        <v>150.78529777579897</v>
      </c>
      <c r="W16" s="62">
        <v>46.065815614310225</v>
      </c>
      <c r="X16" s="62">
        <v>22.215228984110194</v>
      </c>
      <c r="Y16" s="66">
        <v>174.00453040761874</v>
      </c>
      <c r="Z16" s="66">
        <v>83.913644765186632</v>
      </c>
      <c r="AA16" s="67">
        <v>0</v>
      </c>
      <c r="AB16" s="68">
        <v>86.321121682061602</v>
      </c>
      <c r="AC16" s="69">
        <v>0</v>
      </c>
      <c r="AD16" s="402">
        <v>12.392116916064158</v>
      </c>
      <c r="AE16" s="402">
        <v>6.0163570771614161</v>
      </c>
      <c r="AF16" s="69">
        <v>17.664983411961124</v>
      </c>
      <c r="AG16" s="68">
        <v>11.806350733527148</v>
      </c>
      <c r="AH16" s="68">
        <v>5.6936099255897288</v>
      </c>
      <c r="AI16" s="68">
        <v>0.6746501299919464</v>
      </c>
      <c r="AJ16" s="69">
        <v>264.03436279296875</v>
      </c>
      <c r="AK16" s="69">
        <v>971.10731960932412</v>
      </c>
      <c r="AL16" s="69">
        <v>2757.91598815918</v>
      </c>
      <c r="AM16" s="69">
        <v>503.80659484863281</v>
      </c>
      <c r="AN16" s="69">
        <v>3704.1353759765625</v>
      </c>
      <c r="AO16" s="69">
        <v>2556.071022796631</v>
      </c>
      <c r="AP16" s="69">
        <v>574.99521943728121</v>
      </c>
      <c r="AQ16" s="69">
        <v>2302.6804180781041</v>
      </c>
      <c r="AR16" s="69">
        <v>437.46487275759381</v>
      </c>
      <c r="AS16" s="69">
        <v>576.89797004063905</v>
      </c>
    </row>
    <row r="17" spans="1:45" x14ac:dyDescent="0.25">
      <c r="A17" s="11">
        <v>43840</v>
      </c>
      <c r="B17" s="59"/>
      <c r="C17" s="60">
        <v>64.491389588515148</v>
      </c>
      <c r="D17" s="60">
        <v>949.30360361734859</v>
      </c>
      <c r="E17" s="60">
        <v>15.622755900025361</v>
      </c>
      <c r="F17" s="60">
        <v>0</v>
      </c>
      <c r="G17" s="60">
        <v>3714.8387504577713</v>
      </c>
      <c r="H17" s="61">
        <v>24.239427567521702</v>
      </c>
      <c r="I17" s="59">
        <v>161.84492492675781</v>
      </c>
      <c r="J17" s="60">
        <v>459.64050277074119</v>
      </c>
      <c r="K17" s="60">
        <v>24.983846068878961</v>
      </c>
      <c r="L17" s="6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314.33539363454116</v>
      </c>
      <c r="V17" s="62">
        <v>157.13955270538784</v>
      </c>
      <c r="W17" s="62">
        <v>47.419525275518588</v>
      </c>
      <c r="X17" s="62">
        <v>23.705516916622553</v>
      </c>
      <c r="Y17" s="66">
        <v>175.37300923742819</v>
      </c>
      <c r="Z17" s="66">
        <v>87.670802544772883</v>
      </c>
      <c r="AA17" s="67">
        <v>0</v>
      </c>
      <c r="AB17" s="68">
        <v>86.321598386764464</v>
      </c>
      <c r="AC17" s="69">
        <v>0</v>
      </c>
      <c r="AD17" s="402">
        <v>12.388764145457664</v>
      </c>
      <c r="AE17" s="402">
        <v>6.0470953020478282</v>
      </c>
      <c r="AF17" s="69">
        <v>18.166603487067771</v>
      </c>
      <c r="AG17" s="68">
        <v>12.000567054192866</v>
      </c>
      <c r="AH17" s="68">
        <v>5.9992090527971058</v>
      </c>
      <c r="AI17" s="68">
        <v>0.66670646250608678</v>
      </c>
      <c r="AJ17" s="69">
        <v>276.32127876281737</v>
      </c>
      <c r="AK17" s="69">
        <v>998.35594689051311</v>
      </c>
      <c r="AL17" s="69">
        <v>2741.6596069335938</v>
      </c>
      <c r="AM17" s="69">
        <v>503.80659484863281</v>
      </c>
      <c r="AN17" s="69">
        <v>3704.1353759765625</v>
      </c>
      <c r="AO17" s="69">
        <v>2557.3954663594563</v>
      </c>
      <c r="AP17" s="69">
        <v>624.53328404426577</v>
      </c>
      <c r="AQ17" s="69">
        <v>2303.934261194865</v>
      </c>
      <c r="AR17" s="69">
        <v>464.28112443288171</v>
      </c>
      <c r="AS17" s="69">
        <v>581.51973775227873</v>
      </c>
    </row>
    <row r="18" spans="1:45" x14ac:dyDescent="0.25">
      <c r="A18" s="11">
        <v>43841</v>
      </c>
      <c r="B18" s="59"/>
      <c r="C18" s="60">
        <v>64.623479481538496</v>
      </c>
      <c r="D18" s="60">
        <v>945.05009848276461</v>
      </c>
      <c r="E18" s="60">
        <v>15.472967326641086</v>
      </c>
      <c r="F18" s="60">
        <v>0</v>
      </c>
      <c r="G18" s="60">
        <v>3721.0726697286</v>
      </c>
      <c r="H18" s="61">
        <v>24.131183967987671</v>
      </c>
      <c r="I18" s="59">
        <v>153.12702812353785</v>
      </c>
      <c r="J18" s="60">
        <v>413.17578852971428</v>
      </c>
      <c r="K18" s="60">
        <v>22.332796887556711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283.1669283912222</v>
      </c>
      <c r="V18" s="62">
        <v>158.13401053293362</v>
      </c>
      <c r="W18" s="62">
        <v>42.003885561794171</v>
      </c>
      <c r="X18" s="62">
        <v>23.456986730724445</v>
      </c>
      <c r="Y18" s="66">
        <v>156.79707854833907</v>
      </c>
      <c r="Z18" s="66">
        <v>87.563018081121655</v>
      </c>
      <c r="AA18" s="67">
        <v>0</v>
      </c>
      <c r="AB18" s="68">
        <v>80.943785847556669</v>
      </c>
      <c r="AC18" s="69">
        <v>0</v>
      </c>
      <c r="AD18" s="402">
        <v>11.133960457523855</v>
      </c>
      <c r="AE18" s="402">
        <v>6.0187722945609803</v>
      </c>
      <c r="AF18" s="69">
        <v>16.910675156778769</v>
      </c>
      <c r="AG18" s="68">
        <v>10.74577687589646</v>
      </c>
      <c r="AH18" s="68">
        <v>6.0009578213521397</v>
      </c>
      <c r="AI18" s="68">
        <v>0.64166400615768615</v>
      </c>
      <c r="AJ18" s="69">
        <v>281.27651867866524</v>
      </c>
      <c r="AK18" s="69">
        <v>1012.8282480557759</v>
      </c>
      <c r="AL18" s="69">
        <v>2887.6444165547691</v>
      </c>
      <c r="AM18" s="69">
        <v>503.80659484863281</v>
      </c>
      <c r="AN18" s="69">
        <v>3704.1353759765625</v>
      </c>
      <c r="AO18" s="69">
        <v>2540.1454733530682</v>
      </c>
      <c r="AP18" s="69">
        <v>1009.4614351113638</v>
      </c>
      <c r="AQ18" s="69">
        <v>2184.9635794321694</v>
      </c>
      <c r="AR18" s="69">
        <v>476.03982394536331</v>
      </c>
      <c r="AS18" s="69">
        <v>542.93470872243256</v>
      </c>
    </row>
    <row r="19" spans="1:45" x14ac:dyDescent="0.25">
      <c r="A19" s="11">
        <v>43842</v>
      </c>
      <c r="B19" s="59"/>
      <c r="C19" s="60">
        <v>64.631149959564468</v>
      </c>
      <c r="D19" s="60">
        <v>946.25808194478225</v>
      </c>
      <c r="E19" s="60">
        <v>15.52964017142852</v>
      </c>
      <c r="F19" s="60">
        <v>0</v>
      </c>
      <c r="G19" s="60">
        <v>3623.4502899169966</v>
      </c>
      <c r="H19" s="61">
        <v>24.194036738077724</v>
      </c>
      <c r="I19" s="59">
        <v>161.70790631771075</v>
      </c>
      <c r="J19" s="60">
        <v>385.45675042470305</v>
      </c>
      <c r="K19" s="60">
        <v>21.018321499228446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259.89321392854765</v>
      </c>
      <c r="V19" s="62">
        <v>152.87598478580949</v>
      </c>
      <c r="W19" s="62">
        <v>37.780357402257927</v>
      </c>
      <c r="X19" s="62">
        <v>22.223394201504398</v>
      </c>
      <c r="Y19" s="66">
        <v>144.10270596847528</v>
      </c>
      <c r="Z19" s="66">
        <v>84.764980017089869</v>
      </c>
      <c r="AA19" s="67">
        <v>0</v>
      </c>
      <c r="AB19" s="68">
        <v>77.761075480778842</v>
      </c>
      <c r="AC19" s="69">
        <v>0</v>
      </c>
      <c r="AD19" s="402">
        <v>10.38738868666656</v>
      </c>
      <c r="AE19" s="402">
        <v>6.0275755455676387</v>
      </c>
      <c r="AF19" s="69">
        <v>15.453920047150731</v>
      </c>
      <c r="AG19" s="68">
        <v>9.6384799589370314</v>
      </c>
      <c r="AH19" s="68">
        <v>5.6696059634935052</v>
      </c>
      <c r="AI19" s="68">
        <v>0.62963325446286</v>
      </c>
      <c r="AJ19" s="69">
        <v>272.62133378982543</v>
      </c>
      <c r="AK19" s="69">
        <v>985.29677292505914</v>
      </c>
      <c r="AL19" s="69">
        <v>2755.1465592702234</v>
      </c>
      <c r="AM19" s="69">
        <v>503.80659484863281</v>
      </c>
      <c r="AN19" s="69">
        <v>3704.1353759765625</v>
      </c>
      <c r="AO19" s="69">
        <v>2560.0971529642748</v>
      </c>
      <c r="AP19" s="69">
        <v>967.63648926417022</v>
      </c>
      <c r="AQ19" s="69">
        <v>2117.5807706832884</v>
      </c>
      <c r="AR19" s="69">
        <v>447.11912371317555</v>
      </c>
      <c r="AS19" s="69">
        <v>548.22494977315273</v>
      </c>
    </row>
    <row r="20" spans="1:45" x14ac:dyDescent="0.25">
      <c r="A20" s="11">
        <v>43843</v>
      </c>
      <c r="B20" s="59"/>
      <c r="C20" s="60">
        <v>64.290345609188449</v>
      </c>
      <c r="D20" s="60">
        <v>949.65491593678746</v>
      </c>
      <c r="E20" s="60">
        <v>15.532190646231195</v>
      </c>
      <c r="F20" s="60">
        <v>0</v>
      </c>
      <c r="G20" s="60">
        <v>3608.8051068623881</v>
      </c>
      <c r="H20" s="61">
        <v>24.092606249451666</v>
      </c>
      <c r="I20" s="59">
        <v>161.18812029361729</v>
      </c>
      <c r="J20" s="60">
        <v>388.91319224039722</v>
      </c>
      <c r="K20" s="60">
        <v>21.107349382340892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262.56754667918489</v>
      </c>
      <c r="V20" s="62">
        <v>157.38860339694426</v>
      </c>
      <c r="W20" s="62">
        <v>37.987682461964098</v>
      </c>
      <c r="X20" s="62">
        <v>22.770629366013324</v>
      </c>
      <c r="Y20" s="66">
        <v>145.27514915492355</v>
      </c>
      <c r="Z20" s="66">
        <v>87.081031616268604</v>
      </c>
      <c r="AA20" s="67">
        <v>0</v>
      </c>
      <c r="AB20" s="68">
        <v>77.619809362622021</v>
      </c>
      <c r="AC20" s="69">
        <v>0</v>
      </c>
      <c r="AD20" s="402">
        <v>10.481626602215208</v>
      </c>
      <c r="AE20" s="402">
        <v>6.0170006346574993</v>
      </c>
      <c r="AF20" s="69">
        <v>15.716880509588458</v>
      </c>
      <c r="AG20" s="68">
        <v>9.7038560850466382</v>
      </c>
      <c r="AH20" s="68">
        <v>5.8166988879875321</v>
      </c>
      <c r="AI20" s="68">
        <v>0.62522610189560734</v>
      </c>
      <c r="AJ20" s="69">
        <v>272.99791587193806</v>
      </c>
      <c r="AK20" s="69">
        <v>992.30477561950693</v>
      </c>
      <c r="AL20" s="69">
        <v>2766.4731118520099</v>
      </c>
      <c r="AM20" s="69">
        <v>503.80659484863281</v>
      </c>
      <c r="AN20" s="69">
        <v>3704.1353759765625</v>
      </c>
      <c r="AO20" s="69">
        <v>2643.4908748626717</v>
      </c>
      <c r="AP20" s="69">
        <v>600.68889981905625</v>
      </c>
      <c r="AQ20" s="69">
        <v>2125.3312925338741</v>
      </c>
      <c r="AR20" s="69">
        <v>445.4698945363362</v>
      </c>
      <c r="AS20" s="69">
        <v>567.05387229919438</v>
      </c>
    </row>
    <row r="21" spans="1:45" x14ac:dyDescent="0.25">
      <c r="A21" s="11">
        <v>43844</v>
      </c>
      <c r="B21" s="59"/>
      <c r="C21" s="60">
        <v>63.976226111253197</v>
      </c>
      <c r="D21" s="60">
        <v>956.36065266927028</v>
      </c>
      <c r="E21" s="60">
        <v>15.569381302595133</v>
      </c>
      <c r="F21" s="60">
        <v>0</v>
      </c>
      <c r="G21" s="60">
        <v>3628.9644688924186</v>
      </c>
      <c r="H21" s="61">
        <v>24.295574199159944</v>
      </c>
      <c r="I21" s="59">
        <v>154.68252942562108</v>
      </c>
      <c r="J21" s="60">
        <v>386.14801295598369</v>
      </c>
      <c r="K21" s="60">
        <v>20.76719353099665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269.48130311241999</v>
      </c>
      <c r="V21" s="62">
        <v>161.68871016696485</v>
      </c>
      <c r="W21" s="62">
        <v>39.326091833932949</v>
      </c>
      <c r="X21" s="62">
        <v>23.59564463692535</v>
      </c>
      <c r="Y21" s="66">
        <v>149.30505998735023</v>
      </c>
      <c r="Z21" s="66">
        <v>89.582996267036208</v>
      </c>
      <c r="AA21" s="67">
        <v>0</v>
      </c>
      <c r="AB21" s="68">
        <v>75.724943839178309</v>
      </c>
      <c r="AC21" s="69">
        <v>0</v>
      </c>
      <c r="AD21" s="402">
        <v>10.407167269030863</v>
      </c>
      <c r="AE21" s="402">
        <v>6.0411694869195438</v>
      </c>
      <c r="AF21" s="69">
        <v>15.995420043998282</v>
      </c>
      <c r="AG21" s="68">
        <v>9.8839282217256255</v>
      </c>
      <c r="AH21" s="68">
        <v>5.9303543032333801</v>
      </c>
      <c r="AI21" s="68">
        <v>0.62500010393302663</v>
      </c>
      <c r="AJ21" s="69">
        <v>264.23976583480828</v>
      </c>
      <c r="AK21" s="69">
        <v>972.66190032958991</v>
      </c>
      <c r="AL21" s="69">
        <v>2891.3578834533691</v>
      </c>
      <c r="AM21" s="69">
        <v>503.80659484863281</v>
      </c>
      <c r="AN21" s="69">
        <v>3704.1353759765625</v>
      </c>
      <c r="AO21" s="69">
        <v>2531.2217861175536</v>
      </c>
      <c r="AP21" s="69">
        <v>575.82685866355894</v>
      </c>
      <c r="AQ21" s="69">
        <v>2123.9334561030073</v>
      </c>
      <c r="AR21" s="69">
        <v>442.51593031883243</v>
      </c>
      <c r="AS21" s="69">
        <v>615.49016857147217</v>
      </c>
    </row>
    <row r="22" spans="1:45" x14ac:dyDescent="0.25">
      <c r="A22" s="11">
        <v>43845</v>
      </c>
      <c r="B22" s="59"/>
      <c r="C22" s="60">
        <v>63.501158161958223</v>
      </c>
      <c r="D22" s="60">
        <v>953.7006268183361</v>
      </c>
      <c r="E22" s="60">
        <v>15.328656838337588</v>
      </c>
      <c r="F22" s="60">
        <v>0</v>
      </c>
      <c r="G22" s="60">
        <v>3715.7151852925786</v>
      </c>
      <c r="H22" s="61">
        <v>24.178484187523519</v>
      </c>
      <c r="I22" s="59">
        <v>156.40201777617148</v>
      </c>
      <c r="J22" s="60">
        <v>389.61160624821963</v>
      </c>
      <c r="K22" s="60">
        <v>21.193011618653934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260.13317570115771</v>
      </c>
      <c r="V22" s="62">
        <v>156.07805455566262</v>
      </c>
      <c r="W22" s="62">
        <v>40.129433965612783</v>
      </c>
      <c r="X22" s="62">
        <v>24.077374855747387</v>
      </c>
      <c r="Y22" s="66">
        <v>145.6691311302057</v>
      </c>
      <c r="Z22" s="66">
        <v>87.400442232463121</v>
      </c>
      <c r="AA22" s="67">
        <v>0</v>
      </c>
      <c r="AB22" s="68">
        <v>76.990699927012358</v>
      </c>
      <c r="AC22" s="69">
        <v>0</v>
      </c>
      <c r="AD22" s="402">
        <v>10.499532126896657</v>
      </c>
      <c r="AE22" s="402">
        <v>6.0247991700422281</v>
      </c>
      <c r="AF22" s="69">
        <v>15.683206764525838</v>
      </c>
      <c r="AG22" s="68">
        <v>9.7059397373729155</v>
      </c>
      <c r="AH22" s="68">
        <v>5.8234947840100553</v>
      </c>
      <c r="AI22" s="68">
        <v>0.62500277933549342</v>
      </c>
      <c r="AJ22" s="69">
        <v>267.11185843149821</v>
      </c>
      <c r="AK22" s="69">
        <v>981.16164922714233</v>
      </c>
      <c r="AL22" s="69">
        <v>2936.899658203125</v>
      </c>
      <c r="AM22" s="69">
        <v>503.80659484863281</v>
      </c>
      <c r="AN22" s="69">
        <v>3704.1353759765625</v>
      </c>
      <c r="AO22" s="69">
        <v>2602.5660565694175</v>
      </c>
      <c r="AP22" s="69">
        <v>620.96014771461489</v>
      </c>
      <c r="AQ22" s="69">
        <v>2114.7472723007209</v>
      </c>
      <c r="AR22" s="69">
        <v>492.21978502273572</v>
      </c>
      <c r="AS22" s="69">
        <v>564.24887866973882</v>
      </c>
    </row>
    <row r="23" spans="1:45" x14ac:dyDescent="0.25">
      <c r="A23" s="11">
        <v>43846</v>
      </c>
      <c r="B23" s="59"/>
      <c r="C23" s="60">
        <v>63.54324672619498</v>
      </c>
      <c r="D23" s="60">
        <v>930.58663043975901</v>
      </c>
      <c r="E23" s="60">
        <v>14.956364953517907</v>
      </c>
      <c r="F23" s="60">
        <v>0</v>
      </c>
      <c r="G23" s="60">
        <v>3791.5588389078875</v>
      </c>
      <c r="H23" s="61">
        <v>24.097082203626638</v>
      </c>
      <c r="I23" s="59">
        <v>148.16170107523632</v>
      </c>
      <c r="J23" s="60">
        <v>362.52972594897011</v>
      </c>
      <c r="K23" s="60">
        <v>19.654215008020401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254.47981281298183</v>
      </c>
      <c r="V23" s="62">
        <v>149.37468797878154</v>
      </c>
      <c r="W23" s="62">
        <v>39.107685411778085</v>
      </c>
      <c r="X23" s="62">
        <v>22.955448769721411</v>
      </c>
      <c r="Y23" s="66">
        <v>147.29321199282771</v>
      </c>
      <c r="Z23" s="66">
        <v>86.458243345967986</v>
      </c>
      <c r="AA23" s="67">
        <v>0</v>
      </c>
      <c r="AB23" s="68">
        <v>76.598234187232222</v>
      </c>
      <c r="AC23" s="69">
        <v>0</v>
      </c>
      <c r="AD23" s="402">
        <v>10.397289715749388</v>
      </c>
      <c r="AE23" s="402">
        <v>6.0154017708246785</v>
      </c>
      <c r="AF23" s="69">
        <v>15.675671388705558</v>
      </c>
      <c r="AG23" s="68">
        <v>9.7745192453825283</v>
      </c>
      <c r="AH23" s="68">
        <v>5.7374522021305419</v>
      </c>
      <c r="AI23" s="68">
        <v>0.63012746500056327</v>
      </c>
      <c r="AJ23" s="69">
        <v>274.34443058967588</v>
      </c>
      <c r="AK23" s="69">
        <v>1008.741381454468</v>
      </c>
      <c r="AL23" s="69">
        <v>2936.899658203125</v>
      </c>
      <c r="AM23" s="69">
        <v>503.80659484863281</v>
      </c>
      <c r="AN23" s="69">
        <v>3704.1353759765625</v>
      </c>
      <c r="AO23" s="69">
        <v>2601.1180877685538</v>
      </c>
      <c r="AP23" s="69">
        <v>631.12889957427979</v>
      </c>
      <c r="AQ23" s="69">
        <v>2085.6661906560257</v>
      </c>
      <c r="AR23" s="69">
        <v>535.05957110722863</v>
      </c>
      <c r="AS23" s="69">
        <v>633.72518475850427</v>
      </c>
    </row>
    <row r="24" spans="1:45" x14ac:dyDescent="0.25">
      <c r="A24" s="11">
        <v>43847</v>
      </c>
      <c r="B24" s="59"/>
      <c r="C24" s="60">
        <v>63.449432663123005</v>
      </c>
      <c r="D24" s="60">
        <v>904.79567705790191</v>
      </c>
      <c r="E24" s="60">
        <v>15.144998901089032</v>
      </c>
      <c r="F24" s="60">
        <v>0</v>
      </c>
      <c r="G24" s="60">
        <v>3589.6223299662265</v>
      </c>
      <c r="H24" s="61">
        <v>24.100703109304071</v>
      </c>
      <c r="I24" s="59">
        <v>144.99804780483254</v>
      </c>
      <c r="J24" s="60">
        <v>349.22528621355696</v>
      </c>
      <c r="K24" s="60">
        <v>18.790372284750134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260.37010187026192</v>
      </c>
      <c r="V24" s="62">
        <v>156.20217731810641</v>
      </c>
      <c r="W24" s="62">
        <v>39.207285104340187</v>
      </c>
      <c r="X24" s="62">
        <v>23.521376901720135</v>
      </c>
      <c r="Y24" s="66">
        <v>143.10230273948662</v>
      </c>
      <c r="Z24" s="66">
        <v>85.850453283920842</v>
      </c>
      <c r="AA24" s="67">
        <v>0</v>
      </c>
      <c r="AB24" s="68">
        <v>76.346179008483304</v>
      </c>
      <c r="AC24" s="69">
        <v>0</v>
      </c>
      <c r="AD24" s="402">
        <v>10.401215928045684</v>
      </c>
      <c r="AE24" s="402">
        <v>6.0135138087646931</v>
      </c>
      <c r="AF24" s="69">
        <v>16.132536223861898</v>
      </c>
      <c r="AG24" s="68">
        <v>10.002058282975788</v>
      </c>
      <c r="AH24" s="68">
        <v>6.0004711379723181</v>
      </c>
      <c r="AI24" s="68">
        <v>0.62502983246402266</v>
      </c>
      <c r="AJ24" s="69">
        <v>267.77461956342063</v>
      </c>
      <c r="AK24" s="69">
        <v>974.96465603510546</v>
      </c>
      <c r="AL24" s="69">
        <v>2936.899658203125</v>
      </c>
      <c r="AM24" s="69">
        <v>503.80659484863281</v>
      </c>
      <c r="AN24" s="69">
        <v>3704.1353759765625</v>
      </c>
      <c r="AO24" s="69">
        <v>2528.0983617146808</v>
      </c>
      <c r="AP24" s="69">
        <v>595.65546986262007</v>
      </c>
      <c r="AQ24" s="69">
        <v>2114.9430627187094</v>
      </c>
      <c r="AR24" s="69">
        <v>513.0610933303833</v>
      </c>
      <c r="AS24" s="69">
        <v>565.88257246017452</v>
      </c>
    </row>
    <row r="25" spans="1:45" x14ac:dyDescent="0.25">
      <c r="A25" s="11">
        <v>43848</v>
      </c>
      <c r="B25" s="59"/>
      <c r="C25" s="60">
        <v>63.324084846178771</v>
      </c>
      <c r="D25" s="60">
        <v>904.44869543711411</v>
      </c>
      <c r="E25" s="60">
        <v>15.088975768287957</v>
      </c>
      <c r="F25" s="60">
        <v>0</v>
      </c>
      <c r="G25" s="60">
        <v>3556.5295611063643</v>
      </c>
      <c r="H25" s="61">
        <v>24.085400742292389</v>
      </c>
      <c r="I25" s="59">
        <v>145.31463491121929</v>
      </c>
      <c r="J25" s="60">
        <v>349.26106834411638</v>
      </c>
      <c r="K25" s="60">
        <v>19.103806806107336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260.30499203700532</v>
      </c>
      <c r="V25" s="62">
        <v>156.22297196157558</v>
      </c>
      <c r="W25" s="62">
        <v>39.773706619745731</v>
      </c>
      <c r="X25" s="62">
        <v>23.870332279993853</v>
      </c>
      <c r="Y25" s="66">
        <v>142.85527411828349</v>
      </c>
      <c r="Z25" s="66">
        <v>85.735103689333556</v>
      </c>
      <c r="AA25" s="67">
        <v>0</v>
      </c>
      <c r="AB25" s="68">
        <v>76.345242844687164</v>
      </c>
      <c r="AC25" s="69">
        <v>0</v>
      </c>
      <c r="AD25" s="402">
        <v>10.404011630584609</v>
      </c>
      <c r="AE25" s="402">
        <v>6.0118384034548713</v>
      </c>
      <c r="AF25" s="69">
        <v>16.146106036504108</v>
      </c>
      <c r="AG25" s="68">
        <v>9.9992353876473814</v>
      </c>
      <c r="AH25" s="68">
        <v>6.0010768805369619</v>
      </c>
      <c r="AI25" s="68">
        <v>0.62494001492272477</v>
      </c>
      <c r="AJ25" s="69">
        <v>271.21622858047482</v>
      </c>
      <c r="AK25" s="69">
        <v>986.53640883763637</v>
      </c>
      <c r="AL25" s="69">
        <v>2802.4425535837813</v>
      </c>
      <c r="AM25" s="69">
        <v>503.80659484863281</v>
      </c>
      <c r="AN25" s="69">
        <v>3704.1353759765625</v>
      </c>
      <c r="AO25" s="69">
        <v>2613.8993424733476</v>
      </c>
      <c r="AP25" s="69">
        <v>624.70579384167979</v>
      </c>
      <c r="AQ25" s="69">
        <v>2106.5191196441651</v>
      </c>
      <c r="AR25" s="69">
        <v>535.94012877146406</v>
      </c>
      <c r="AS25" s="69">
        <v>553.45192416508996</v>
      </c>
    </row>
    <row r="26" spans="1:45" x14ac:dyDescent="0.25">
      <c r="A26" s="11">
        <v>43849</v>
      </c>
      <c r="B26" s="59"/>
      <c r="C26" s="60">
        <v>63.843492329120686</v>
      </c>
      <c r="D26" s="60">
        <v>902.93777141570945</v>
      </c>
      <c r="E26" s="60">
        <v>15.076376730203647</v>
      </c>
      <c r="F26" s="60">
        <v>0</v>
      </c>
      <c r="G26" s="60">
        <v>3500.8099365234275</v>
      </c>
      <c r="H26" s="61">
        <v>24.035835556189266</v>
      </c>
      <c r="I26" s="59">
        <v>142.46042114098873</v>
      </c>
      <c r="J26" s="60">
        <v>349.23166155815136</v>
      </c>
      <c r="K26" s="60">
        <v>18.970174039403567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260.44291771606527</v>
      </c>
      <c r="V26" s="62">
        <v>156.25417012285016</v>
      </c>
      <c r="W26" s="62">
        <v>39.743938641402032</v>
      </c>
      <c r="X26" s="62">
        <v>23.844595983969352</v>
      </c>
      <c r="Y26" s="62">
        <v>141.71938973085111</v>
      </c>
      <c r="Z26" s="62">
        <v>85.025332333484897</v>
      </c>
      <c r="AA26" s="72">
        <v>0</v>
      </c>
      <c r="AB26" s="69">
        <v>76.347739675309043</v>
      </c>
      <c r="AC26" s="69">
        <v>0</v>
      </c>
      <c r="AD26" s="402">
        <v>10.402886824955239</v>
      </c>
      <c r="AE26" s="402">
        <v>6.0016614407398308</v>
      </c>
      <c r="AF26" s="69">
        <v>16.146029184924242</v>
      </c>
      <c r="AG26" s="69">
        <v>9.9996866270208962</v>
      </c>
      <c r="AH26" s="69">
        <v>5.9993673435080357</v>
      </c>
      <c r="AI26" s="69">
        <v>0.6250173694920228</v>
      </c>
      <c r="AJ26" s="69">
        <v>267.67152598698937</v>
      </c>
      <c r="AK26" s="69">
        <v>980.88666489919012</v>
      </c>
      <c r="AL26" s="69">
        <v>2797.7953617095945</v>
      </c>
      <c r="AM26" s="69">
        <v>503.80659484863281</v>
      </c>
      <c r="AN26" s="69">
        <v>3704.1353759765625</v>
      </c>
      <c r="AO26" s="69">
        <v>2589.4659318288168</v>
      </c>
      <c r="AP26" s="69">
        <v>598.78280286788936</v>
      </c>
      <c r="AQ26" s="69">
        <v>2127.2006348927812</v>
      </c>
      <c r="AR26" s="69">
        <v>526.08978694279983</v>
      </c>
      <c r="AS26" s="69">
        <v>538.57385571797693</v>
      </c>
    </row>
    <row r="27" spans="1:45" x14ac:dyDescent="0.25">
      <c r="A27" s="11">
        <v>43850</v>
      </c>
      <c r="B27" s="59"/>
      <c r="C27" s="60">
        <v>63.268083771069925</v>
      </c>
      <c r="D27" s="60">
        <v>903.88492196400864</v>
      </c>
      <c r="E27" s="60">
        <v>15.101970711350452</v>
      </c>
      <c r="F27" s="60">
        <v>0</v>
      </c>
      <c r="G27" s="60">
        <v>3378.8296521504699</v>
      </c>
      <c r="H27" s="61">
        <v>23.980492069323844</v>
      </c>
      <c r="I27" s="59">
        <v>137.80431762536386</v>
      </c>
      <c r="J27" s="60">
        <v>349.19232618014018</v>
      </c>
      <c r="K27" s="60">
        <v>18.962727705637583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250.63681666688288</v>
      </c>
      <c r="V27" s="62">
        <v>146.89219277067988</v>
      </c>
      <c r="W27" s="62">
        <v>37.497207707126577</v>
      </c>
      <c r="X27" s="62">
        <v>21.976208986878856</v>
      </c>
      <c r="Y27" s="66">
        <v>136.56596484549775</v>
      </c>
      <c r="Z27" s="66">
        <v>80.038017960708373</v>
      </c>
      <c r="AA27" s="67">
        <v>0</v>
      </c>
      <c r="AB27" s="68">
        <v>76.351352167128326</v>
      </c>
      <c r="AC27" s="69">
        <v>0</v>
      </c>
      <c r="AD27" s="402">
        <v>10.400214174755634</v>
      </c>
      <c r="AE27" s="402">
        <v>5.9864370552296098</v>
      </c>
      <c r="AF27" s="69">
        <v>15.391884531577409</v>
      </c>
      <c r="AG27" s="68">
        <v>9.6090990525466129</v>
      </c>
      <c r="AH27" s="68">
        <v>5.6316611787135678</v>
      </c>
      <c r="AI27" s="68">
        <v>0.63048685936528803</v>
      </c>
      <c r="AJ27" s="69">
        <v>259.2267112572988</v>
      </c>
      <c r="AK27" s="69">
        <v>969.32405258814515</v>
      </c>
      <c r="AL27" s="69">
        <v>2784.9799067179365</v>
      </c>
      <c r="AM27" s="69">
        <v>503.80659484863281</v>
      </c>
      <c r="AN27" s="69">
        <v>3704.1353759765625</v>
      </c>
      <c r="AO27" s="69">
        <v>2517.9519652048743</v>
      </c>
      <c r="AP27" s="69">
        <v>583.25386271476748</v>
      </c>
      <c r="AQ27" s="69">
        <v>2129.3492375691735</v>
      </c>
      <c r="AR27" s="69">
        <v>501.76988341013595</v>
      </c>
      <c r="AS27" s="69">
        <v>525.98155272801728</v>
      </c>
    </row>
    <row r="28" spans="1:45" x14ac:dyDescent="0.25">
      <c r="A28" s="11">
        <v>43851</v>
      </c>
      <c r="B28" s="59"/>
      <c r="C28" s="60">
        <v>62.963561280568555</v>
      </c>
      <c r="D28" s="60">
        <v>921.87573432922193</v>
      </c>
      <c r="E28" s="60">
        <v>15.086234356462993</v>
      </c>
      <c r="F28" s="60">
        <v>0</v>
      </c>
      <c r="G28" s="60">
        <v>3475.4137502034578</v>
      </c>
      <c r="H28" s="61">
        <v>23.998577257990831</v>
      </c>
      <c r="I28" s="59">
        <v>137.76399571895601</v>
      </c>
      <c r="J28" s="60">
        <v>349.4893936951957</v>
      </c>
      <c r="K28" s="60">
        <v>18.872927573819986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256.66045134496221</v>
      </c>
      <c r="V28" s="62">
        <v>153.9741538084387</v>
      </c>
      <c r="W28" s="62">
        <v>38.324124688739715</v>
      </c>
      <c r="X28" s="62">
        <v>22.991172338689243</v>
      </c>
      <c r="Y28" s="66">
        <v>140.14670495193602</v>
      </c>
      <c r="Z28" s="66">
        <v>84.075946219747919</v>
      </c>
      <c r="AA28" s="67">
        <v>0</v>
      </c>
      <c r="AB28" s="68">
        <v>76.555746740763979</v>
      </c>
      <c r="AC28" s="69">
        <v>0</v>
      </c>
      <c r="AD28" s="402">
        <v>10.409083403045891</v>
      </c>
      <c r="AE28" s="402">
        <v>5.9843985990274682</v>
      </c>
      <c r="AF28" s="69">
        <v>15.949141030841405</v>
      </c>
      <c r="AG28" s="68">
        <v>9.8762051845362979</v>
      </c>
      <c r="AH28" s="68">
        <v>5.9248720562858939</v>
      </c>
      <c r="AI28" s="68">
        <v>0.62503366283287665</v>
      </c>
      <c r="AJ28" s="69">
        <v>249.49704291025802</v>
      </c>
      <c r="AK28" s="69">
        <v>952.04831730524688</v>
      </c>
      <c r="AL28" s="69">
        <v>2752.2026913960776</v>
      </c>
      <c r="AM28" s="69">
        <v>503.80659484863281</v>
      </c>
      <c r="AN28" s="69">
        <v>3704.1353759765625</v>
      </c>
      <c r="AO28" s="69">
        <v>2490.9286431630449</v>
      </c>
      <c r="AP28" s="69">
        <v>568.03264714876798</v>
      </c>
      <c r="AQ28" s="69">
        <v>2112.1016939798988</v>
      </c>
      <c r="AR28" s="69">
        <v>485.76078284581496</v>
      </c>
      <c r="AS28" s="69">
        <v>570.67022682825723</v>
      </c>
    </row>
    <row r="29" spans="1:45" x14ac:dyDescent="0.25">
      <c r="A29" s="11">
        <v>43852</v>
      </c>
      <c r="B29" s="59"/>
      <c r="C29" s="60">
        <v>63.657683670520953</v>
      </c>
      <c r="D29" s="60">
        <v>923.68853448231869</v>
      </c>
      <c r="E29" s="60">
        <v>14.785969715317121</v>
      </c>
      <c r="F29" s="60">
        <v>0</v>
      </c>
      <c r="G29" s="60">
        <v>3337.0886744181412</v>
      </c>
      <c r="H29" s="61">
        <v>23.924933742483468</v>
      </c>
      <c r="I29" s="59">
        <v>143.33493144512195</v>
      </c>
      <c r="J29" s="60">
        <v>363.01552327474019</v>
      </c>
      <c r="K29" s="60">
        <v>19.813785966237408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263.29526701075173</v>
      </c>
      <c r="V29" s="62">
        <v>152.46842226350628</v>
      </c>
      <c r="W29" s="62">
        <v>40.341573436216812</v>
      </c>
      <c r="X29" s="62">
        <v>23.360906268004367</v>
      </c>
      <c r="Y29" s="66">
        <v>146.04159407632312</v>
      </c>
      <c r="Z29" s="66">
        <v>84.569432965747708</v>
      </c>
      <c r="AA29" s="67">
        <v>0</v>
      </c>
      <c r="AB29" s="68">
        <v>78.268679677114918</v>
      </c>
      <c r="AC29" s="69">
        <v>0</v>
      </c>
      <c r="AD29" s="402">
        <v>10.81404855540406</v>
      </c>
      <c r="AE29" s="402">
        <v>5.9862858216634329</v>
      </c>
      <c r="AF29" s="69">
        <v>16.090977253847651</v>
      </c>
      <c r="AG29" s="68">
        <v>10.086300113489045</v>
      </c>
      <c r="AH29" s="68">
        <v>5.8407516482896034</v>
      </c>
      <c r="AI29" s="68">
        <v>0.6332810531635179</v>
      </c>
      <c r="AJ29" s="69">
        <v>256.79438533782962</v>
      </c>
      <c r="AK29" s="69">
        <v>962.65081472396878</v>
      </c>
      <c r="AL29" s="69">
        <v>2685.6487426757813</v>
      </c>
      <c r="AM29" s="69">
        <v>503.80659484863281</v>
      </c>
      <c r="AN29" s="69">
        <v>3704.1353759765625</v>
      </c>
      <c r="AO29" s="69">
        <v>2512.4445045471189</v>
      </c>
      <c r="AP29" s="69">
        <v>571.98076362609856</v>
      </c>
      <c r="AQ29" s="69">
        <v>2161.0192092259722</v>
      </c>
      <c r="AR29" s="69">
        <v>491.18701397577922</v>
      </c>
      <c r="AS29" s="69">
        <v>568.70645291010533</v>
      </c>
    </row>
    <row r="30" spans="1:45" x14ac:dyDescent="0.25">
      <c r="A30" s="11">
        <v>43853</v>
      </c>
      <c r="B30" s="59"/>
      <c r="C30" s="60">
        <v>63.278960168361316</v>
      </c>
      <c r="D30" s="60">
        <v>924.12150478363026</v>
      </c>
      <c r="E30" s="60">
        <v>14.701562973856934</v>
      </c>
      <c r="F30" s="60">
        <v>0</v>
      </c>
      <c r="G30" s="60">
        <v>3404.3510236104248</v>
      </c>
      <c r="H30" s="61">
        <v>24.007316420475654</v>
      </c>
      <c r="I30" s="59">
        <v>134.99046129385638</v>
      </c>
      <c r="J30" s="60">
        <v>349.01250128746096</v>
      </c>
      <c r="K30" s="60">
        <v>18.902134907742322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248.76814466031783</v>
      </c>
      <c r="V30" s="62">
        <v>150.36200051858685</v>
      </c>
      <c r="W30" s="62">
        <v>37.701071902888025</v>
      </c>
      <c r="X30" s="62">
        <v>22.787518075330116</v>
      </c>
      <c r="Y30" s="66">
        <v>140.6298187129355</v>
      </c>
      <c r="Z30" s="66">
        <v>85.000356066956599</v>
      </c>
      <c r="AA30" s="67">
        <v>0</v>
      </c>
      <c r="AB30" s="68">
        <v>76.344930733574827</v>
      </c>
      <c r="AC30" s="69">
        <v>0</v>
      </c>
      <c r="AD30" s="402">
        <v>10.396481783933897</v>
      </c>
      <c r="AE30" s="402">
        <v>5.9862401091671016</v>
      </c>
      <c r="AF30" s="69">
        <v>15.740008051858998</v>
      </c>
      <c r="AG30" s="68">
        <v>9.7118872422865845</v>
      </c>
      <c r="AH30" s="68">
        <v>5.8701197315883347</v>
      </c>
      <c r="AI30" s="68">
        <v>0.62327576021302744</v>
      </c>
      <c r="AJ30" s="69">
        <v>263.27775357564286</v>
      </c>
      <c r="AK30" s="69">
        <v>977.88551874160783</v>
      </c>
      <c r="AL30" s="69">
        <v>2685.6487426757813</v>
      </c>
      <c r="AM30" s="69">
        <v>503.80659484863281</v>
      </c>
      <c r="AN30" s="69">
        <v>3704.1353759765625</v>
      </c>
      <c r="AO30" s="69">
        <v>2616.0578562418623</v>
      </c>
      <c r="AP30" s="69">
        <v>588.44257505734765</v>
      </c>
      <c r="AQ30" s="69">
        <v>2113.7526221593221</v>
      </c>
      <c r="AR30" s="69">
        <v>508.21382799148557</v>
      </c>
      <c r="AS30" s="69">
        <v>555.03378200531006</v>
      </c>
    </row>
    <row r="31" spans="1:45" x14ac:dyDescent="0.25">
      <c r="A31" s="11">
        <v>43854</v>
      </c>
      <c r="B31" s="59"/>
      <c r="C31" s="60">
        <v>63.454856852690412</v>
      </c>
      <c r="D31" s="60">
        <v>940.08931401570476</v>
      </c>
      <c r="E31" s="60">
        <v>14.765852889418639</v>
      </c>
      <c r="F31" s="60">
        <v>0</v>
      </c>
      <c r="G31" s="60">
        <v>3454.1680435180715</v>
      </c>
      <c r="H31" s="61">
        <v>24.015645473201971</v>
      </c>
      <c r="I31" s="59">
        <v>130.17508993943537</v>
      </c>
      <c r="J31" s="60">
        <v>349.43781361579937</v>
      </c>
      <c r="K31" s="60">
        <v>19.087308901051678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253.70261944892434</v>
      </c>
      <c r="V31" s="62">
        <v>152.21833328443262</v>
      </c>
      <c r="W31" s="62">
        <v>38.217970610122116</v>
      </c>
      <c r="X31" s="62">
        <v>22.930294533113397</v>
      </c>
      <c r="Y31" s="66">
        <v>137.01795731320942</v>
      </c>
      <c r="Z31" s="66">
        <v>82.209025423378222</v>
      </c>
      <c r="AA31" s="67">
        <v>0</v>
      </c>
      <c r="AB31" s="68">
        <v>76.474841737746743</v>
      </c>
      <c r="AC31" s="69">
        <v>0</v>
      </c>
      <c r="AD31" s="402">
        <v>10.409074797514805</v>
      </c>
      <c r="AE31" s="402">
        <v>5.9969209259256937</v>
      </c>
      <c r="AF31" s="69">
        <v>15.974862499369491</v>
      </c>
      <c r="AG31" s="68">
        <v>9.8886565528164354</v>
      </c>
      <c r="AH31" s="68">
        <v>5.9330677080176395</v>
      </c>
      <c r="AI31" s="68">
        <v>0.62500498616925937</v>
      </c>
      <c r="AJ31" s="69">
        <v>257.39546728134155</v>
      </c>
      <c r="AK31" s="69">
        <v>965.07472159067777</v>
      </c>
      <c r="AL31" s="69">
        <v>2685.6487426757813</v>
      </c>
      <c r="AM31" s="69">
        <v>503.80659484863281</v>
      </c>
      <c r="AN31" s="69">
        <v>3704.1353759765625</v>
      </c>
      <c r="AO31" s="69">
        <v>2532.790384546915</v>
      </c>
      <c r="AP31" s="69">
        <v>558.57548747062685</v>
      </c>
      <c r="AQ31" s="69">
        <v>2127.3274220784501</v>
      </c>
      <c r="AR31" s="69">
        <v>495.3299224535624</v>
      </c>
      <c r="AS31" s="69">
        <v>589.86283919016512</v>
      </c>
    </row>
    <row r="32" spans="1:45" x14ac:dyDescent="0.25">
      <c r="A32" s="11">
        <v>43855</v>
      </c>
      <c r="B32" s="59"/>
      <c r="C32" s="60">
        <v>63.555128037929698</v>
      </c>
      <c r="D32" s="60">
        <v>948.49862327575727</v>
      </c>
      <c r="E32" s="60">
        <v>15.674448678394143</v>
      </c>
      <c r="F32" s="60">
        <v>0</v>
      </c>
      <c r="G32" s="60">
        <v>3494.5721206665053</v>
      </c>
      <c r="H32" s="61">
        <v>23.96474285423756</v>
      </c>
      <c r="I32" s="59">
        <v>125.45067094167079</v>
      </c>
      <c r="J32" s="60">
        <v>349.43588646252982</v>
      </c>
      <c r="K32" s="60">
        <v>19.091332641740664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255.81186424523506</v>
      </c>
      <c r="V32" s="62">
        <v>153.04522827303916</v>
      </c>
      <c r="W32" s="62">
        <v>38.758707659506527</v>
      </c>
      <c r="X32" s="62">
        <v>23.18827267382169</v>
      </c>
      <c r="Y32" s="66">
        <v>137.84283125975017</v>
      </c>
      <c r="Z32" s="66">
        <v>82.467588585830953</v>
      </c>
      <c r="AA32" s="67">
        <v>0</v>
      </c>
      <c r="AB32" s="68">
        <v>77.641507969962305</v>
      </c>
      <c r="AC32" s="69">
        <v>0</v>
      </c>
      <c r="AD32" s="402">
        <v>10.408058494161812</v>
      </c>
      <c r="AE32" s="402">
        <v>5.9919002518682198</v>
      </c>
      <c r="AF32" s="69">
        <v>16.159212430318235</v>
      </c>
      <c r="AG32" s="68">
        <v>10.001095610876659</v>
      </c>
      <c r="AH32" s="68">
        <v>5.9833814403532655</v>
      </c>
      <c r="AI32" s="68">
        <v>0.62567549622195029</v>
      </c>
      <c r="AJ32" s="69">
        <v>246.27747545242309</v>
      </c>
      <c r="AK32" s="69">
        <v>944.35141932169574</v>
      </c>
      <c r="AL32" s="69">
        <v>2685.6487426757813</v>
      </c>
      <c r="AM32" s="69">
        <v>503.80659484863281</v>
      </c>
      <c r="AN32" s="69">
        <v>3704.1353759765625</v>
      </c>
      <c r="AO32" s="69">
        <v>2469.1997937520346</v>
      </c>
      <c r="AP32" s="69">
        <v>523.26782647768653</v>
      </c>
      <c r="AQ32" s="69">
        <v>2108.4104760487876</v>
      </c>
      <c r="AR32" s="69">
        <v>473.75413188934317</v>
      </c>
      <c r="AS32" s="69">
        <v>564.88146692911789</v>
      </c>
    </row>
    <row r="33" spans="1:45" x14ac:dyDescent="0.25">
      <c r="A33" s="11">
        <v>43856</v>
      </c>
      <c r="B33" s="59"/>
      <c r="C33" s="60">
        <v>63.644236735503199</v>
      </c>
      <c r="D33" s="60">
        <v>948.62672532399483</v>
      </c>
      <c r="E33" s="60">
        <v>15.700283426543065</v>
      </c>
      <c r="F33" s="60">
        <v>0</v>
      </c>
      <c r="G33" s="60">
        <v>3535.0449404398605</v>
      </c>
      <c r="H33" s="61">
        <v>24.118003488580364</v>
      </c>
      <c r="I33" s="59">
        <v>121.12082904179886</v>
      </c>
      <c r="J33" s="60">
        <v>349.32647735277828</v>
      </c>
      <c r="K33" s="60">
        <v>19.047767497599111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257.36310949278555</v>
      </c>
      <c r="V33" s="62">
        <v>150.91872635993917</v>
      </c>
      <c r="W33" s="62">
        <v>38.500386580815338</v>
      </c>
      <c r="X33" s="62">
        <v>22.576776130010284</v>
      </c>
      <c r="Y33" s="66">
        <v>135.44381859405595</v>
      </c>
      <c r="Z33" s="66">
        <v>79.424780947925939</v>
      </c>
      <c r="AA33" s="67">
        <v>0</v>
      </c>
      <c r="AB33" s="68">
        <v>77.738184632195598</v>
      </c>
      <c r="AC33" s="69">
        <v>0</v>
      </c>
      <c r="AD33" s="402">
        <v>10.405156328474588</v>
      </c>
      <c r="AE33" s="402">
        <v>5.9925776318035222</v>
      </c>
      <c r="AF33" s="69">
        <v>15.696262435780621</v>
      </c>
      <c r="AG33" s="68">
        <v>9.7974788765549814</v>
      </c>
      <c r="AH33" s="68">
        <v>5.7452796420674836</v>
      </c>
      <c r="AI33" s="68">
        <v>0.63035650105585761</v>
      </c>
      <c r="AJ33" s="69">
        <v>247.3571148236592</v>
      </c>
      <c r="AK33" s="69">
        <v>945.02960681915295</v>
      </c>
      <c r="AL33" s="69">
        <v>2685.6487426757813</v>
      </c>
      <c r="AM33" s="69">
        <v>503.80659484863281</v>
      </c>
      <c r="AN33" s="69">
        <v>3704.1353759765625</v>
      </c>
      <c r="AO33" s="69">
        <v>2481.7782934824622</v>
      </c>
      <c r="AP33" s="69">
        <v>551.30011355082183</v>
      </c>
      <c r="AQ33" s="69">
        <v>2114.9279353459679</v>
      </c>
      <c r="AR33" s="69">
        <v>481.30274175008145</v>
      </c>
      <c r="AS33" s="69">
        <v>504.65979995727542</v>
      </c>
    </row>
    <row r="34" spans="1:45" x14ac:dyDescent="0.25">
      <c r="A34" s="11">
        <v>43857</v>
      </c>
      <c r="B34" s="59"/>
      <c r="C34" s="60">
        <v>63.242150517304864</v>
      </c>
      <c r="D34" s="60">
        <v>947.68661060333079</v>
      </c>
      <c r="E34" s="60">
        <v>14.903302418192224</v>
      </c>
      <c r="F34" s="60">
        <v>0</v>
      </c>
      <c r="G34" s="60">
        <v>3548.6974777221731</v>
      </c>
      <c r="H34" s="61">
        <v>23.817510279019668</v>
      </c>
      <c r="I34" s="59">
        <v>121.52880670229592</v>
      </c>
      <c r="J34" s="60">
        <v>349.32870405515081</v>
      </c>
      <c r="K34" s="60">
        <v>18.957553637524416</v>
      </c>
      <c r="L34" s="60">
        <v>6.6089630126953122E-5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255.01321474019002</v>
      </c>
      <c r="V34" s="62">
        <v>153.0203169150179</v>
      </c>
      <c r="W34" s="62">
        <v>38.383496165801212</v>
      </c>
      <c r="X34" s="62">
        <v>23.031962298821291</v>
      </c>
      <c r="Y34" s="66">
        <v>136.15801592089372</v>
      </c>
      <c r="Z34" s="66">
        <v>81.701423857434406</v>
      </c>
      <c r="AA34" s="67">
        <v>0</v>
      </c>
      <c r="AB34" s="68">
        <v>77.727015140321186</v>
      </c>
      <c r="AC34" s="69">
        <v>0</v>
      </c>
      <c r="AD34" s="402">
        <v>10.404652824771645</v>
      </c>
      <c r="AE34" s="402">
        <v>5.9867350424392365</v>
      </c>
      <c r="AF34" s="69">
        <v>15.912047835853366</v>
      </c>
      <c r="AG34" s="68">
        <v>9.839888589803202</v>
      </c>
      <c r="AH34" s="68">
        <v>5.9044111574930698</v>
      </c>
      <c r="AI34" s="68">
        <v>0.62498102473518902</v>
      </c>
      <c r="AJ34" s="69">
        <v>251.89319078127542</v>
      </c>
      <c r="AK34" s="69">
        <v>956.53387428919484</v>
      </c>
      <c r="AL34" s="69">
        <v>2892.2444774627684</v>
      </c>
      <c r="AM34" s="69">
        <v>503.80659484863281</v>
      </c>
      <c r="AN34" s="69">
        <v>3704.1353759765625</v>
      </c>
      <c r="AO34" s="69">
        <v>2538.5607041676835</v>
      </c>
      <c r="AP34" s="69">
        <v>921.98794886271139</v>
      </c>
      <c r="AQ34" s="69">
        <v>2125.7834922154739</v>
      </c>
      <c r="AR34" s="69">
        <v>494.0885485331217</v>
      </c>
      <c r="AS34" s="69">
        <v>572.15746609369921</v>
      </c>
    </row>
    <row r="35" spans="1:45" x14ac:dyDescent="0.25">
      <c r="A35" s="11">
        <v>43858</v>
      </c>
      <c r="B35" s="59"/>
      <c r="C35" s="60">
        <v>63.422001361846895</v>
      </c>
      <c r="D35" s="60">
        <v>949.25370966593186</v>
      </c>
      <c r="E35" s="60">
        <v>14.702938103675864</v>
      </c>
      <c r="F35" s="60">
        <v>0</v>
      </c>
      <c r="G35" s="60">
        <v>3545.8716997782349</v>
      </c>
      <c r="H35" s="61">
        <v>24.009777749578141</v>
      </c>
      <c r="I35" s="59">
        <v>121.20643924077348</v>
      </c>
      <c r="J35" s="60">
        <v>349.35040442148852</v>
      </c>
      <c r="K35" s="60">
        <v>19.008650608360767</v>
      </c>
      <c r="L35" s="60">
        <v>1.8882751464843751E-5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256.05633623692313</v>
      </c>
      <c r="V35" s="62">
        <v>153.62738897178843</v>
      </c>
      <c r="W35" s="62">
        <v>39.622145924569175</v>
      </c>
      <c r="X35" s="62">
        <v>23.772295242944288</v>
      </c>
      <c r="Y35" s="66">
        <v>137.68755311447379</v>
      </c>
      <c r="Z35" s="66">
        <v>82.609083570261816</v>
      </c>
      <c r="AA35" s="67">
        <v>0</v>
      </c>
      <c r="AB35" s="68">
        <v>76.349129470188558</v>
      </c>
      <c r="AC35" s="69">
        <v>0</v>
      </c>
      <c r="AD35" s="402">
        <v>10.404613005150146</v>
      </c>
      <c r="AE35" s="402">
        <v>5.996993764984536</v>
      </c>
      <c r="AF35" s="69">
        <v>16.161184121502735</v>
      </c>
      <c r="AG35" s="68">
        <v>9.9992017026291329</v>
      </c>
      <c r="AH35" s="68">
        <v>5.9992705978414422</v>
      </c>
      <c r="AI35" s="68">
        <v>0.62500978311129241</v>
      </c>
      <c r="AJ35" s="69">
        <v>262.51416147549952</v>
      </c>
      <c r="AK35" s="69">
        <v>974.6482524236045</v>
      </c>
      <c r="AL35" s="69">
        <v>2835.1309204101563</v>
      </c>
      <c r="AM35" s="69">
        <v>503.80659484863281</v>
      </c>
      <c r="AN35" s="69">
        <v>3704.1353759765625</v>
      </c>
      <c r="AO35" s="69">
        <v>2537.6769837697348</v>
      </c>
      <c r="AP35" s="69">
        <v>592.80574940045688</v>
      </c>
      <c r="AQ35" s="69">
        <v>2120.9625375111896</v>
      </c>
      <c r="AR35" s="69">
        <v>506.90312128067023</v>
      </c>
      <c r="AS35" s="69">
        <v>581.34261159896857</v>
      </c>
    </row>
    <row r="36" spans="1:45" x14ac:dyDescent="0.25">
      <c r="A36" s="11">
        <v>43859</v>
      </c>
      <c r="B36" s="59"/>
      <c r="C36" s="60">
        <v>63.492025883992397</v>
      </c>
      <c r="D36" s="60">
        <v>953.83890743255677</v>
      </c>
      <c r="E36" s="60">
        <v>14.662536964317209</v>
      </c>
      <c r="F36" s="60">
        <v>0</v>
      </c>
      <c r="G36" s="60">
        <v>3521.1343093872101</v>
      </c>
      <c r="H36" s="61">
        <v>23.946496918797479</v>
      </c>
      <c r="I36" s="59">
        <v>121.23242291609438</v>
      </c>
      <c r="J36" s="60">
        <v>349.27827787399264</v>
      </c>
      <c r="K36" s="60">
        <v>18.838558475176491</v>
      </c>
      <c r="L36" s="60">
        <v>2.8324127197265628E-5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253.87607827704988</v>
      </c>
      <c r="V36" s="62">
        <v>152.3449423579217</v>
      </c>
      <c r="W36" s="62">
        <v>39.188748850190642</v>
      </c>
      <c r="X36" s="62">
        <v>23.516227780020277</v>
      </c>
      <c r="Y36" s="66">
        <v>137.00000149610364</v>
      </c>
      <c r="Z36" s="66">
        <v>82.210413334740053</v>
      </c>
      <c r="AA36" s="67">
        <v>0</v>
      </c>
      <c r="AB36" s="68">
        <v>76.347048446866452</v>
      </c>
      <c r="AC36" s="69">
        <v>0</v>
      </c>
      <c r="AD36" s="402">
        <v>10.403249783129825</v>
      </c>
      <c r="AE36" s="402">
        <v>5.9801849700064773</v>
      </c>
      <c r="AF36" s="69">
        <v>16.02973538637163</v>
      </c>
      <c r="AG36" s="68">
        <v>9.915766908844482</v>
      </c>
      <c r="AH36" s="68">
        <v>5.9502137752182911</v>
      </c>
      <c r="AI36" s="68">
        <v>0.62497031266430159</v>
      </c>
      <c r="AJ36" s="69">
        <v>261.91967520713808</v>
      </c>
      <c r="AK36" s="69">
        <v>966.50712779362982</v>
      </c>
      <c r="AL36" s="69">
        <v>2719.3224561055504</v>
      </c>
      <c r="AM36" s="69">
        <v>503.80659484863281</v>
      </c>
      <c r="AN36" s="69">
        <v>3704.1353759765625</v>
      </c>
      <c r="AO36" s="69">
        <v>2576.9840548197431</v>
      </c>
      <c r="AP36" s="69">
        <v>601.46817440986638</v>
      </c>
      <c r="AQ36" s="69">
        <v>2131.7832600911461</v>
      </c>
      <c r="AR36" s="69">
        <v>503.00820366541541</v>
      </c>
      <c r="AS36" s="69">
        <v>600.91660356521595</v>
      </c>
    </row>
    <row r="37" spans="1:45" x14ac:dyDescent="0.25">
      <c r="A37" s="11">
        <v>43860</v>
      </c>
      <c r="B37" s="65"/>
      <c r="C37" s="380">
        <v>63.115694129466924</v>
      </c>
      <c r="D37" s="380">
        <v>975.29368038177529</v>
      </c>
      <c r="E37" s="380">
        <v>14.583081428209962</v>
      </c>
      <c r="F37" s="380">
        <v>0</v>
      </c>
      <c r="G37" s="380">
        <v>3666.6802106221598</v>
      </c>
      <c r="H37" s="390">
        <v>23.794592105348876</v>
      </c>
      <c r="I37" s="379">
        <v>121.87989391485853</v>
      </c>
      <c r="J37" s="380">
        <v>350.11837549209639</v>
      </c>
      <c r="K37" s="380">
        <v>19.022733579079318</v>
      </c>
      <c r="L37" s="60">
        <v>0</v>
      </c>
      <c r="M37" s="380">
        <v>0</v>
      </c>
      <c r="N37" s="390">
        <v>0</v>
      </c>
      <c r="O37" s="379">
        <v>0</v>
      </c>
      <c r="P37" s="380">
        <v>0</v>
      </c>
      <c r="Q37" s="380">
        <v>0</v>
      </c>
      <c r="R37" s="391">
        <v>0</v>
      </c>
      <c r="S37" s="380">
        <v>0</v>
      </c>
      <c r="T37" s="392">
        <v>0</v>
      </c>
      <c r="U37" s="393">
        <v>249.0382154050647</v>
      </c>
      <c r="V37" s="81">
        <v>150.51489874424021</v>
      </c>
      <c r="W37" s="81">
        <v>38.591177409488289</v>
      </c>
      <c r="X37" s="81">
        <v>23.3239189847327</v>
      </c>
      <c r="Y37" s="80">
        <v>134.56013931704911</v>
      </c>
      <c r="Z37" s="80">
        <v>81.326095721390274</v>
      </c>
      <c r="AA37" s="82">
        <v>0</v>
      </c>
      <c r="AB37" s="394">
        <v>76.719426414701559</v>
      </c>
      <c r="AC37" s="85">
        <v>0</v>
      </c>
      <c r="AD37" s="402">
        <v>10.42837921471912</v>
      </c>
      <c r="AE37" s="402">
        <v>5.972636508944329</v>
      </c>
      <c r="AF37" s="85">
        <v>15.750624548064328</v>
      </c>
      <c r="AG37" s="394">
        <v>9.7108471654038677</v>
      </c>
      <c r="AH37" s="394">
        <v>5.8690879046181523</v>
      </c>
      <c r="AI37" s="394">
        <v>0.62329188932814616</v>
      </c>
      <c r="AJ37" s="85">
        <v>269.20938529968259</v>
      </c>
      <c r="AK37" s="85">
        <v>976.61450792948403</v>
      </c>
      <c r="AL37" s="85">
        <v>3126.5471700032554</v>
      </c>
      <c r="AM37" s="85">
        <v>503.80659484863281</v>
      </c>
      <c r="AN37" s="85">
        <v>3704.1353759765625</v>
      </c>
      <c r="AO37" s="85">
        <v>2566.5447104136151</v>
      </c>
      <c r="AP37" s="85">
        <v>611.94168593088796</v>
      </c>
      <c r="AQ37" s="85">
        <v>2153.2579241434737</v>
      </c>
      <c r="AR37" s="85">
        <v>507.06706514358535</v>
      </c>
      <c r="AS37" s="85">
        <v>555.8975146929422</v>
      </c>
    </row>
    <row r="38" spans="1:45" ht="15.75" thickBot="1" x14ac:dyDescent="0.3">
      <c r="A38" s="11">
        <v>43861</v>
      </c>
      <c r="B38" s="73"/>
      <c r="C38" s="74">
        <v>63.426640594005768</v>
      </c>
      <c r="D38" s="74">
        <v>981.11427326202227</v>
      </c>
      <c r="E38" s="74">
        <v>14.973979373276242</v>
      </c>
      <c r="F38" s="74">
        <v>0</v>
      </c>
      <c r="G38" s="74">
        <v>3741.4028155008955</v>
      </c>
      <c r="H38" s="75">
        <v>24.04197039008141</v>
      </c>
      <c r="I38" s="76">
        <v>124.37287523746494</v>
      </c>
      <c r="J38" s="74">
        <v>357.90226194063843</v>
      </c>
      <c r="K38" s="74">
        <v>19.467343161503472</v>
      </c>
      <c r="L38" s="60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255.20201542652114</v>
      </c>
      <c r="V38" s="80">
        <v>135.73580524116824</v>
      </c>
      <c r="W38" s="81">
        <v>39.445988581237337</v>
      </c>
      <c r="X38" s="81">
        <v>20.98037123515504</v>
      </c>
      <c r="Y38" s="80">
        <v>134.80189957849629</v>
      </c>
      <c r="Z38" s="80">
        <v>71.697883563911603</v>
      </c>
      <c r="AA38" s="82">
        <v>0</v>
      </c>
      <c r="AB38" s="83">
        <v>77.808116134008415</v>
      </c>
      <c r="AC38" s="84">
        <v>0</v>
      </c>
      <c r="AD38" s="402">
        <v>10.662062489733923</v>
      </c>
      <c r="AE38" s="402">
        <v>5.9994063737041792</v>
      </c>
      <c r="AF38" s="85">
        <v>15.345232747329598</v>
      </c>
      <c r="AG38" s="83">
        <v>9.8961764505320886</v>
      </c>
      <c r="AH38" s="83">
        <v>5.2635378959552837</v>
      </c>
      <c r="AI38" s="83">
        <v>0.65279438809644275</v>
      </c>
      <c r="AJ38" s="84">
        <v>271.15745439529422</v>
      </c>
      <c r="AK38" s="84">
        <v>976.28975038528438</v>
      </c>
      <c r="AL38" s="84">
        <v>2790.4402557373051</v>
      </c>
      <c r="AM38" s="84">
        <v>503.80659484863281</v>
      </c>
      <c r="AN38" s="84">
        <v>3704.1353759765625</v>
      </c>
      <c r="AO38" s="84">
        <v>2545.5548314412431</v>
      </c>
      <c r="AP38" s="84">
        <v>612.44544504483542</v>
      </c>
      <c r="AQ38" s="84">
        <v>2164.5654806137086</v>
      </c>
      <c r="AR38" s="84">
        <v>490.68315531412759</v>
      </c>
      <c r="AS38" s="84">
        <v>566.68979320526114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1974.9366801857982</v>
      </c>
      <c r="D39" s="30">
        <f t="shared" si="0"/>
        <v>29166.242161750764</v>
      </c>
      <c r="E39" s="30">
        <f t="shared" si="0"/>
        <v>480.0537931263446</v>
      </c>
      <c r="F39" s="30">
        <f t="shared" si="0"/>
        <v>0</v>
      </c>
      <c r="G39" s="30">
        <f t="shared" si="0"/>
        <v>114403.31665771015</v>
      </c>
      <c r="H39" s="31">
        <f t="shared" si="0"/>
        <v>746.4494518448904</v>
      </c>
      <c r="I39" s="29">
        <f t="shared" si="0"/>
        <v>4625.3263663291937</v>
      </c>
      <c r="J39" s="30">
        <f t="shared" si="0"/>
        <v>11933.941905546195</v>
      </c>
      <c r="K39" s="30">
        <f t="shared" si="0"/>
        <v>668.92830635458165</v>
      </c>
      <c r="L39" s="30">
        <f t="shared" si="0"/>
        <v>1.132965087890625E-4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8289.0953360386684</v>
      </c>
      <c r="V39" s="260">
        <f t="shared" si="0"/>
        <v>4717.9649135972459</v>
      </c>
      <c r="W39" s="260">
        <f t="shared" si="0"/>
        <v>1259.5954471968953</v>
      </c>
      <c r="X39" s="260">
        <f t="shared" si="0"/>
        <v>717.04455022580032</v>
      </c>
      <c r="Y39" s="260">
        <f t="shared" si="0"/>
        <v>4647.1927072064527</v>
      </c>
      <c r="Z39" s="260">
        <f t="shared" si="0"/>
        <v>2641.8353402916136</v>
      </c>
      <c r="AA39" s="268">
        <f t="shared" si="0"/>
        <v>0</v>
      </c>
      <c r="AB39" s="271">
        <f t="shared" si="0"/>
        <v>2451.2933156755153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SUM(AJ8:AJ38)</f>
        <v>8182.164793459574</v>
      </c>
      <c r="AK39" s="271">
        <f t="shared" si="1"/>
        <v>30203.596006838477</v>
      </c>
      <c r="AL39" s="271">
        <f t="shared" si="1"/>
        <v>87416.905973688758</v>
      </c>
      <c r="AM39" s="271">
        <f t="shared" si="1"/>
        <v>15510.00079984665</v>
      </c>
      <c r="AN39" s="271">
        <f t="shared" si="1"/>
        <v>114828.19665527344</v>
      </c>
      <c r="AO39" s="271">
        <f t="shared" si="1"/>
        <v>78927.13290392558</v>
      </c>
      <c r="AP39" s="271">
        <f t="shared" si="1"/>
        <v>19214.928572924935</v>
      </c>
      <c r="AQ39" s="271">
        <f t="shared" si="1"/>
        <v>67115.360751406348</v>
      </c>
      <c r="AR39" s="271">
        <f t="shared" si="1"/>
        <v>14680.555469640092</v>
      </c>
      <c r="AS39" s="271">
        <f t="shared" si="1"/>
        <v>17846.812459897992</v>
      </c>
    </row>
    <row r="40" spans="1:45" ht="15.75" thickBot="1" x14ac:dyDescent="0.3">
      <c r="A40" s="47" t="s">
        <v>172</v>
      </c>
      <c r="B40" s="32">
        <f>Projection!$AA$30</f>
        <v>0.82128400199999985</v>
      </c>
      <c r="C40" s="33">
        <f>Projection!$AA$28</f>
        <v>1.4286753599999999</v>
      </c>
      <c r="D40" s="33">
        <f>Projection!$AA$31</f>
        <v>3.3907104000000001</v>
      </c>
      <c r="E40" s="33">
        <f>Projection!$AA$26</f>
        <v>4.4235360000000004</v>
      </c>
      <c r="F40" s="33">
        <f>Projection!$AA$23</f>
        <v>0</v>
      </c>
      <c r="G40" s="33">
        <f>Projection!$AA$24</f>
        <v>5.9975000000000001E-2</v>
      </c>
      <c r="H40" s="34">
        <f>Projection!$AA$29</f>
        <v>3.7390305000000001</v>
      </c>
      <c r="I40" s="32">
        <f>Projection!$AA$30</f>
        <v>0.82128400199999985</v>
      </c>
      <c r="J40" s="33">
        <f>Projection!$AA$28</f>
        <v>1.4286753599999999</v>
      </c>
      <c r="K40" s="33">
        <f>Projection!$AA$26</f>
        <v>4.4235360000000004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1.4286753599999999</v>
      </c>
      <c r="T40" s="38">
        <f>Projection!$AA$28</f>
        <v>1.4286753599999999</v>
      </c>
      <c r="U40" s="26">
        <f>Projection!$AA$27</f>
        <v>0.26450000000000001</v>
      </c>
      <c r="V40" s="27">
        <f>Projection!$AA$27</f>
        <v>0.26450000000000001</v>
      </c>
      <c r="W40" s="27">
        <f>Projection!$AA$22</f>
        <v>0.85935360000000005</v>
      </c>
      <c r="X40" s="27">
        <f>Projection!$AA$22</f>
        <v>0.85935360000000005</v>
      </c>
      <c r="Y40" s="27">
        <f>Projection!$AA$31</f>
        <v>3.3907104000000001</v>
      </c>
      <c r="Z40" s="27">
        <f>Projection!$AA$31</f>
        <v>3.3907104000000001</v>
      </c>
      <c r="AA40" s="28">
        <v>0</v>
      </c>
      <c r="AB40" s="41">
        <f>Projection!$AA$27</f>
        <v>0.26450000000000001</v>
      </c>
      <c r="AC40" s="41">
        <f>Projection!$AA$30</f>
        <v>0.82128400199999985</v>
      </c>
      <c r="AD40" s="397">
        <f>SUM(AD8:AD38)</f>
        <v>337.17168799973683</v>
      </c>
      <c r="AE40" s="397">
        <f>SUM(AE8:AE38)</f>
        <v>186.25758111376675</v>
      </c>
      <c r="AF40" s="275">
        <f>SUM(AF8:AF38)</f>
        <v>505.87361516455809</v>
      </c>
      <c r="AG40" s="275">
        <f>SUM(AG8:AG38)</f>
        <v>318.81896305337801</v>
      </c>
      <c r="AH40" s="275">
        <f>SUM(AH8:AH38)</f>
        <v>181.4459604389501</v>
      </c>
      <c r="AI40" s="275">
        <f>IF(SUM(AG40:AH40)&gt;0, AG40/(AG40+AH40), 0)</f>
        <v>0.63730025448859462</v>
      </c>
      <c r="AJ40" s="310">
        <v>6.3E-2</v>
      </c>
      <c r="AK40" s="310">
        <f t="shared" ref="AK40:AS40" si="2">$AJ$40</f>
        <v>6.3E-2</v>
      </c>
      <c r="AL40" s="310">
        <f t="shared" si="2"/>
        <v>6.3E-2</v>
      </c>
      <c r="AM40" s="310">
        <f t="shared" si="2"/>
        <v>6.3E-2</v>
      </c>
      <c r="AN40" s="310">
        <f t="shared" si="2"/>
        <v>6.3E-2</v>
      </c>
      <c r="AO40" s="310">
        <f t="shared" si="2"/>
        <v>6.3E-2</v>
      </c>
      <c r="AP40" s="310">
        <f t="shared" si="2"/>
        <v>6.3E-2</v>
      </c>
      <c r="AQ40" s="310">
        <f t="shared" si="2"/>
        <v>6.3E-2</v>
      </c>
      <c r="AR40" s="310">
        <f t="shared" si="2"/>
        <v>6.3E-2</v>
      </c>
      <c r="AS40" s="310">
        <f t="shared" si="2"/>
        <v>6.3E-2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2821.5433725416501</v>
      </c>
      <c r="D41" s="36">
        <f t="shared" si="3"/>
        <v>98894.280626766806</v>
      </c>
      <c r="E41" s="36">
        <f t="shared" si="3"/>
        <v>2123.5352358309378</v>
      </c>
      <c r="F41" s="36">
        <f t="shared" si="3"/>
        <v>0</v>
      </c>
      <c r="G41" s="36">
        <f t="shared" si="3"/>
        <v>6861.3389165461667</v>
      </c>
      <c r="H41" s="37">
        <f t="shared" si="3"/>
        <v>2790.9972671563264</v>
      </c>
      <c r="I41" s="35">
        <f t="shared" si="3"/>
        <v>3798.7065486949573</v>
      </c>
      <c r="J41" s="36">
        <f t="shared" si="3"/>
        <v>17049.728748125297</v>
      </c>
      <c r="K41" s="36">
        <f t="shared" si="3"/>
        <v>2959.028444578521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2192.465716382228</v>
      </c>
      <c r="V41" s="266">
        <f t="shared" si="3"/>
        <v>1247.9017196464715</v>
      </c>
      <c r="W41" s="266">
        <f t="shared" si="3"/>
        <v>1082.437882092262</v>
      </c>
      <c r="X41" s="266">
        <f t="shared" si="3"/>
        <v>616.19481559692235</v>
      </c>
      <c r="Y41" s="266">
        <f t="shared" si="3"/>
        <v>15757.284643129075</v>
      </c>
      <c r="Z41" s="266">
        <f t="shared" si="3"/>
        <v>8957.698563414313</v>
      </c>
      <c r="AA41" s="270">
        <f t="shared" si="3"/>
        <v>0</v>
      </c>
      <c r="AB41" s="273">
        <f t="shared" si="3"/>
        <v>648.36708199617385</v>
      </c>
      <c r="AC41" s="273">
        <f t="shared" si="3"/>
        <v>0</v>
      </c>
      <c r="AJ41" s="276">
        <f t="shared" ref="AJ41:AS41" si="4">AJ40*AJ39</f>
        <v>515.47638198795312</v>
      </c>
      <c r="AK41" s="276">
        <f t="shared" si="4"/>
        <v>1902.826548430824</v>
      </c>
      <c r="AL41" s="276">
        <f t="shared" si="4"/>
        <v>5507.2650763423917</v>
      </c>
      <c r="AM41" s="276">
        <f t="shared" si="4"/>
        <v>977.13005039033897</v>
      </c>
      <c r="AN41" s="276">
        <f t="shared" si="4"/>
        <v>7234.1763892822264</v>
      </c>
      <c r="AO41" s="276">
        <f t="shared" si="4"/>
        <v>4972.4093729473116</v>
      </c>
      <c r="AP41" s="276">
        <f t="shared" si="4"/>
        <v>1210.540500094271</v>
      </c>
      <c r="AQ41" s="276">
        <f t="shared" si="4"/>
        <v>4228.2677273385998</v>
      </c>
      <c r="AR41" s="276">
        <f t="shared" si="4"/>
        <v>924.87499458732577</v>
      </c>
      <c r="AS41" s="276">
        <f t="shared" si="4"/>
        <v>1124.3491849735735</v>
      </c>
    </row>
    <row r="42" spans="1:45" ht="49.5" customHeight="1" thickTop="1" thickBot="1" x14ac:dyDescent="0.3">
      <c r="A42" s="640">
        <v>43831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1645.7</v>
      </c>
      <c r="AK42" s="276" t="s">
        <v>197</v>
      </c>
      <c r="AL42" s="276">
        <v>2421.41</v>
      </c>
      <c r="AM42" s="276">
        <v>872.37</v>
      </c>
      <c r="AN42" s="276">
        <v>1954.9</v>
      </c>
      <c r="AO42" s="276">
        <v>6339.93</v>
      </c>
      <c r="AP42" s="276">
        <v>2130.2800000000002</v>
      </c>
      <c r="AQ42" s="276" t="s">
        <v>197</v>
      </c>
      <c r="AR42" s="276">
        <v>302.91000000000003</v>
      </c>
      <c r="AS42" s="276">
        <v>568.55999999999995</v>
      </c>
    </row>
    <row r="43" spans="1:4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45" ht="24.75" thickTop="1" thickBot="1" x14ac:dyDescent="0.3">
      <c r="A44" s="280" t="s">
        <v>135</v>
      </c>
      <c r="B44" s="281">
        <f>SUM(B41:AC41)</f>
        <v>167801.50958249808</v>
      </c>
      <c r="C44" s="12"/>
      <c r="D44" s="280" t="s">
        <v>135</v>
      </c>
      <c r="E44" s="281">
        <f>SUM(B41:H41)+P41+R41+T41+V41+X41+Z41</f>
        <v>124313.49051749959</v>
      </c>
      <c r="F44" s="12"/>
      <c r="G44" s="280" t="s">
        <v>135</v>
      </c>
      <c r="H44" s="281">
        <f>SUM(I41:N41)+O41+Q41+S41+U41+W41+Y41</f>
        <v>42839.651983002339</v>
      </c>
      <c r="I44" s="12"/>
      <c r="J44" s="280" t="s">
        <v>198</v>
      </c>
      <c r="K44" s="281">
        <v>207286.95</v>
      </c>
      <c r="L44" s="12"/>
      <c r="M44" s="12"/>
      <c r="N44" s="12"/>
      <c r="O44" s="12"/>
      <c r="P44" s="12"/>
      <c r="Q44" s="12"/>
      <c r="R44" s="298" t="s">
        <v>135</v>
      </c>
      <c r="S44" s="299"/>
      <c r="T44" s="295" t="s">
        <v>167</v>
      </c>
      <c r="U44" s="253" t="s">
        <v>168</v>
      </c>
    </row>
    <row r="45" spans="1:45" ht="24" thickBot="1" x14ac:dyDescent="0.4">
      <c r="A45" s="282" t="s">
        <v>183</v>
      </c>
      <c r="B45" s="283">
        <f>SUM(AJ41:AS41)</f>
        <v>28597.316226374813</v>
      </c>
      <c r="C45" s="12"/>
      <c r="D45" s="282" t="s">
        <v>183</v>
      </c>
      <c r="E45" s="283">
        <f>AJ41*(1-$AI$40)+AK41+AL41*0.5+AN41+AO41*(1-$AI$40)+AP41*(1-$AI$40)+AQ41*(1-$AI$40)+AR41*0.5+AS41*0.5</f>
        <v>16878.356692350622</v>
      </c>
      <c r="F45" s="24"/>
      <c r="G45" s="282" t="s">
        <v>183</v>
      </c>
      <c r="H45" s="283">
        <f>AJ41*AI40+AL41*0.5+AM41+AO41*AI40+AP41*AI40+AQ41*AI40+AR41*0.5+AS41*0.5</f>
        <v>11718.959534024192</v>
      </c>
      <c r="I45" s="12"/>
      <c r="J45" s="12"/>
      <c r="K45" s="286"/>
      <c r="L45" s="12"/>
      <c r="M45" s="12"/>
      <c r="N45" s="12"/>
      <c r="O45" s="12"/>
      <c r="P45" s="12"/>
      <c r="Q45" s="12"/>
      <c r="R45" s="296" t="s">
        <v>141</v>
      </c>
      <c r="S45" s="297"/>
      <c r="T45" s="252">
        <f>$W$39+$X$39</f>
        <v>1976.6399974226956</v>
      </c>
      <c r="U45" s="254">
        <f>(T45*8.34*0.895)/27000</f>
        <v>0.54645310862082319</v>
      </c>
    </row>
    <row r="46" spans="1:45" ht="32.25" thickBot="1" x14ac:dyDescent="0.3">
      <c r="A46" s="284" t="s">
        <v>184</v>
      </c>
      <c r="B46" s="285">
        <f>SUM(AJ42:AS42)</f>
        <v>16236.06</v>
      </c>
      <c r="C46" s="12"/>
      <c r="D46" s="284" t="s">
        <v>184</v>
      </c>
      <c r="E46" s="285">
        <f>AJ42*(1-$AI$40)+AL42*0.5+AN42+AO42*(1-$AI$40)+AP42*(1-$AI$40)+AR42*0.5+AS42*0.5</f>
        <v>7270.3779826162818</v>
      </c>
      <c r="F46" s="23"/>
      <c r="G46" s="284" t="s">
        <v>184</v>
      </c>
      <c r="H46" s="285">
        <f>AJ42*AI40+AL42*0.5+AM42+AO42*AI40+AP42*AI40+AR42*0.5+AS42*0.5</f>
        <v>8965.6820173837204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296" t="s">
        <v>145</v>
      </c>
      <c r="S46" s="297"/>
      <c r="T46" s="252">
        <f>$M$39+$N$39+$F$39</f>
        <v>0</v>
      </c>
      <c r="U46" s="255">
        <f>(((T46*8.34)*0.005)/(8.34*1.055))/400</f>
        <v>0</v>
      </c>
    </row>
    <row r="47" spans="1:45" ht="24.75" thickTop="1" thickBot="1" x14ac:dyDescent="0.4">
      <c r="A47" s="284" t="s">
        <v>185</v>
      </c>
      <c r="B47" s="285">
        <f>K44</f>
        <v>207286.95</v>
      </c>
      <c r="C47" s="12"/>
      <c r="D47" s="284" t="s">
        <v>187</v>
      </c>
      <c r="E47" s="285">
        <f>K44*0.5</f>
        <v>103643.47500000001</v>
      </c>
      <c r="F47" s="24"/>
      <c r="G47" s="284" t="s">
        <v>185</v>
      </c>
      <c r="H47" s="285">
        <f>K44*0.5</f>
        <v>103643.47500000001</v>
      </c>
      <c r="I47" s="12"/>
      <c r="J47" s="280" t="s">
        <v>198</v>
      </c>
      <c r="K47" s="281">
        <v>10445.120000000001</v>
      </c>
      <c r="L47" s="12"/>
      <c r="M47" s="12"/>
      <c r="N47" s="12"/>
      <c r="O47" s="12"/>
      <c r="P47" s="12"/>
      <c r="Q47" s="12"/>
      <c r="R47" s="296" t="s">
        <v>148</v>
      </c>
      <c r="S47" s="297"/>
      <c r="T47" s="252">
        <f>$G$39</f>
        <v>114403.31665771015</v>
      </c>
      <c r="U47" s="254">
        <f>T47/40000</f>
        <v>2.8600829164427539</v>
      </c>
    </row>
    <row r="48" spans="1:45" ht="24" thickBot="1" x14ac:dyDescent="0.3">
      <c r="A48" s="284" t="s">
        <v>186</v>
      </c>
      <c r="B48" s="285">
        <f>K47</f>
        <v>10445.120000000001</v>
      </c>
      <c r="C48" s="12"/>
      <c r="D48" s="284" t="s">
        <v>186</v>
      </c>
      <c r="E48" s="285">
        <f>K47*0.5</f>
        <v>5222.5600000000004</v>
      </c>
      <c r="F48" s="23"/>
      <c r="G48" s="284" t="s">
        <v>186</v>
      </c>
      <c r="H48" s="285">
        <f>K47*0.5</f>
        <v>5222.5600000000004</v>
      </c>
      <c r="I48" s="12"/>
      <c r="J48" s="12"/>
      <c r="K48" s="86"/>
      <c r="L48" s="12"/>
      <c r="M48" s="12"/>
      <c r="N48" s="12"/>
      <c r="O48" s="12"/>
      <c r="P48" s="12"/>
      <c r="Q48" s="12"/>
      <c r="R48" s="296" t="s">
        <v>150</v>
      </c>
      <c r="S48" s="297"/>
      <c r="T48" s="252">
        <f>$L$39</f>
        <v>1.132965087890625E-4</v>
      </c>
      <c r="U48" s="254">
        <f>T48*9.34*0.107</f>
        <v>1.1322626495361327E-4</v>
      </c>
    </row>
    <row r="49" spans="1:25" ht="48" thickTop="1" thickBot="1" x14ac:dyDescent="0.3">
      <c r="A49" s="289" t="s">
        <v>194</v>
      </c>
      <c r="B49" s="290">
        <f>AF40</f>
        <v>505.87361516455809</v>
      </c>
      <c r="C49" s="12"/>
      <c r="D49" s="289" t="s">
        <v>195</v>
      </c>
      <c r="E49" s="290">
        <f>AH40</f>
        <v>181.4459604389501</v>
      </c>
      <c r="F49" s="23"/>
      <c r="G49" s="289" t="s">
        <v>196</v>
      </c>
      <c r="H49" s="290">
        <f>AG40</f>
        <v>318.81896305337801</v>
      </c>
      <c r="I49" s="12"/>
      <c r="J49" s="12"/>
      <c r="K49" s="86"/>
      <c r="L49" s="12"/>
      <c r="M49" s="12"/>
      <c r="N49" s="12"/>
      <c r="O49" s="12"/>
      <c r="P49" s="12"/>
      <c r="Q49" s="12"/>
      <c r="R49" s="296" t="s">
        <v>152</v>
      </c>
      <c r="S49" s="297"/>
      <c r="T49" s="252">
        <f>$E$39+$K$39</f>
        <v>1148.9820994809263</v>
      </c>
      <c r="U49" s="254">
        <f>(T49*8.34*1.04)/45000</f>
        <v>0.22146246973461695</v>
      </c>
    </row>
    <row r="50" spans="1:25" ht="48" customHeight="1" thickTop="1" thickBot="1" x14ac:dyDescent="0.3">
      <c r="A50" s="289" t="s">
        <v>223</v>
      </c>
      <c r="B50" s="290">
        <f>SUM(E50,H50)</f>
        <v>523.42926911350355</v>
      </c>
      <c r="C50" s="12"/>
      <c r="D50" s="289" t="s">
        <v>224</v>
      </c>
      <c r="E50" s="290">
        <f>AE40</f>
        <v>186.25758111376675</v>
      </c>
      <c r="F50" s="23"/>
      <c r="G50" s="289" t="s">
        <v>225</v>
      </c>
      <c r="H50" s="290">
        <f>AD40</f>
        <v>337.17168799973683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822.20651615022621</v>
      </c>
      <c r="C51" s="12"/>
      <c r="D51" s="289" t="s">
        <v>188</v>
      </c>
      <c r="E51" s="291">
        <f>SUM(E44:E48)/E50</f>
        <v>1381.5720071833723</v>
      </c>
      <c r="F51" s="23"/>
      <c r="G51" s="289" t="s">
        <v>189</v>
      </c>
      <c r="H51" s="291">
        <f>SUM(H44:H48)/H50</f>
        <v>511.28352311284453</v>
      </c>
      <c r="I51" s="12"/>
      <c r="J51" s="12"/>
      <c r="K51" s="86"/>
      <c r="L51" s="12"/>
      <c r="M51" s="12"/>
      <c r="N51" s="12"/>
      <c r="O51" s="12"/>
      <c r="P51" s="12"/>
      <c r="Q51" s="12"/>
      <c r="R51" s="296" t="s">
        <v>153</v>
      </c>
      <c r="S51" s="297"/>
      <c r="T51" s="252">
        <f>$U$39+$V$39+$AB$39</f>
        <v>15458.353565311429</v>
      </c>
      <c r="U51" s="254">
        <f>T51/2000/8</f>
        <v>0.96614709783196429</v>
      </c>
    </row>
    <row r="52" spans="1:25" ht="47.25" customHeight="1" thickTop="1" thickBot="1" x14ac:dyDescent="0.3">
      <c r="A52" s="279" t="s">
        <v>191</v>
      </c>
      <c r="B52" s="292">
        <f>B51/1000</f>
        <v>0.82220651615022622</v>
      </c>
      <c r="C52" s="12"/>
      <c r="D52" s="279" t="s">
        <v>192</v>
      </c>
      <c r="E52" s="292">
        <f>E51/1000</f>
        <v>1.3815720071833724</v>
      </c>
      <c r="F52" s="370">
        <f>E44/E49</f>
        <v>685.12680148272864</v>
      </c>
      <c r="G52" s="279" t="s">
        <v>193</v>
      </c>
      <c r="H52" s="292">
        <f>H51/1000</f>
        <v>0.51128352311284453</v>
      </c>
      <c r="I52" s="370">
        <f>H44/H49</f>
        <v>134.36983663932796</v>
      </c>
      <c r="J52" s="12"/>
      <c r="K52" s="86"/>
      <c r="L52" s="12"/>
      <c r="M52" s="12"/>
      <c r="N52" s="12"/>
      <c r="O52" s="12"/>
      <c r="P52" s="12"/>
      <c r="Q52" s="12"/>
      <c r="R52" s="296" t="s">
        <v>154</v>
      </c>
      <c r="S52" s="297"/>
      <c r="T52" s="252">
        <f>$C$39+$J$39+$S$39+$T$39</f>
        <v>13908.878585731993</v>
      </c>
      <c r="U52" s="254">
        <f>(T52*8.34*1.4)/45000</f>
        <v>3.6088903637112608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6" t="s">
        <v>155</v>
      </c>
      <c r="S53" s="297"/>
      <c r="T53" s="252">
        <f>$H$39</f>
        <v>746.4494518448904</v>
      </c>
      <c r="U53" s="254">
        <f>(T53*8.34*1.135)/45000</f>
        <v>0.15701813036041221</v>
      </c>
    </row>
    <row r="54" spans="1:25" ht="48" customHeight="1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6" t="s">
        <v>156</v>
      </c>
      <c r="S54" s="297"/>
      <c r="T54" s="252">
        <f>$B$39+$I$39+$AC$39</f>
        <v>4625.3263663291937</v>
      </c>
      <c r="U54" s="254">
        <f>(T54*8.34*1.029*0.03)/3300</f>
        <v>0.36085366663768953</v>
      </c>
    </row>
    <row r="55" spans="1:25" ht="57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36455.270209248825</v>
      </c>
      <c r="U55" s="257">
        <f>(T55*1.54*8.34)/45000</f>
        <v>10.40482018798907</v>
      </c>
    </row>
    <row r="56" spans="1:25" ht="15.75" thickTop="1" x14ac:dyDescent="0.25">
      <c r="A56" s="301"/>
      <c r="B56" s="301"/>
      <c r="C56" s="301"/>
      <c r="D56" s="301"/>
      <c r="E56" s="301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621"/>
      <c r="S56" s="621"/>
      <c r="T56" s="308"/>
      <c r="U56" s="309"/>
    </row>
    <row r="57" spans="1:25" x14ac:dyDescent="0.25">
      <c r="A57" s="312"/>
      <c r="B57" s="313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19"/>
      <c r="B58" s="31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13"/>
      <c r="B59" s="31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19"/>
      <c r="B60" s="31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313"/>
      <c r="B61" s="313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heorYaaNGMcEd2fVbFcS1teT8y72fzpBGDz+20qBPzMcGtoVLnkU1NwvoKsbSQ/jzt6OPGPZT1Jx3n7igw+jvg==" saltValue="RledKiqIY5sUTa8QjTaLDA==" spinCount="100000" sheet="1" selectLockedCells="1" selectUnlockedCells="1"/>
  <mergeCells count="33">
    <mergeCell ref="AP4:AP5"/>
    <mergeCell ref="AQ4:AQ5"/>
    <mergeCell ref="AR4:AR5"/>
    <mergeCell ref="AS4:AS5"/>
    <mergeCell ref="AJ4:AJ5"/>
    <mergeCell ref="AK4:AK5"/>
    <mergeCell ref="AL4:AL5"/>
    <mergeCell ref="AM4:AM5"/>
    <mergeCell ref="AO4:AO5"/>
    <mergeCell ref="AN4:AN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E4:AE5"/>
    <mergeCell ref="R56:S56"/>
    <mergeCell ref="R43:U43"/>
    <mergeCell ref="A54:E54"/>
    <mergeCell ref="AD4:AD5"/>
    <mergeCell ref="A55:E55"/>
    <mergeCell ref="J43:K43"/>
    <mergeCell ref="J46:K46"/>
    <mergeCell ref="A43:B43"/>
    <mergeCell ref="D43:E43"/>
    <mergeCell ref="G43:H43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W64"/>
  <sheetViews>
    <sheetView topLeftCell="D46" zoomScale="80" zoomScaleNormal="80" workbookViewId="0">
      <selection activeCell="I54" sqref="I54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42578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6" width="20.28515625" customWidth="1"/>
    <col min="47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</row>
    <row r="5" spans="1:49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  <c r="AV5" t="s">
        <v>169</v>
      </c>
      <c r="AW5" s="335" t="s">
        <v>207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3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43862</v>
      </c>
      <c r="B8" s="49"/>
      <c r="C8" s="50">
        <v>63.267763880888708</v>
      </c>
      <c r="D8" s="50">
        <v>976.7545531590772</v>
      </c>
      <c r="E8" s="50">
        <v>15.290542213618753</v>
      </c>
      <c r="F8" s="50">
        <v>0</v>
      </c>
      <c r="G8" s="50">
        <v>3718.8054883321115</v>
      </c>
      <c r="H8" s="51">
        <v>24.03528219660123</v>
      </c>
      <c r="I8" s="49">
        <v>140.76451807816844</v>
      </c>
      <c r="J8" s="50">
        <v>404.61259117126428</v>
      </c>
      <c r="K8" s="50">
        <v>21.920514243344485</v>
      </c>
      <c r="L8" s="50">
        <v>1.0385513305664064E-4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288.89062859904936</v>
      </c>
      <c r="V8" s="54">
        <v>150.73681388803212</v>
      </c>
      <c r="W8" s="54">
        <v>46.145097820170371</v>
      </c>
      <c r="X8" s="54">
        <v>24.077503156455613</v>
      </c>
      <c r="Y8" s="54">
        <v>156.66039992516306</v>
      </c>
      <c r="Z8" s="54">
        <v>81.741971560865267</v>
      </c>
      <c r="AA8" s="55">
        <v>0</v>
      </c>
      <c r="AB8" s="56">
        <v>84.213234557044188</v>
      </c>
      <c r="AC8" s="57">
        <v>0</v>
      </c>
      <c r="AD8" s="405">
        <v>12.051748044663849</v>
      </c>
      <c r="AE8" s="405">
        <v>5.9728672565845358</v>
      </c>
      <c r="AF8" s="57">
        <v>17.548205724027429</v>
      </c>
      <c r="AG8" s="58">
        <v>11.335101426753392</v>
      </c>
      <c r="AH8" s="58">
        <v>5.9144081012675516</v>
      </c>
      <c r="AI8" s="58">
        <v>0.65712601325504938</v>
      </c>
      <c r="AJ8" s="57">
        <v>250.93384861946114</v>
      </c>
      <c r="AK8" s="57">
        <v>936.16771930058781</v>
      </c>
      <c r="AL8" s="57">
        <v>2770.1933968861899</v>
      </c>
      <c r="AM8" s="57">
        <v>503.80659484863281</v>
      </c>
      <c r="AN8" s="57">
        <v>3704.1353759765625</v>
      </c>
      <c r="AO8" s="57">
        <v>2541.0288392384841</v>
      </c>
      <c r="AP8" s="57">
        <v>550.58400212923675</v>
      </c>
      <c r="AQ8" s="57">
        <v>2314.7780378977459</v>
      </c>
      <c r="AR8" s="57">
        <v>463.36889127095537</v>
      </c>
      <c r="AS8" s="57">
        <v>626.416722170512</v>
      </c>
    </row>
    <row r="9" spans="1:49" x14ac:dyDescent="0.25">
      <c r="A9" s="11">
        <v>43863</v>
      </c>
      <c r="B9" s="59"/>
      <c r="C9" s="60">
        <v>63.227707517147167</v>
      </c>
      <c r="D9" s="60">
        <v>976.70765399932736</v>
      </c>
      <c r="E9" s="60">
        <v>15.364532927672077</v>
      </c>
      <c r="F9" s="60">
        <v>0</v>
      </c>
      <c r="G9" s="60">
        <v>3714.4939486185772</v>
      </c>
      <c r="H9" s="61">
        <v>24.004106140136745</v>
      </c>
      <c r="I9" s="59">
        <v>130.74174875418356</v>
      </c>
      <c r="J9" s="60">
        <v>375.97499524752209</v>
      </c>
      <c r="K9" s="60">
        <v>20.409004280964524</v>
      </c>
      <c r="L9" s="50">
        <v>4.7206878662109332E-4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269.6559807829442</v>
      </c>
      <c r="V9" s="62">
        <v>151.13768084323823</v>
      </c>
      <c r="W9" s="62">
        <v>41.934352241314393</v>
      </c>
      <c r="X9" s="62">
        <v>23.503505195819407</v>
      </c>
      <c r="Y9" s="66">
        <v>147.82896157981048</v>
      </c>
      <c r="Z9" s="66">
        <v>82.855667987653604</v>
      </c>
      <c r="AA9" s="67">
        <v>0</v>
      </c>
      <c r="AB9" s="68">
        <v>79.645140674379533</v>
      </c>
      <c r="AC9" s="69">
        <v>0</v>
      </c>
      <c r="AD9" s="406">
        <v>11.198155432248672</v>
      </c>
      <c r="AE9" s="406">
        <v>5.9726718228146627</v>
      </c>
      <c r="AF9" s="69">
        <v>16.981755315595219</v>
      </c>
      <c r="AG9" s="68">
        <v>10.705480874270094</v>
      </c>
      <c r="AH9" s="68">
        <v>6.0002435212116172</v>
      </c>
      <c r="AI9" s="68">
        <v>0.64082709739695798</v>
      </c>
      <c r="AJ9" s="69">
        <v>244.57610917091367</v>
      </c>
      <c r="AK9" s="69">
        <v>929.5008982976276</v>
      </c>
      <c r="AL9" s="69">
        <v>2838.9046530405676</v>
      </c>
      <c r="AM9" s="69">
        <v>503.80659484863281</v>
      </c>
      <c r="AN9" s="69">
        <v>3704.1353759765625</v>
      </c>
      <c r="AO9" s="69">
        <v>2527.6398494720461</v>
      </c>
      <c r="AP9" s="69">
        <v>505.97605395317083</v>
      </c>
      <c r="AQ9" s="69">
        <v>2195.1668285369879</v>
      </c>
      <c r="AR9" s="69">
        <v>434.22275652885435</v>
      </c>
      <c r="AS9" s="69">
        <v>685.51721636454261</v>
      </c>
    </row>
    <row r="10" spans="1:49" x14ac:dyDescent="0.25">
      <c r="A10" s="11">
        <v>43864</v>
      </c>
      <c r="B10" s="59"/>
      <c r="C10" s="60">
        <v>63.241900233427749</v>
      </c>
      <c r="D10" s="60">
        <v>977.82365392049007</v>
      </c>
      <c r="E10" s="60">
        <v>15.25347460061313</v>
      </c>
      <c r="F10" s="60">
        <v>0</v>
      </c>
      <c r="G10" s="60">
        <v>3772.4980834960925</v>
      </c>
      <c r="H10" s="61">
        <v>24.093497086564707</v>
      </c>
      <c r="I10" s="59">
        <v>127.95148299535123</v>
      </c>
      <c r="J10" s="60">
        <v>368.73324133555121</v>
      </c>
      <c r="K10" s="60">
        <v>19.985672419269896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260.5641953432596</v>
      </c>
      <c r="V10" s="62">
        <v>149.50420779479472</v>
      </c>
      <c r="W10" s="62">
        <v>41.198584637833946</v>
      </c>
      <c r="X10" s="62">
        <v>23.638557670719123</v>
      </c>
      <c r="Y10" s="66">
        <v>142.10431185477339</v>
      </c>
      <c r="Z10" s="66">
        <v>81.535348861283737</v>
      </c>
      <c r="AA10" s="67">
        <v>0</v>
      </c>
      <c r="AB10" s="68">
        <v>79.261327658759896</v>
      </c>
      <c r="AC10" s="69">
        <v>0</v>
      </c>
      <c r="AD10" s="406">
        <v>10.982590309859503</v>
      </c>
      <c r="AE10" s="406">
        <v>5.9796904311158752</v>
      </c>
      <c r="AF10" s="69">
        <v>16.558734903732947</v>
      </c>
      <c r="AG10" s="68">
        <v>10.350016378281438</v>
      </c>
      <c r="AH10" s="68">
        <v>5.938540394084673</v>
      </c>
      <c r="AI10" s="68">
        <v>0.63541641674727523</v>
      </c>
      <c r="AJ10" s="69">
        <v>273.16763769785564</v>
      </c>
      <c r="AK10" s="69">
        <v>983.02910439173365</v>
      </c>
      <c r="AL10" s="69">
        <v>3050.1306401570641</v>
      </c>
      <c r="AM10" s="69">
        <v>503.80659484863281</v>
      </c>
      <c r="AN10" s="69">
        <v>3704.1353759765625</v>
      </c>
      <c r="AO10" s="69">
        <v>2554.9613782246906</v>
      </c>
      <c r="AP10" s="69">
        <v>782.71186974843351</v>
      </c>
      <c r="AQ10" s="69">
        <v>2175.0033883412675</v>
      </c>
      <c r="AR10" s="69">
        <v>522.03912512461352</v>
      </c>
      <c r="AS10" s="69">
        <v>563.31225687662754</v>
      </c>
    </row>
    <row r="11" spans="1:49" x14ac:dyDescent="0.25">
      <c r="A11" s="11">
        <v>43865</v>
      </c>
      <c r="B11" s="59"/>
      <c r="C11" s="60">
        <v>63.232769691943957</v>
      </c>
      <c r="D11" s="60">
        <v>976.27093365987093</v>
      </c>
      <c r="E11" s="60">
        <v>15.025846878687549</v>
      </c>
      <c r="F11" s="60">
        <v>0</v>
      </c>
      <c r="G11" s="60">
        <v>3833.5880940755205</v>
      </c>
      <c r="H11" s="61">
        <v>23.918388499816238</v>
      </c>
      <c r="I11" s="59">
        <v>121.88528878688825</v>
      </c>
      <c r="J11" s="60">
        <v>352.60193896293686</v>
      </c>
      <c r="K11" s="60">
        <v>19.06749730308848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246.44422159943633</v>
      </c>
      <c r="V11" s="62">
        <v>147.8977092350143</v>
      </c>
      <c r="W11" s="62">
        <v>39.183584927079828</v>
      </c>
      <c r="X11" s="62">
        <v>23.515107851666489</v>
      </c>
      <c r="Y11" s="66">
        <v>131.89343368407572</v>
      </c>
      <c r="Z11" s="66">
        <v>79.152745308513602</v>
      </c>
      <c r="AA11" s="67">
        <v>0</v>
      </c>
      <c r="AB11" s="68">
        <v>77.530808316335651</v>
      </c>
      <c r="AC11" s="69">
        <v>0</v>
      </c>
      <c r="AD11" s="406">
        <v>10.501651289258136</v>
      </c>
      <c r="AE11" s="406">
        <v>5.9702621856986688</v>
      </c>
      <c r="AF11" s="69">
        <v>15.88263402250077</v>
      </c>
      <c r="AG11" s="68">
        <v>9.7670691195428336</v>
      </c>
      <c r="AH11" s="68">
        <v>5.8614770488241685</v>
      </c>
      <c r="AI11" s="68">
        <v>0.62495058813032112</v>
      </c>
      <c r="AJ11" s="69">
        <v>289.1503014405568</v>
      </c>
      <c r="AK11" s="69">
        <v>1030.9158452987672</v>
      </c>
      <c r="AL11" s="69">
        <v>4069.9116194407147</v>
      </c>
      <c r="AM11" s="69">
        <v>505.67142868041992</v>
      </c>
      <c r="AN11" s="69">
        <v>3724.6830632527667</v>
      </c>
      <c r="AO11" s="69">
        <v>2644.2763641357424</v>
      </c>
      <c r="AP11" s="69">
        <v>1153.1571419397992</v>
      </c>
      <c r="AQ11" s="69">
        <v>2113.2772793451945</v>
      </c>
      <c r="AR11" s="69">
        <v>540.9063792069752</v>
      </c>
      <c r="AS11" s="69">
        <v>562.38047205607097</v>
      </c>
    </row>
    <row r="12" spans="1:49" x14ac:dyDescent="0.25">
      <c r="A12" s="11">
        <v>43866</v>
      </c>
      <c r="B12" s="59"/>
      <c r="C12" s="60">
        <v>63.38893589576135</v>
      </c>
      <c r="D12" s="60">
        <v>978.79238236745186</v>
      </c>
      <c r="E12" s="60">
        <v>14.911194778978849</v>
      </c>
      <c r="F12" s="60">
        <v>0</v>
      </c>
      <c r="G12" s="60">
        <v>3818.2430328369146</v>
      </c>
      <c r="H12" s="61">
        <v>23.971074068546312</v>
      </c>
      <c r="I12" s="59">
        <v>116.66137615839602</v>
      </c>
      <c r="J12" s="60">
        <v>336.32629750569708</v>
      </c>
      <c r="K12" s="60">
        <v>18.353783244887993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233.52240828757897</v>
      </c>
      <c r="V12" s="62">
        <v>144.2089541294302</v>
      </c>
      <c r="W12" s="62">
        <v>36.812661575754866</v>
      </c>
      <c r="X12" s="62">
        <v>22.733216325958221</v>
      </c>
      <c r="Y12" s="66">
        <v>120.06009775643892</v>
      </c>
      <c r="Z12" s="66">
        <v>74.141669131861732</v>
      </c>
      <c r="AA12" s="67">
        <v>0</v>
      </c>
      <c r="AB12" s="68">
        <v>75.406320799720575</v>
      </c>
      <c r="AC12" s="69">
        <v>0</v>
      </c>
      <c r="AD12" s="406">
        <v>10.016304894653366</v>
      </c>
      <c r="AE12" s="406">
        <v>5.9860807214065979</v>
      </c>
      <c r="AF12" s="69">
        <v>15.196862692965395</v>
      </c>
      <c r="AG12" s="68">
        <v>9.2362527831475472</v>
      </c>
      <c r="AH12" s="68">
        <v>5.7037368006776994</v>
      </c>
      <c r="AI12" s="68">
        <v>0.61822350888029809</v>
      </c>
      <c r="AJ12" s="69">
        <v>291.67520472208668</v>
      </c>
      <c r="AK12" s="69">
        <v>1039.1713377952576</v>
      </c>
      <c r="AL12" s="69">
        <v>2779.9175070444744</v>
      </c>
      <c r="AM12" s="69">
        <v>479.65310668945313</v>
      </c>
      <c r="AN12" s="69">
        <v>4504.165283203125</v>
      </c>
      <c r="AO12" s="69">
        <v>2633.0970628102614</v>
      </c>
      <c r="AP12" s="69">
        <v>1143.2143886566162</v>
      </c>
      <c r="AQ12" s="69">
        <v>2069.711970265706</v>
      </c>
      <c r="AR12" s="69">
        <v>539.89934781392424</v>
      </c>
      <c r="AS12" s="69">
        <v>594.42452224095666</v>
      </c>
    </row>
    <row r="13" spans="1:49" x14ac:dyDescent="0.25">
      <c r="A13" s="11">
        <v>43867</v>
      </c>
      <c r="B13" s="59"/>
      <c r="C13" s="60">
        <v>63.159108761946676</v>
      </c>
      <c r="D13" s="60">
        <v>979.20603389739711</v>
      </c>
      <c r="E13" s="60">
        <v>14.833554885784809</v>
      </c>
      <c r="F13" s="60">
        <v>0</v>
      </c>
      <c r="G13" s="60">
        <v>3792.4545600891111</v>
      </c>
      <c r="H13" s="61">
        <v>23.970182468493739</v>
      </c>
      <c r="I13" s="59">
        <v>107.97986227671298</v>
      </c>
      <c r="J13" s="60">
        <v>311.78619453112293</v>
      </c>
      <c r="K13" s="60">
        <v>16.93390507996082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214.4053829565668</v>
      </c>
      <c r="V13" s="62">
        <v>147.06055384195449</v>
      </c>
      <c r="W13" s="62">
        <v>32.738948118377671</v>
      </c>
      <c r="X13" s="62">
        <v>22.45562950006229</v>
      </c>
      <c r="Y13" s="66">
        <v>109.90505537549001</v>
      </c>
      <c r="Z13" s="66">
        <v>75.383827078746435</v>
      </c>
      <c r="AA13" s="67">
        <v>0</v>
      </c>
      <c r="AB13" s="68">
        <v>71.252635425992111</v>
      </c>
      <c r="AC13" s="69">
        <v>0</v>
      </c>
      <c r="AD13" s="406">
        <v>9.2857038195853079</v>
      </c>
      <c r="AE13" s="406">
        <v>5.9879140485431721</v>
      </c>
      <c r="AF13" s="69">
        <v>14.465652586023017</v>
      </c>
      <c r="AG13" s="68">
        <v>8.4345240312047309</v>
      </c>
      <c r="AH13" s="68">
        <v>5.785236164865851</v>
      </c>
      <c r="AI13" s="68">
        <v>0.59315515275253983</v>
      </c>
      <c r="AJ13" s="69">
        <v>283.00196406046547</v>
      </c>
      <c r="AK13" s="69">
        <v>1008.4102677027383</v>
      </c>
      <c r="AL13" s="69">
        <v>3510.7637276967371</v>
      </c>
      <c r="AM13" s="69">
        <v>479.65310668945313</v>
      </c>
      <c r="AN13" s="69">
        <v>4504.165283203125</v>
      </c>
      <c r="AO13" s="69">
        <v>2589.4364219665526</v>
      </c>
      <c r="AP13" s="69">
        <v>1105.2293908437091</v>
      </c>
      <c r="AQ13" s="69">
        <v>2015.7179155349729</v>
      </c>
      <c r="AR13" s="69">
        <v>530.74492150942478</v>
      </c>
      <c r="AS13" s="69">
        <v>614.14238882064808</v>
      </c>
    </row>
    <row r="14" spans="1:49" x14ac:dyDescent="0.25">
      <c r="A14" s="11">
        <v>43868</v>
      </c>
      <c r="B14" s="59"/>
      <c r="C14" s="60">
        <v>63.478934407234227</v>
      </c>
      <c r="D14" s="60">
        <v>954.67159506479857</v>
      </c>
      <c r="E14" s="60">
        <v>14.841095749537176</v>
      </c>
      <c r="F14" s="60">
        <v>0</v>
      </c>
      <c r="G14" s="60">
        <v>3733.720330047609</v>
      </c>
      <c r="H14" s="61">
        <v>24.008974616726231</v>
      </c>
      <c r="I14" s="59">
        <v>99.04040416876461</v>
      </c>
      <c r="J14" s="60">
        <v>285.77885839144358</v>
      </c>
      <c r="K14" s="60">
        <v>15.633908448119975</v>
      </c>
      <c r="L14" s="50">
        <v>9.4413757324218753E-6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206.35789310375591</v>
      </c>
      <c r="V14" s="62">
        <v>154.77455869542965</v>
      </c>
      <c r="W14" s="62">
        <v>31.482071387743137</v>
      </c>
      <c r="X14" s="62">
        <v>23.612490089758868</v>
      </c>
      <c r="Y14" s="66">
        <v>105.66996276201239</v>
      </c>
      <c r="Z14" s="66">
        <v>79.255615609671466</v>
      </c>
      <c r="AA14" s="67">
        <v>0</v>
      </c>
      <c r="AB14" s="68">
        <v>67.986214171516295</v>
      </c>
      <c r="AC14" s="69">
        <v>0</v>
      </c>
      <c r="AD14" s="406">
        <v>8.5131636586550918</v>
      </c>
      <c r="AE14" s="406">
        <v>5.9995401313003347</v>
      </c>
      <c r="AF14" s="69">
        <v>14.137385240197187</v>
      </c>
      <c r="AG14" s="68">
        <v>7.9384918439365402</v>
      </c>
      <c r="AH14" s="68">
        <v>5.9541050423245601</v>
      </c>
      <c r="AI14" s="68">
        <v>0.57141885775057699</v>
      </c>
      <c r="AJ14" s="69">
        <v>275.48910333315536</v>
      </c>
      <c r="AK14" s="69">
        <v>1012.4456095059711</v>
      </c>
      <c r="AL14" s="69">
        <v>3298.6664516448973</v>
      </c>
      <c r="AM14" s="69">
        <v>479.65310668945313</v>
      </c>
      <c r="AN14" s="69">
        <v>4504.165283203125</v>
      </c>
      <c r="AO14" s="69">
        <v>2595.2146934509283</v>
      </c>
      <c r="AP14" s="69">
        <v>1112.8528298060098</v>
      </c>
      <c r="AQ14" s="69">
        <v>1947.6046021779377</v>
      </c>
      <c r="AR14" s="69">
        <v>538.24253746668489</v>
      </c>
      <c r="AS14" s="69">
        <v>623.48762585322061</v>
      </c>
    </row>
    <row r="15" spans="1:49" x14ac:dyDescent="0.25">
      <c r="A15" s="11">
        <v>43869</v>
      </c>
      <c r="B15" s="59"/>
      <c r="C15" s="60">
        <v>63.612056112289565</v>
      </c>
      <c r="D15" s="60">
        <v>919.39667975107807</v>
      </c>
      <c r="E15" s="60">
        <v>14.881536146998423</v>
      </c>
      <c r="F15" s="60">
        <v>0</v>
      </c>
      <c r="G15" s="60">
        <v>3487.443754069006</v>
      </c>
      <c r="H15" s="61">
        <v>24.145720039804765</v>
      </c>
      <c r="I15" s="59">
        <v>100.9985769907633</v>
      </c>
      <c r="J15" s="60">
        <v>285.4689499060309</v>
      </c>
      <c r="K15" s="60">
        <v>15.490928145746416</v>
      </c>
      <c r="L15" s="50">
        <v>2.8324127197265628E-5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223.03535671645434</v>
      </c>
      <c r="V15" s="62">
        <v>167.26544814228347</v>
      </c>
      <c r="W15" s="62">
        <v>31.176656172251235</v>
      </c>
      <c r="X15" s="62">
        <v>23.380944810732665</v>
      </c>
      <c r="Y15" s="66">
        <v>108.61635033912839</v>
      </c>
      <c r="Z15" s="66">
        <v>81.456872051682438</v>
      </c>
      <c r="AA15" s="67">
        <v>0</v>
      </c>
      <c r="AB15" s="68">
        <v>67.810606416067898</v>
      </c>
      <c r="AC15" s="69">
        <v>0</v>
      </c>
      <c r="AD15" s="406">
        <v>8.5015376341776392</v>
      </c>
      <c r="AE15" s="406">
        <v>6.0057145323002814</v>
      </c>
      <c r="AF15" s="69">
        <v>14.251698401239187</v>
      </c>
      <c r="AG15" s="68">
        <v>8.0006873403666088</v>
      </c>
      <c r="AH15" s="68">
        <v>6.0001184257705944</v>
      </c>
      <c r="AI15" s="68">
        <v>0.57144477782252556</v>
      </c>
      <c r="AJ15" s="69">
        <v>267.12996676762901</v>
      </c>
      <c r="AK15" s="69">
        <v>978.71244846979766</v>
      </c>
      <c r="AL15" s="69">
        <v>3633.5387680053709</v>
      </c>
      <c r="AM15" s="69">
        <v>479.65310668945313</v>
      </c>
      <c r="AN15" s="69">
        <v>4504.165283203125</v>
      </c>
      <c r="AO15" s="69">
        <v>2545.7086915334066</v>
      </c>
      <c r="AP15" s="69">
        <v>1066.1920955657959</v>
      </c>
      <c r="AQ15" s="69">
        <v>1976.2649969736731</v>
      </c>
      <c r="AR15" s="69">
        <v>531.59040120442717</v>
      </c>
      <c r="AS15" s="69">
        <v>552.64611997604368</v>
      </c>
    </row>
    <row r="16" spans="1:49" x14ac:dyDescent="0.25">
      <c r="A16" s="11">
        <v>43870</v>
      </c>
      <c r="B16" s="59"/>
      <c r="C16" s="60">
        <v>64.075388403733783</v>
      </c>
      <c r="D16" s="60">
        <v>921.65713888804146</v>
      </c>
      <c r="E16" s="60">
        <v>14.929627765715161</v>
      </c>
      <c r="F16" s="60">
        <v>0</v>
      </c>
      <c r="G16" s="60">
        <v>3547.1391431172697</v>
      </c>
      <c r="H16" s="61">
        <v>24.095941488941481</v>
      </c>
      <c r="I16" s="59">
        <v>101.75623006820676</v>
      </c>
      <c r="J16" s="60">
        <v>285.54227484067303</v>
      </c>
      <c r="K16" s="60">
        <v>15.578354376057781</v>
      </c>
      <c r="L16" s="50">
        <v>9.4413757324218764E-5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210.67339891125522</v>
      </c>
      <c r="V16" s="62">
        <v>158.00643751028929</v>
      </c>
      <c r="W16" s="62">
        <v>31.982670694224716</v>
      </c>
      <c r="X16" s="62">
        <v>23.987213784821108</v>
      </c>
      <c r="Y16" s="66">
        <v>108.12272045425199</v>
      </c>
      <c r="Z16" s="66">
        <v>81.092752863847792</v>
      </c>
      <c r="AA16" s="67">
        <v>0</v>
      </c>
      <c r="AB16" s="68">
        <v>67.740355798933905</v>
      </c>
      <c r="AC16" s="69">
        <v>0</v>
      </c>
      <c r="AD16" s="406">
        <v>8.5066103205709673</v>
      </c>
      <c r="AE16" s="406">
        <v>6.0210496489552163</v>
      </c>
      <c r="AF16" s="69">
        <v>14.074901737107181</v>
      </c>
      <c r="AG16" s="68">
        <v>7.8977879160786877</v>
      </c>
      <c r="AH16" s="68">
        <v>5.9233929830745966</v>
      </c>
      <c r="AI16" s="68">
        <v>0.57142641961675811</v>
      </c>
      <c r="AJ16" s="69">
        <v>271.49282306035354</v>
      </c>
      <c r="AK16" s="69">
        <v>983.03681116104156</v>
      </c>
      <c r="AL16" s="69">
        <v>2829.9916305541992</v>
      </c>
      <c r="AM16" s="69">
        <v>479.65310668945313</v>
      </c>
      <c r="AN16" s="69">
        <v>4504.165283203125</v>
      </c>
      <c r="AO16" s="69">
        <v>2565.8685512542725</v>
      </c>
      <c r="AP16" s="69">
        <v>1102.047226969401</v>
      </c>
      <c r="AQ16" s="69">
        <v>1958.9560256322222</v>
      </c>
      <c r="AR16" s="69">
        <v>542.02170982360849</v>
      </c>
      <c r="AS16" s="69">
        <v>545.3125068346659</v>
      </c>
    </row>
    <row r="17" spans="1:45" x14ac:dyDescent="0.25">
      <c r="A17" s="11">
        <v>43871</v>
      </c>
      <c r="B17" s="49"/>
      <c r="C17" s="50">
        <v>63.625543042024063</v>
      </c>
      <c r="D17" s="50">
        <v>916.75013758341572</v>
      </c>
      <c r="E17" s="50">
        <v>15.047440413633979</v>
      </c>
      <c r="F17" s="50">
        <v>0</v>
      </c>
      <c r="G17" s="50">
        <v>3393.305323028565</v>
      </c>
      <c r="H17" s="51">
        <v>24.007619321346276</v>
      </c>
      <c r="I17" s="49">
        <v>101.6100069681801</v>
      </c>
      <c r="J17" s="50">
        <v>284.21779691378271</v>
      </c>
      <c r="K17" s="50">
        <v>15.510206609964376</v>
      </c>
      <c r="L17" s="50">
        <v>2.0771026611328132E-4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201.61105450263179</v>
      </c>
      <c r="V17" s="62">
        <v>152.06905002854981</v>
      </c>
      <c r="W17" s="62">
        <v>29.957200550058413</v>
      </c>
      <c r="X17" s="62">
        <v>22.595799820602917</v>
      </c>
      <c r="Y17" s="66">
        <v>104.39799143731892</v>
      </c>
      <c r="Z17" s="66">
        <v>78.744210836685681</v>
      </c>
      <c r="AA17" s="67">
        <v>0</v>
      </c>
      <c r="AB17" s="68">
        <v>67.772864590751169</v>
      </c>
      <c r="AC17" s="69">
        <v>0</v>
      </c>
      <c r="AD17" s="406">
        <v>8.4655769552654974</v>
      </c>
      <c r="AE17" s="406">
        <v>5.9887816578027557</v>
      </c>
      <c r="AF17" s="69">
        <v>13.59745065834786</v>
      </c>
      <c r="AG17" s="68">
        <v>7.6266497953015353</v>
      </c>
      <c r="AH17" s="68">
        <v>5.7525485997435659</v>
      </c>
      <c r="AI17" s="68">
        <v>0.57003787298094144</v>
      </c>
      <c r="AJ17" s="69">
        <v>282.7282829284668</v>
      </c>
      <c r="AK17" s="69">
        <v>1018.7204339981081</v>
      </c>
      <c r="AL17" s="69">
        <v>2724.4561157226563</v>
      </c>
      <c r="AM17" s="69">
        <v>479.65310668945313</v>
      </c>
      <c r="AN17" s="69">
        <v>4504.165283203125</v>
      </c>
      <c r="AO17" s="69">
        <v>2614.136922073365</v>
      </c>
      <c r="AP17" s="69">
        <v>1158.6249717712403</v>
      </c>
      <c r="AQ17" s="69">
        <v>1931.9334643681846</v>
      </c>
      <c r="AR17" s="69">
        <v>541.368395805359</v>
      </c>
      <c r="AS17" s="69">
        <v>536.38020610809326</v>
      </c>
    </row>
    <row r="18" spans="1:45" x14ac:dyDescent="0.25">
      <c r="A18" s="11">
        <v>43872</v>
      </c>
      <c r="B18" s="59"/>
      <c r="C18" s="60">
        <v>63.997235715389323</v>
      </c>
      <c r="D18" s="60">
        <v>919.86336835225347</v>
      </c>
      <c r="E18" s="60">
        <v>15.027528894444314</v>
      </c>
      <c r="F18" s="60">
        <v>0</v>
      </c>
      <c r="G18" s="60">
        <v>3415.5283289591407</v>
      </c>
      <c r="H18" s="61">
        <v>24.089895201722801</v>
      </c>
      <c r="I18" s="59">
        <v>71.646691807111125</v>
      </c>
      <c r="J18" s="60">
        <v>252.20778630574506</v>
      </c>
      <c r="K18" s="60">
        <v>13.880715908110158</v>
      </c>
      <c r="L18" s="50">
        <v>1.8882751464843755E-4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198.49025866612999</v>
      </c>
      <c r="V18" s="62">
        <v>166.24546300677878</v>
      </c>
      <c r="W18" s="62">
        <v>27.695082163038816</v>
      </c>
      <c r="X18" s="62">
        <v>23.196008651233708</v>
      </c>
      <c r="Y18" s="66">
        <v>95.000439983992663</v>
      </c>
      <c r="Z18" s="66">
        <v>79.567593075445529</v>
      </c>
      <c r="AA18" s="67">
        <v>0</v>
      </c>
      <c r="AB18" s="68">
        <v>63.549237627453792</v>
      </c>
      <c r="AC18" s="69">
        <v>0</v>
      </c>
      <c r="AD18" s="406">
        <v>7.4410983848391723</v>
      </c>
      <c r="AE18" s="406">
        <v>6.0098308050421156</v>
      </c>
      <c r="AF18" s="69">
        <v>12.885043885641617</v>
      </c>
      <c r="AG18" s="68">
        <v>6.9339323998909705</v>
      </c>
      <c r="AH18" s="68">
        <v>5.8075132252033264</v>
      </c>
      <c r="AI18" s="68">
        <v>0.54420295811917763</v>
      </c>
      <c r="AJ18" s="69">
        <v>281.31138162612916</v>
      </c>
      <c r="AK18" s="69">
        <v>1021.0886603673299</v>
      </c>
      <c r="AL18" s="69">
        <v>2724.4561157226563</v>
      </c>
      <c r="AM18" s="69">
        <v>479.65310668945313</v>
      </c>
      <c r="AN18" s="69">
        <v>4504.165283203125</v>
      </c>
      <c r="AO18" s="69">
        <v>2631.6836746215818</v>
      </c>
      <c r="AP18" s="69">
        <v>1134.7728664398194</v>
      </c>
      <c r="AQ18" s="69">
        <v>1814.7947910944624</v>
      </c>
      <c r="AR18" s="69">
        <v>549.14951082865389</v>
      </c>
      <c r="AS18" s="69">
        <v>552.84289744695025</v>
      </c>
    </row>
    <row r="19" spans="1:45" x14ac:dyDescent="0.25">
      <c r="A19" s="11">
        <v>43873</v>
      </c>
      <c r="B19" s="59"/>
      <c r="C19" s="60">
        <v>64.02181566953675</v>
      </c>
      <c r="D19" s="60">
        <v>917.35885162353475</v>
      </c>
      <c r="E19" s="60">
        <v>14.960210398832986</v>
      </c>
      <c r="F19" s="60">
        <v>0</v>
      </c>
      <c r="G19" s="60">
        <v>3283.6529262542667</v>
      </c>
      <c r="H19" s="61">
        <v>24.072272946437156</v>
      </c>
      <c r="I19" s="59">
        <v>78.349785566329956</v>
      </c>
      <c r="J19" s="60">
        <v>226.41366254488548</v>
      </c>
      <c r="K19" s="60">
        <v>11.996407320598738</v>
      </c>
      <c r="L19" s="50">
        <v>1.1329650878906252E-4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178.2145403953142</v>
      </c>
      <c r="V19" s="62">
        <v>178.21545136917686</v>
      </c>
      <c r="W19" s="62">
        <v>25.217960969152983</v>
      </c>
      <c r="X19" s="62">
        <v>25.21808987503946</v>
      </c>
      <c r="Y19" s="66">
        <v>81.71629533899771</v>
      </c>
      <c r="Z19" s="66">
        <v>81.716713045706953</v>
      </c>
      <c r="AA19" s="67">
        <v>0</v>
      </c>
      <c r="AB19" s="68">
        <v>59.077213806576211</v>
      </c>
      <c r="AC19" s="69">
        <v>0</v>
      </c>
      <c r="AD19" s="406">
        <v>6.4085974790926219</v>
      </c>
      <c r="AE19" s="406">
        <v>6.0160077855821195</v>
      </c>
      <c r="AF19" s="69">
        <v>12.143777393632458</v>
      </c>
      <c r="AG19" s="68">
        <v>6.0000034974923508</v>
      </c>
      <c r="AH19" s="68">
        <v>6.0000341675283089</v>
      </c>
      <c r="AI19" s="68">
        <v>0.49999872208584611</v>
      </c>
      <c r="AJ19" s="69">
        <v>279.32624177932735</v>
      </c>
      <c r="AK19" s="69">
        <v>1003.3188849767047</v>
      </c>
      <c r="AL19" s="69">
        <v>2724.4561157226563</v>
      </c>
      <c r="AM19" s="69">
        <v>479.65310668945313</v>
      </c>
      <c r="AN19" s="69">
        <v>4504.165283203125</v>
      </c>
      <c r="AO19" s="69">
        <v>2615.6357070922854</v>
      </c>
      <c r="AP19" s="69">
        <v>1123.2744216283161</v>
      </c>
      <c r="AQ19" s="69">
        <v>1719.202697690328</v>
      </c>
      <c r="AR19" s="69">
        <v>551.28373975753789</v>
      </c>
      <c r="AS19" s="69">
        <v>544.18583927154543</v>
      </c>
    </row>
    <row r="20" spans="1:45" x14ac:dyDescent="0.25">
      <c r="A20" s="11">
        <v>43874</v>
      </c>
      <c r="B20" s="59"/>
      <c r="C20" s="60">
        <v>63.613202452659657</v>
      </c>
      <c r="D20" s="60">
        <v>906.82301940917932</v>
      </c>
      <c r="E20" s="60">
        <v>14.940678681433214</v>
      </c>
      <c r="F20" s="60">
        <v>0</v>
      </c>
      <c r="G20" s="60">
        <v>3164.2319505055812</v>
      </c>
      <c r="H20" s="61">
        <v>24.108015250166254</v>
      </c>
      <c r="I20" s="59">
        <v>87.019568145275116</v>
      </c>
      <c r="J20" s="60">
        <v>226.60183738072669</v>
      </c>
      <c r="K20" s="60">
        <v>11.974089640378937</v>
      </c>
      <c r="L20" s="50">
        <v>2.8324127197265628E-5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163.62155036375813</v>
      </c>
      <c r="V20" s="62">
        <v>163.60420990540385</v>
      </c>
      <c r="W20" s="62">
        <v>23.830921522160828</v>
      </c>
      <c r="X20" s="62">
        <v>23.828395943462418</v>
      </c>
      <c r="Y20" s="66">
        <v>80.020457827943048</v>
      </c>
      <c r="Z20" s="66">
        <v>80.01197733491891</v>
      </c>
      <c r="AA20" s="67">
        <v>0</v>
      </c>
      <c r="AB20" s="68">
        <v>59.078463215297923</v>
      </c>
      <c r="AC20" s="69">
        <v>0</v>
      </c>
      <c r="AD20" s="406">
        <v>6.4126071863654897</v>
      </c>
      <c r="AE20" s="406">
        <v>6.0108470355454466</v>
      </c>
      <c r="AF20" s="69">
        <v>12.144750983847509</v>
      </c>
      <c r="AG20" s="68">
        <v>6.0006090170377</v>
      </c>
      <c r="AH20" s="68">
        <v>5.9999730781254428</v>
      </c>
      <c r="AI20" s="68">
        <v>0.50002649616940309</v>
      </c>
      <c r="AJ20" s="69">
        <v>278.88622968991598</v>
      </c>
      <c r="AK20" s="69">
        <v>1015.3874204317727</v>
      </c>
      <c r="AL20" s="69">
        <v>2724.4561157226563</v>
      </c>
      <c r="AM20" s="69">
        <v>479.65310668945313</v>
      </c>
      <c r="AN20" s="69">
        <v>4504.165283203125</v>
      </c>
      <c r="AO20" s="69">
        <v>2580.4756240844727</v>
      </c>
      <c r="AP20" s="69">
        <v>1126.221078745524</v>
      </c>
      <c r="AQ20" s="69">
        <v>1716.3896359761557</v>
      </c>
      <c r="AR20" s="69">
        <v>547.97488781611128</v>
      </c>
      <c r="AS20" s="69">
        <v>563.16188882191977</v>
      </c>
    </row>
    <row r="21" spans="1:45" x14ac:dyDescent="0.25">
      <c r="A21" s="11">
        <v>43875</v>
      </c>
      <c r="B21" s="59"/>
      <c r="C21" s="60">
        <v>63.375844502449297</v>
      </c>
      <c r="D21" s="60">
        <v>882.39180494944435</v>
      </c>
      <c r="E21" s="60">
        <v>14.957832916577681</v>
      </c>
      <c r="F21" s="60">
        <v>0</v>
      </c>
      <c r="G21" s="60">
        <v>3014.2422019958608</v>
      </c>
      <c r="H21" s="61">
        <v>23.98680544892952</v>
      </c>
      <c r="I21" s="59">
        <v>87.397752606868764</v>
      </c>
      <c r="J21" s="60">
        <v>227.07868369420356</v>
      </c>
      <c r="K21" s="60">
        <v>12.308789609372596</v>
      </c>
      <c r="L21" s="50">
        <v>1.4350891113281276E-3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160.81233673935941</v>
      </c>
      <c r="V21" s="62">
        <v>160.80713537223511</v>
      </c>
      <c r="W21" s="62">
        <v>22.787427348311024</v>
      </c>
      <c r="X21" s="62">
        <v>22.786690304264159</v>
      </c>
      <c r="Y21" s="66">
        <v>73.344461777121779</v>
      </c>
      <c r="Z21" s="66">
        <v>73.342089499720856</v>
      </c>
      <c r="AA21" s="67">
        <v>0</v>
      </c>
      <c r="AB21" s="68">
        <v>58.508097577095079</v>
      </c>
      <c r="AC21" s="69">
        <v>0</v>
      </c>
      <c r="AD21" s="406">
        <v>6.4241083380900861</v>
      </c>
      <c r="AE21" s="406">
        <v>5.9884293966066204</v>
      </c>
      <c r="AF21" s="69">
        <v>11.575905286272377</v>
      </c>
      <c r="AG21" s="68">
        <v>5.7160020178947173</v>
      </c>
      <c r="AH21" s="68">
        <v>5.7158171376449731</v>
      </c>
      <c r="AI21" s="68">
        <v>0.50000808621301773</v>
      </c>
      <c r="AJ21" s="69">
        <v>259.80782299041749</v>
      </c>
      <c r="AK21" s="69">
        <v>978.74907897313426</v>
      </c>
      <c r="AL21" s="69">
        <v>2724.4561157226563</v>
      </c>
      <c r="AM21" s="69">
        <v>479.65310668945313</v>
      </c>
      <c r="AN21" s="69">
        <v>4504.165283203125</v>
      </c>
      <c r="AO21" s="69">
        <v>2538.2891951243078</v>
      </c>
      <c r="AP21" s="69">
        <v>1053.0461794535315</v>
      </c>
      <c r="AQ21" s="69">
        <v>1754.7191309611007</v>
      </c>
      <c r="AR21" s="69">
        <v>512.08598566055286</v>
      </c>
      <c r="AS21" s="69">
        <v>567.06272678375251</v>
      </c>
    </row>
    <row r="22" spans="1:45" x14ac:dyDescent="0.25">
      <c r="A22" s="11">
        <v>43876</v>
      </c>
      <c r="B22" s="59"/>
      <c r="C22" s="60">
        <v>63.235909926891487</v>
      </c>
      <c r="D22" s="60">
        <v>867.11676235199059</v>
      </c>
      <c r="E22" s="60">
        <v>15.056566786766071</v>
      </c>
      <c r="F22" s="60">
        <v>0</v>
      </c>
      <c r="G22" s="60">
        <v>2861.3933017730701</v>
      </c>
      <c r="H22" s="61">
        <v>24.128704496224707</v>
      </c>
      <c r="I22" s="59">
        <v>87.316850662231445</v>
      </c>
      <c r="J22" s="60">
        <v>227.32378848393697</v>
      </c>
      <c r="K22" s="60">
        <v>12.414845066269251</v>
      </c>
      <c r="L22" s="50">
        <v>3.7765502929687478E-4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166.5375434203132</v>
      </c>
      <c r="V22" s="62">
        <v>166.56482535833936</v>
      </c>
      <c r="W22" s="62">
        <v>24.798983770580723</v>
      </c>
      <c r="X22" s="62">
        <v>24.803046304015801</v>
      </c>
      <c r="Y22" s="66">
        <v>72.710895708737795</v>
      </c>
      <c r="Z22" s="66">
        <v>72.722807101867602</v>
      </c>
      <c r="AA22" s="67">
        <v>0</v>
      </c>
      <c r="AB22" s="68">
        <v>57.791533038350771</v>
      </c>
      <c r="AC22" s="69">
        <v>0</v>
      </c>
      <c r="AD22" s="406">
        <v>6.4345480021253323</v>
      </c>
      <c r="AE22" s="406">
        <v>5.9943047080491798</v>
      </c>
      <c r="AF22" s="69">
        <v>12.032367925180319</v>
      </c>
      <c r="AG22" s="68">
        <v>5.9425934742835169</v>
      </c>
      <c r="AH22" s="68">
        <v>5.9435669812991145</v>
      </c>
      <c r="AI22" s="68">
        <v>0.499959048718077</v>
      </c>
      <c r="AJ22" s="69">
        <v>266.93891205787662</v>
      </c>
      <c r="AK22" s="69">
        <v>973.32885869344057</v>
      </c>
      <c r="AL22" s="69">
        <v>2724.4561157226563</v>
      </c>
      <c r="AM22" s="69">
        <v>479.65310668945313</v>
      </c>
      <c r="AN22" s="69">
        <v>4504.165283203125</v>
      </c>
      <c r="AO22" s="69">
        <v>2591.3517871856693</v>
      </c>
      <c r="AP22" s="69">
        <v>1061.7680753072102</v>
      </c>
      <c r="AQ22" s="69">
        <v>1739.3521659851076</v>
      </c>
      <c r="AR22" s="69">
        <v>511.05350790023812</v>
      </c>
      <c r="AS22" s="69">
        <v>544.73083518346141</v>
      </c>
    </row>
    <row r="23" spans="1:45" x14ac:dyDescent="0.25">
      <c r="A23" s="11">
        <v>43877</v>
      </c>
      <c r="B23" s="59"/>
      <c r="C23" s="60">
        <v>63.050169098377332</v>
      </c>
      <c r="D23" s="60">
        <v>870.52738100687782</v>
      </c>
      <c r="E23" s="60">
        <v>15.082688716550669</v>
      </c>
      <c r="F23" s="60">
        <v>0</v>
      </c>
      <c r="G23" s="60">
        <v>2751.9740014394183</v>
      </c>
      <c r="H23" s="61">
        <v>23.909346149365099</v>
      </c>
      <c r="I23" s="59">
        <v>91.024047152201319</v>
      </c>
      <c r="J23" s="60">
        <v>229.91205161412546</v>
      </c>
      <c r="K23" s="60">
        <v>12.832160870730897</v>
      </c>
      <c r="L23" s="50">
        <v>1.8882751464843751E-5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167.30070250311076</v>
      </c>
      <c r="V23" s="62">
        <v>165.30185019693283</v>
      </c>
      <c r="W23" s="62">
        <v>24.242382675532809</v>
      </c>
      <c r="X23" s="62">
        <v>23.952742872512047</v>
      </c>
      <c r="Y23" s="66">
        <v>69.481453357494587</v>
      </c>
      <c r="Z23" s="66">
        <v>68.651312412463938</v>
      </c>
      <c r="AA23" s="67">
        <v>0</v>
      </c>
      <c r="AB23" s="68">
        <v>58.855789767370865</v>
      </c>
      <c r="AC23" s="69">
        <v>0</v>
      </c>
      <c r="AD23" s="406">
        <v>6.5072980726259413</v>
      </c>
      <c r="AE23" s="406">
        <v>5.9949151908084399</v>
      </c>
      <c r="AF23" s="69">
        <v>11.916114191214257</v>
      </c>
      <c r="AG23" s="68">
        <v>5.9277270754239177</v>
      </c>
      <c r="AH23" s="68">
        <v>5.8569045937616879</v>
      </c>
      <c r="AI23" s="68">
        <v>0.50300486615323814</v>
      </c>
      <c r="AJ23" s="69">
        <v>259.15035214424137</v>
      </c>
      <c r="AK23" s="69">
        <v>974.53165168762212</v>
      </c>
      <c r="AL23" s="69">
        <v>2724.4561157226563</v>
      </c>
      <c r="AM23" s="69">
        <v>479.65310668945313</v>
      </c>
      <c r="AN23" s="69">
        <v>4504.165283203125</v>
      </c>
      <c r="AO23" s="69">
        <v>2643.7128012339276</v>
      </c>
      <c r="AP23" s="69">
        <v>1059.6798737843831</v>
      </c>
      <c r="AQ23" s="69">
        <v>1748.9587179819744</v>
      </c>
      <c r="AR23" s="69">
        <v>507.08549858729049</v>
      </c>
      <c r="AS23" s="69">
        <v>567.3346159934996</v>
      </c>
    </row>
    <row r="24" spans="1:45" x14ac:dyDescent="0.25">
      <c r="A24" s="11">
        <v>43878</v>
      </c>
      <c r="B24" s="59"/>
      <c r="C24" s="60">
        <v>63.618265028794625</v>
      </c>
      <c r="D24" s="60">
        <v>873.48479455311985</v>
      </c>
      <c r="E24" s="60">
        <v>15.117587482929226</v>
      </c>
      <c r="F24" s="60">
        <v>0</v>
      </c>
      <c r="G24" s="60">
        <v>2680.2923114776663</v>
      </c>
      <c r="H24" s="61">
        <v>24.120625344912234</v>
      </c>
      <c r="I24" s="59">
        <v>105.84045350551601</v>
      </c>
      <c r="J24" s="60">
        <v>255.96917268435135</v>
      </c>
      <c r="K24" s="60">
        <v>13.894504324595122</v>
      </c>
      <c r="L24" s="50">
        <v>1.9826889038085943E-4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193.32274463324984</v>
      </c>
      <c r="V24" s="62">
        <v>169.23511595312954</v>
      </c>
      <c r="W24" s="62">
        <v>28.155798281643147</v>
      </c>
      <c r="X24" s="62">
        <v>24.647641931560248</v>
      </c>
      <c r="Y24" s="66">
        <v>78.751718027903124</v>
      </c>
      <c r="Z24" s="66">
        <v>68.939410917447319</v>
      </c>
      <c r="AA24" s="67">
        <v>0</v>
      </c>
      <c r="AB24" s="68">
        <v>62.325400458441692</v>
      </c>
      <c r="AC24" s="69">
        <v>0</v>
      </c>
      <c r="AD24" s="406">
        <v>7.2420410958001016</v>
      </c>
      <c r="AE24" s="406">
        <v>5.9936410774928977</v>
      </c>
      <c r="AF24" s="69">
        <v>12.889812158875978</v>
      </c>
      <c r="AG24" s="68">
        <v>6.7938742509250627</v>
      </c>
      <c r="AH24" s="68">
        <v>5.9473710597657972</v>
      </c>
      <c r="AI24" s="68">
        <v>0.53321901315442788</v>
      </c>
      <c r="AJ24" s="69">
        <v>266.66979397137959</v>
      </c>
      <c r="AK24" s="69">
        <v>981.58536230723064</v>
      </c>
      <c r="AL24" s="69">
        <v>2792.8031410217286</v>
      </c>
      <c r="AM24" s="69">
        <v>479.65310668945313</v>
      </c>
      <c r="AN24" s="69">
        <v>4504.165283203125</v>
      </c>
      <c r="AO24" s="69">
        <v>2521.3381671905513</v>
      </c>
      <c r="AP24" s="69">
        <v>1074.4797202428183</v>
      </c>
      <c r="AQ24" s="69">
        <v>1817.5847022374473</v>
      </c>
      <c r="AR24" s="69">
        <v>515.58648827870684</v>
      </c>
      <c r="AS24" s="69">
        <v>534.77839377721148</v>
      </c>
    </row>
    <row r="25" spans="1:45" x14ac:dyDescent="0.25">
      <c r="A25" s="11">
        <v>43879</v>
      </c>
      <c r="B25" s="59"/>
      <c r="C25" s="60">
        <v>63.063296552499374</v>
      </c>
      <c r="D25" s="60">
        <v>879.01758982340584</v>
      </c>
      <c r="E25" s="60">
        <v>15.015479160845278</v>
      </c>
      <c r="F25" s="60">
        <v>0</v>
      </c>
      <c r="G25" s="60">
        <v>2721.3352517445942</v>
      </c>
      <c r="H25" s="61">
        <v>24.006477361917465</v>
      </c>
      <c r="I25" s="59">
        <v>95.785663823286782</v>
      </c>
      <c r="J25" s="60">
        <v>227.47557689348869</v>
      </c>
      <c r="K25" s="60">
        <v>12.33108933617674</v>
      </c>
      <c r="L25" s="50">
        <v>2.171516418457032E-4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161.21531374869681</v>
      </c>
      <c r="V25" s="62">
        <v>161.21539523186499</v>
      </c>
      <c r="W25" s="62">
        <v>23.551726661760235</v>
      </c>
      <c r="X25" s="62">
        <v>23.551738565525831</v>
      </c>
      <c r="Y25" s="66">
        <v>63.912877771358581</v>
      </c>
      <c r="Z25" s="66">
        <v>63.912910074888856</v>
      </c>
      <c r="AA25" s="67">
        <v>0</v>
      </c>
      <c r="AB25" s="68">
        <v>58.149085134929962</v>
      </c>
      <c r="AC25" s="69">
        <v>0</v>
      </c>
      <c r="AD25" s="406">
        <v>6.4381486916980064</v>
      </c>
      <c r="AE25" s="406">
        <v>5.9979884647722823</v>
      </c>
      <c r="AF25" s="69">
        <v>11.531915197769804</v>
      </c>
      <c r="AG25" s="68">
        <v>5.6866635596814676</v>
      </c>
      <c r="AH25" s="68">
        <v>5.6866664338957884</v>
      </c>
      <c r="AI25" s="68">
        <v>0.49999987364235798</v>
      </c>
      <c r="AJ25" s="69">
        <v>270.88566013971962</v>
      </c>
      <c r="AK25" s="69">
        <v>993.43138195673623</v>
      </c>
      <c r="AL25" s="69">
        <v>2827.2980346679688</v>
      </c>
      <c r="AM25" s="69">
        <v>479.65310668945313</v>
      </c>
      <c r="AN25" s="69">
        <v>4504.165283203125</v>
      </c>
      <c r="AO25" s="69">
        <v>2576.4689502716064</v>
      </c>
      <c r="AP25" s="69">
        <v>1101.163375377655</v>
      </c>
      <c r="AQ25" s="69">
        <v>1769.0902264277136</v>
      </c>
      <c r="AR25" s="69">
        <v>531.07630697886145</v>
      </c>
      <c r="AS25" s="69">
        <v>580.4456471761066</v>
      </c>
    </row>
    <row r="26" spans="1:45" x14ac:dyDescent="0.25">
      <c r="A26" s="11">
        <v>43880</v>
      </c>
      <c r="B26" s="59"/>
      <c r="C26" s="60">
        <v>63.096288414796192</v>
      </c>
      <c r="D26" s="60">
        <v>877.4488332748424</v>
      </c>
      <c r="E26" s="60">
        <v>14.720019192496954</v>
      </c>
      <c r="F26" s="60">
        <v>0</v>
      </c>
      <c r="G26" s="60">
        <v>2673.2140051523911</v>
      </c>
      <c r="H26" s="61">
        <v>23.995259493589383</v>
      </c>
      <c r="I26" s="59">
        <v>97.245922748247665</v>
      </c>
      <c r="J26" s="60">
        <v>226.76954488754245</v>
      </c>
      <c r="K26" s="60">
        <v>12.598408286770194</v>
      </c>
      <c r="L26" s="50">
        <v>8.4972381591796883E-5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153.57948556216263</v>
      </c>
      <c r="V26" s="62">
        <v>150.12782124673339</v>
      </c>
      <c r="W26" s="62">
        <v>23.450170557719449</v>
      </c>
      <c r="X26" s="62">
        <v>22.92313326098331</v>
      </c>
      <c r="Y26" s="62">
        <v>64.481916376560818</v>
      </c>
      <c r="Z26" s="62">
        <v>63.032699842641769</v>
      </c>
      <c r="AA26" s="72">
        <v>0</v>
      </c>
      <c r="AB26" s="69">
        <v>58.214136505126767</v>
      </c>
      <c r="AC26" s="69">
        <v>0</v>
      </c>
      <c r="AD26" s="406">
        <v>6.4170577034247787</v>
      </c>
      <c r="AE26" s="406">
        <v>5.9891357746782905</v>
      </c>
      <c r="AF26" s="69">
        <v>11.796833412183647</v>
      </c>
      <c r="AG26" s="69">
        <v>5.8976733097029639</v>
      </c>
      <c r="AH26" s="69">
        <v>5.7651244316243115</v>
      </c>
      <c r="AI26" s="69">
        <v>0.50568255066316392</v>
      </c>
      <c r="AJ26" s="69">
        <v>285.59473206202188</v>
      </c>
      <c r="AK26" s="69">
        <v>1037.0078838030495</v>
      </c>
      <c r="AL26" s="69">
        <v>2827.2980346679688</v>
      </c>
      <c r="AM26" s="69">
        <v>479.65310668945313</v>
      </c>
      <c r="AN26" s="69">
        <v>4504.165283203125</v>
      </c>
      <c r="AO26" s="69">
        <v>2568.5904098510741</v>
      </c>
      <c r="AP26" s="69">
        <v>1162.7284585316972</v>
      </c>
      <c r="AQ26" s="69">
        <v>1713.0897066116333</v>
      </c>
      <c r="AR26" s="69">
        <v>563.47288386027026</v>
      </c>
      <c r="AS26" s="69">
        <v>626.33695332209277</v>
      </c>
    </row>
    <row r="27" spans="1:45" x14ac:dyDescent="0.25">
      <c r="A27" s="11">
        <v>43881</v>
      </c>
      <c r="B27" s="59"/>
      <c r="C27" s="60">
        <v>63.093617447217724</v>
      </c>
      <c r="D27" s="60">
        <v>877.37377478281428</v>
      </c>
      <c r="E27" s="60">
        <v>14.493006582061494</v>
      </c>
      <c r="F27" s="60">
        <v>0</v>
      </c>
      <c r="G27" s="60">
        <v>2666.2410037994323</v>
      </c>
      <c r="H27" s="61">
        <v>23.951241120696022</v>
      </c>
      <c r="I27" s="59">
        <v>110.12265368302664</v>
      </c>
      <c r="J27" s="60">
        <v>249.77794582049063</v>
      </c>
      <c r="K27" s="60">
        <v>13.665708278616224</v>
      </c>
      <c r="L27" s="50">
        <v>2.8324127197265628E-5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175.72740502456691</v>
      </c>
      <c r="V27" s="62">
        <v>158.23063343266801</v>
      </c>
      <c r="W27" s="62">
        <v>26.062265663419218</v>
      </c>
      <c r="X27" s="62">
        <v>23.467306104228754</v>
      </c>
      <c r="Y27" s="66">
        <v>67.430385966995573</v>
      </c>
      <c r="Z27" s="66">
        <v>60.716498275697994</v>
      </c>
      <c r="AA27" s="67">
        <v>0</v>
      </c>
      <c r="AB27" s="68">
        <v>60.88947737746696</v>
      </c>
      <c r="AC27" s="69">
        <v>0</v>
      </c>
      <c r="AD27" s="406">
        <v>7.0698605999135999</v>
      </c>
      <c r="AE27" s="406">
        <v>5.9886880357307186</v>
      </c>
      <c r="AF27" s="69">
        <v>12.554428672128253</v>
      </c>
      <c r="AG27" s="68">
        <v>6.5425966107265268</v>
      </c>
      <c r="AH27" s="68">
        <v>5.8911653868954454</v>
      </c>
      <c r="AI27" s="68">
        <v>0.52619606294360755</v>
      </c>
      <c r="AJ27" s="69">
        <v>281.53205641110742</v>
      </c>
      <c r="AK27" s="69">
        <v>1025.7163084030149</v>
      </c>
      <c r="AL27" s="69">
        <v>2827.2980346679688</v>
      </c>
      <c r="AM27" s="69">
        <v>479.65310668945313</v>
      </c>
      <c r="AN27" s="69">
        <v>4504.165283203125</v>
      </c>
      <c r="AO27" s="69">
        <v>2590.8115463256827</v>
      </c>
      <c r="AP27" s="69">
        <v>1159.6706370671589</v>
      </c>
      <c r="AQ27" s="69">
        <v>1792.0574722290039</v>
      </c>
      <c r="AR27" s="69">
        <v>557.29056018193546</v>
      </c>
      <c r="AS27" s="69">
        <v>627.58882109324134</v>
      </c>
    </row>
    <row r="28" spans="1:45" s="368" customFormat="1" ht="15" customHeight="1" x14ac:dyDescent="0.25">
      <c r="A28" s="398">
        <v>43882</v>
      </c>
      <c r="B28" s="362"/>
      <c r="C28" s="363">
        <v>62.974692106247041</v>
      </c>
      <c r="D28" s="363">
        <v>877.85034465789977</v>
      </c>
      <c r="E28" s="363">
        <v>14.565641808509861</v>
      </c>
      <c r="F28" s="363">
        <v>0</v>
      </c>
      <c r="G28" s="363">
        <v>2612.7326808929492</v>
      </c>
      <c r="H28" s="364">
        <v>24.015289029479003</v>
      </c>
      <c r="I28" s="362">
        <v>125.72933304309845</v>
      </c>
      <c r="J28" s="363">
        <v>296.54443346659332</v>
      </c>
      <c r="K28" s="363">
        <v>16.190879706541683</v>
      </c>
      <c r="L28" s="50">
        <v>1.1329650878906252E-4</v>
      </c>
      <c r="M28" s="363">
        <v>0</v>
      </c>
      <c r="N28" s="364">
        <v>0</v>
      </c>
      <c r="O28" s="362">
        <v>0</v>
      </c>
      <c r="P28" s="363">
        <v>0</v>
      </c>
      <c r="Q28" s="363">
        <v>0</v>
      </c>
      <c r="R28" s="363">
        <v>0</v>
      </c>
      <c r="S28" s="363">
        <v>0</v>
      </c>
      <c r="T28" s="364">
        <v>0</v>
      </c>
      <c r="U28" s="362">
        <v>212.75635985944027</v>
      </c>
      <c r="V28" s="363">
        <v>159.5506779603177</v>
      </c>
      <c r="W28" s="363">
        <v>32.697294478146681</v>
      </c>
      <c r="X28" s="363">
        <v>24.520420940192057</v>
      </c>
      <c r="Y28" s="363">
        <v>81.183256430731134</v>
      </c>
      <c r="Z28" s="363">
        <v>60.881111197366366</v>
      </c>
      <c r="AA28" s="364">
        <v>0</v>
      </c>
      <c r="AB28" s="366">
        <v>63.172336120075933</v>
      </c>
      <c r="AC28" s="367">
        <v>0</v>
      </c>
      <c r="AD28" s="406">
        <v>8.3923631150851286</v>
      </c>
      <c r="AE28" s="406">
        <v>5.9904775179711987</v>
      </c>
      <c r="AF28" s="367">
        <v>14.031040761205896</v>
      </c>
      <c r="AG28" s="367">
        <v>7.9347365244477617</v>
      </c>
      <c r="AH28" s="367">
        <v>5.9504335980768204</v>
      </c>
      <c r="AI28" s="367">
        <v>0.57145403725201749</v>
      </c>
      <c r="AJ28" s="367">
        <v>266.2589693864187</v>
      </c>
      <c r="AK28" s="367">
        <v>985.15867973963429</v>
      </c>
      <c r="AL28" s="367">
        <v>2827.2980346679688</v>
      </c>
      <c r="AM28" s="367">
        <v>479.65310668945313</v>
      </c>
      <c r="AN28" s="367">
        <v>4504.165283203125</v>
      </c>
      <c r="AO28" s="367">
        <v>2539.1710402170816</v>
      </c>
      <c r="AP28" s="367">
        <v>1066.4839637120565</v>
      </c>
      <c r="AQ28" s="367">
        <v>1915.4908807118732</v>
      </c>
      <c r="AR28" s="367">
        <v>525.61535288492837</v>
      </c>
      <c r="AS28" s="367">
        <v>622.74313421249383</v>
      </c>
    </row>
    <row r="29" spans="1:45" x14ac:dyDescent="0.25">
      <c r="A29" s="11">
        <v>43883</v>
      </c>
      <c r="B29" s="59"/>
      <c r="C29" s="60">
        <v>62.847595556577204</v>
      </c>
      <c r="D29" s="60">
        <v>880.59053516387769</v>
      </c>
      <c r="E29" s="60">
        <v>14.764420748750391</v>
      </c>
      <c r="F29" s="60">
        <v>0</v>
      </c>
      <c r="G29" s="60">
        <v>2585.4789780934648</v>
      </c>
      <c r="H29" s="61">
        <v>24.174435281753521</v>
      </c>
      <c r="I29" s="59">
        <v>89.748793208599139</v>
      </c>
      <c r="J29" s="60">
        <v>252.85928303400641</v>
      </c>
      <c r="K29" s="60">
        <v>13.789786549905896</v>
      </c>
      <c r="L29" s="50">
        <v>2.2659301757812508E-4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175.77449626379388</v>
      </c>
      <c r="V29" s="62">
        <v>156.98964558190499</v>
      </c>
      <c r="W29" s="62">
        <v>25.906184607811721</v>
      </c>
      <c r="X29" s="62">
        <v>23.137615674666495</v>
      </c>
      <c r="Y29" s="66">
        <v>67.207646696004588</v>
      </c>
      <c r="Z29" s="66">
        <v>60.025230391588558</v>
      </c>
      <c r="AA29" s="67">
        <v>0</v>
      </c>
      <c r="AB29" s="68">
        <v>56.277795163790117</v>
      </c>
      <c r="AC29" s="69">
        <v>0</v>
      </c>
      <c r="AD29" s="406">
        <v>7.1547040105283859</v>
      </c>
      <c r="AE29" s="406">
        <v>5.9903433693048393</v>
      </c>
      <c r="AF29" s="69">
        <v>12.557051935129705</v>
      </c>
      <c r="AG29" s="68">
        <v>6.5641896403429865</v>
      </c>
      <c r="AH29" s="68">
        <v>5.8626810320839651</v>
      </c>
      <c r="AI29" s="68">
        <v>0.52822547311993628</v>
      </c>
      <c r="AJ29" s="69">
        <v>247.84277272224426</v>
      </c>
      <c r="AK29" s="69">
        <v>954.48630164464316</v>
      </c>
      <c r="AL29" s="69">
        <v>2827.2980346679688</v>
      </c>
      <c r="AM29" s="69">
        <v>479.65310668945313</v>
      </c>
      <c r="AN29" s="69">
        <v>4504.165283203125</v>
      </c>
      <c r="AO29" s="69">
        <v>2536.5499472300216</v>
      </c>
      <c r="AP29" s="69">
        <v>598.06363550821936</v>
      </c>
      <c r="AQ29" s="69">
        <v>1756.2918806711834</v>
      </c>
      <c r="AR29" s="69">
        <v>502.1551502545675</v>
      </c>
      <c r="AS29" s="69">
        <v>641.60216566721601</v>
      </c>
    </row>
    <row r="30" spans="1:45" x14ac:dyDescent="0.25">
      <c r="A30" s="11">
        <v>43884</v>
      </c>
      <c r="B30" s="59"/>
      <c r="C30" s="60">
        <v>63.196244688829147</v>
      </c>
      <c r="D30" s="60">
        <v>885.89336585998501</v>
      </c>
      <c r="E30" s="60">
        <v>14.897322303056727</v>
      </c>
      <c r="F30" s="60">
        <v>0</v>
      </c>
      <c r="G30" s="60">
        <v>2476.7839349110909</v>
      </c>
      <c r="H30" s="61">
        <v>24.141831809282294</v>
      </c>
      <c r="I30" s="59">
        <v>82.241640388965607</v>
      </c>
      <c r="J30" s="60">
        <v>226.3261249860127</v>
      </c>
      <c r="K30" s="60">
        <v>12.011310579379394</v>
      </c>
      <c r="L30" s="50">
        <v>1.0385513305664064E-4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162.68569372109675</v>
      </c>
      <c r="V30" s="62">
        <v>162.67215620532045</v>
      </c>
      <c r="W30" s="62">
        <v>23.733777862541778</v>
      </c>
      <c r="X30" s="62">
        <v>23.731802910811872</v>
      </c>
      <c r="Y30" s="66">
        <v>58.587175237141963</v>
      </c>
      <c r="Z30" s="66">
        <v>58.582300040122973</v>
      </c>
      <c r="AA30" s="67">
        <v>0</v>
      </c>
      <c r="AB30" s="68">
        <v>52.404424842198345</v>
      </c>
      <c r="AC30" s="69">
        <v>0</v>
      </c>
      <c r="AD30" s="406">
        <v>6.4047872262283203</v>
      </c>
      <c r="AE30" s="406">
        <v>5.9925285884222674</v>
      </c>
      <c r="AF30" s="69">
        <v>12.123415236340628</v>
      </c>
      <c r="AG30" s="68">
        <v>5.999927251387593</v>
      </c>
      <c r="AH30" s="68">
        <v>5.9994279812430298</v>
      </c>
      <c r="AI30" s="68">
        <v>0.50002080404050397</v>
      </c>
      <c r="AJ30" s="69">
        <v>259.85046257972715</v>
      </c>
      <c r="AK30" s="69">
        <v>960.01935106913254</v>
      </c>
      <c r="AL30" s="69">
        <v>2827.2980346679688</v>
      </c>
      <c r="AM30" s="69">
        <v>479.65310668945313</v>
      </c>
      <c r="AN30" s="69">
        <v>4504.165283203125</v>
      </c>
      <c r="AO30" s="69">
        <v>2585.0999867757168</v>
      </c>
      <c r="AP30" s="69">
        <v>599.3407353719075</v>
      </c>
      <c r="AQ30" s="69">
        <v>1680.1837108612058</v>
      </c>
      <c r="AR30" s="69">
        <v>503.66675593058272</v>
      </c>
      <c r="AS30" s="69">
        <v>549.57079766591391</v>
      </c>
    </row>
    <row r="31" spans="1:45" x14ac:dyDescent="0.25">
      <c r="A31" s="11">
        <v>43885</v>
      </c>
      <c r="B31" s="59"/>
      <c r="C31" s="60">
        <v>62.86535732348748</v>
      </c>
      <c r="D31" s="60">
        <v>885.42877546946329</v>
      </c>
      <c r="E31" s="60">
        <v>14.822926693658049</v>
      </c>
      <c r="F31" s="60">
        <v>0</v>
      </c>
      <c r="G31" s="60">
        <v>2517.4307474772168</v>
      </c>
      <c r="H31" s="61">
        <v>24.066726376612976</v>
      </c>
      <c r="I31" s="59">
        <v>86.568529307842255</v>
      </c>
      <c r="J31" s="60">
        <v>225.69406282107047</v>
      </c>
      <c r="K31" s="60">
        <v>11.979950386782455</v>
      </c>
      <c r="L31" s="50">
        <v>1.3217926025390627E-4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158.80179772478829</v>
      </c>
      <c r="V31" s="62">
        <v>158.78333907025331</v>
      </c>
      <c r="W31" s="62">
        <v>23.5984734433707</v>
      </c>
      <c r="X31" s="62">
        <v>23.59573042613107</v>
      </c>
      <c r="Y31" s="66">
        <v>52.83746526699845</v>
      </c>
      <c r="Z31" s="66">
        <v>52.831323595229989</v>
      </c>
      <c r="AA31" s="67">
        <v>0</v>
      </c>
      <c r="AB31" s="68">
        <v>52.399415614870293</v>
      </c>
      <c r="AC31" s="69">
        <v>0</v>
      </c>
      <c r="AD31" s="406">
        <v>6.3873962116737086</v>
      </c>
      <c r="AE31" s="406">
        <v>5.9887894593385669</v>
      </c>
      <c r="AF31" s="69">
        <v>11.785601464576207</v>
      </c>
      <c r="AG31" s="68">
        <v>5.8291871029550162</v>
      </c>
      <c r="AH31" s="68">
        <v>5.8285095353676537</v>
      </c>
      <c r="AI31" s="68">
        <v>0.50002906095468014</v>
      </c>
      <c r="AJ31" s="69">
        <v>278.91804987589512</v>
      </c>
      <c r="AK31" s="69">
        <v>989.29717315038044</v>
      </c>
      <c r="AL31" s="69">
        <v>2827.2980346679688</v>
      </c>
      <c r="AM31" s="69">
        <v>479.65310668945313</v>
      </c>
      <c r="AN31" s="69">
        <v>4504.165283203125</v>
      </c>
      <c r="AO31" s="69">
        <v>2579.04001604716</v>
      </c>
      <c r="AP31" s="69">
        <v>631.70592838923142</v>
      </c>
      <c r="AQ31" s="69">
        <v>1698.0969229380289</v>
      </c>
      <c r="AR31" s="69">
        <v>523.98660519917803</v>
      </c>
      <c r="AS31" s="69">
        <v>601.66860685348513</v>
      </c>
    </row>
    <row r="32" spans="1:45" x14ac:dyDescent="0.25">
      <c r="A32" s="11">
        <v>43886</v>
      </c>
      <c r="B32" s="59"/>
      <c r="C32" s="60">
        <v>63.72074989477818</v>
      </c>
      <c r="D32" s="60">
        <v>885.3516066869106</v>
      </c>
      <c r="E32" s="60">
        <v>14.813076046605898</v>
      </c>
      <c r="F32" s="60">
        <v>0</v>
      </c>
      <c r="G32" s="60">
        <v>2631.0563575744609</v>
      </c>
      <c r="H32" s="61">
        <v>23.962335343162202</v>
      </c>
      <c r="I32" s="59">
        <v>85.399342358112335</v>
      </c>
      <c r="J32" s="60">
        <v>226.662062136332</v>
      </c>
      <c r="K32" s="60">
        <v>12.532094063858191</v>
      </c>
      <c r="L32" s="50">
        <v>9.4413757324218753E-6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155.22769413202485</v>
      </c>
      <c r="V32" s="62">
        <v>146.61368776749055</v>
      </c>
      <c r="W32" s="62">
        <v>22.943819074696375</v>
      </c>
      <c r="X32" s="62">
        <v>21.670604236060289</v>
      </c>
      <c r="Y32" s="66">
        <v>50.33606147171534</v>
      </c>
      <c r="Z32" s="66">
        <v>47.542776701832963</v>
      </c>
      <c r="AA32" s="67">
        <v>0</v>
      </c>
      <c r="AB32" s="68">
        <v>53.134526308377758</v>
      </c>
      <c r="AC32" s="69">
        <v>0</v>
      </c>
      <c r="AD32" s="406">
        <v>6.4142382257386226</v>
      </c>
      <c r="AE32" s="406">
        <v>5.9888600576082309</v>
      </c>
      <c r="AF32" s="69">
        <v>11.116598691874087</v>
      </c>
      <c r="AG32" s="68">
        <v>5.6505062036836051</v>
      </c>
      <c r="AH32" s="68">
        <v>5.336944266984518</v>
      </c>
      <c r="AI32" s="68">
        <v>0.51426909443351598</v>
      </c>
      <c r="AJ32" s="69">
        <v>301.53492086728409</v>
      </c>
      <c r="AK32" s="69">
        <v>1046.1328929265339</v>
      </c>
      <c r="AL32" s="69">
        <v>2827.2980346679688</v>
      </c>
      <c r="AM32" s="69">
        <v>479.65310668945313</v>
      </c>
      <c r="AN32" s="69">
        <v>4504.165283203125</v>
      </c>
      <c r="AO32" s="69">
        <v>2677.769750213623</v>
      </c>
      <c r="AP32" s="69">
        <v>989.96327910423281</v>
      </c>
      <c r="AQ32" s="69">
        <v>1676.6818753560385</v>
      </c>
      <c r="AR32" s="69">
        <v>582.42059551874797</v>
      </c>
      <c r="AS32" s="69">
        <v>630.14938777287784</v>
      </c>
    </row>
    <row r="33" spans="1:45" x14ac:dyDescent="0.25">
      <c r="A33" s="11">
        <v>43887</v>
      </c>
      <c r="B33" s="59"/>
      <c r="C33" s="60">
        <v>63.495057022571942</v>
      </c>
      <c r="D33" s="60">
        <v>883.46554673512844</v>
      </c>
      <c r="E33" s="60">
        <v>15.296766853829228</v>
      </c>
      <c r="F33" s="60">
        <v>0</v>
      </c>
      <c r="G33" s="60">
        <v>2645.6032733917218</v>
      </c>
      <c r="H33" s="61">
        <v>23.971002702911701</v>
      </c>
      <c r="I33" s="59">
        <v>87.449332467714953</v>
      </c>
      <c r="J33" s="60">
        <v>232.28505155245443</v>
      </c>
      <c r="K33" s="60">
        <v>13.007427147030814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159.78200498762641</v>
      </c>
      <c r="V33" s="62">
        <v>159.40189066387455</v>
      </c>
      <c r="W33" s="62">
        <v>22.95431152780306</v>
      </c>
      <c r="X33" s="62">
        <v>22.899704235797575</v>
      </c>
      <c r="Y33" s="66">
        <v>50.028328002900139</v>
      </c>
      <c r="Z33" s="66">
        <v>49.909312823007184</v>
      </c>
      <c r="AA33" s="67">
        <v>0</v>
      </c>
      <c r="AB33" s="68">
        <v>51.959602808952901</v>
      </c>
      <c r="AC33" s="69">
        <v>0</v>
      </c>
      <c r="AD33" s="406">
        <v>6.5734966623775044</v>
      </c>
      <c r="AE33" s="406">
        <v>5.976466681884558</v>
      </c>
      <c r="AF33" s="69">
        <v>11.997324984934611</v>
      </c>
      <c r="AG33" s="68">
        <v>5.9457368875520098</v>
      </c>
      <c r="AH33" s="68">
        <v>5.9315922424376026</v>
      </c>
      <c r="AI33" s="68">
        <v>0.50059544721543048</v>
      </c>
      <c r="AJ33" s="69">
        <v>287.95256481170657</v>
      </c>
      <c r="AK33" s="69">
        <v>1018.2443070729574</v>
      </c>
      <c r="AL33" s="69">
        <v>2827.2980346679688</v>
      </c>
      <c r="AM33" s="69">
        <v>479.65310668945313</v>
      </c>
      <c r="AN33" s="69">
        <v>4504.165283203125</v>
      </c>
      <c r="AO33" s="69">
        <v>2607.7912209828696</v>
      </c>
      <c r="AP33" s="69">
        <v>1188.1893723169958</v>
      </c>
      <c r="AQ33" s="69">
        <v>1662.056018702189</v>
      </c>
      <c r="AR33" s="69">
        <v>534.40802612304697</v>
      </c>
      <c r="AS33" s="69">
        <v>615.31384824117026</v>
      </c>
    </row>
    <row r="34" spans="1:45" x14ac:dyDescent="0.25">
      <c r="A34" s="11">
        <v>43888</v>
      </c>
      <c r="B34" s="59"/>
      <c r="C34" s="60">
        <v>63.722033417225006</v>
      </c>
      <c r="D34" s="60">
        <v>893.15056419372513</v>
      </c>
      <c r="E34" s="60">
        <v>15.515582158168158</v>
      </c>
      <c r="F34" s="60">
        <v>0</v>
      </c>
      <c r="G34" s="60">
        <v>2604.7574218750001</v>
      </c>
      <c r="H34" s="61">
        <v>23.990979239344572</v>
      </c>
      <c r="I34" s="59">
        <v>87.169687807559967</v>
      </c>
      <c r="J34" s="60">
        <v>226.73714410463953</v>
      </c>
      <c r="K34" s="60">
        <v>12.275276656945534</v>
      </c>
      <c r="L34" s="60">
        <v>1.8882751464843751E-5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163.15745883703082</v>
      </c>
      <c r="V34" s="62">
        <v>163.2192352064431</v>
      </c>
      <c r="W34" s="62">
        <v>23.330833578010711</v>
      </c>
      <c r="X34" s="62">
        <v>23.339667340218611</v>
      </c>
      <c r="Y34" s="66">
        <v>49.202448341079055</v>
      </c>
      <c r="Z34" s="66">
        <v>49.221077882421341</v>
      </c>
      <c r="AA34" s="67">
        <v>0</v>
      </c>
      <c r="AB34" s="68">
        <v>49.751330171691627</v>
      </c>
      <c r="AC34" s="69">
        <v>0</v>
      </c>
      <c r="AD34" s="406">
        <v>6.4162449964799579</v>
      </c>
      <c r="AE34" s="406">
        <v>5.9750379935216333</v>
      </c>
      <c r="AF34" s="69">
        <v>12.143071118328294</v>
      </c>
      <c r="AG34" s="68">
        <v>5.9991979986897839</v>
      </c>
      <c r="AH34" s="68">
        <v>6.0014694772626065</v>
      </c>
      <c r="AI34" s="68">
        <v>0.49990536032360805</v>
      </c>
      <c r="AJ34" s="69">
        <v>264.03291939099626</v>
      </c>
      <c r="AK34" s="69">
        <v>974.71146167119355</v>
      </c>
      <c r="AL34" s="69">
        <v>2827.2980346679688</v>
      </c>
      <c r="AM34" s="69">
        <v>479.65310668945313</v>
      </c>
      <c r="AN34" s="69">
        <v>4504.165283203125</v>
      </c>
      <c r="AO34" s="69">
        <v>2562.809921137492</v>
      </c>
      <c r="AP34" s="69">
        <v>650.71348729133604</v>
      </c>
      <c r="AQ34" s="69">
        <v>1665.6218650182086</v>
      </c>
      <c r="AR34" s="69">
        <v>490.73509648640953</v>
      </c>
      <c r="AS34" s="69">
        <v>575.44496768315651</v>
      </c>
    </row>
    <row r="35" spans="1:45" x14ac:dyDescent="0.25">
      <c r="A35" s="11">
        <v>43889</v>
      </c>
      <c r="B35" s="59"/>
      <c r="C35" s="60">
        <v>63.543036103249122</v>
      </c>
      <c r="D35" s="60">
        <v>899.04292647043917</v>
      </c>
      <c r="E35" s="60">
        <v>14.988204942146984</v>
      </c>
      <c r="F35" s="60">
        <v>0</v>
      </c>
      <c r="G35" s="60">
        <v>2607.994792429608</v>
      </c>
      <c r="H35" s="61">
        <v>23.985324958960248</v>
      </c>
      <c r="I35" s="59">
        <v>89.44132125377655</v>
      </c>
      <c r="J35" s="60">
        <v>233.83182001113869</v>
      </c>
      <c r="K35" s="60">
        <v>12.292291801174484</v>
      </c>
      <c r="L35" s="60">
        <v>7.5531005859375003E-5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160.21134143459597</v>
      </c>
      <c r="V35" s="62">
        <v>153.44227499377655</v>
      </c>
      <c r="W35" s="62">
        <v>23.192332310035418</v>
      </c>
      <c r="X35" s="62">
        <v>22.21243639930627</v>
      </c>
      <c r="Y35" s="66">
        <v>48.404371576959285</v>
      </c>
      <c r="Z35" s="66">
        <v>46.359245406136317</v>
      </c>
      <c r="AA35" s="67">
        <v>0</v>
      </c>
      <c r="AB35" s="68">
        <v>49.751605094804191</v>
      </c>
      <c r="AC35" s="69">
        <v>0</v>
      </c>
      <c r="AD35" s="406">
        <v>6.4086563326733446</v>
      </c>
      <c r="AE35" s="406">
        <v>5.9757677609685134</v>
      </c>
      <c r="AF35" s="69">
        <v>11.630041738682323</v>
      </c>
      <c r="AG35" s="68">
        <v>5.8671423762171564</v>
      </c>
      <c r="AH35" s="68">
        <v>5.6192505839961049</v>
      </c>
      <c r="AI35" s="68">
        <v>0.51079067175743087</v>
      </c>
      <c r="AJ35" s="69">
        <v>251.90992647806806</v>
      </c>
      <c r="AK35" s="69">
        <v>949.94151674906414</v>
      </c>
      <c r="AL35" s="69">
        <v>2827.2980346679688</v>
      </c>
      <c r="AM35" s="69">
        <v>479.65310668945313</v>
      </c>
      <c r="AN35" s="69">
        <v>4504.165283203125</v>
      </c>
      <c r="AO35" s="69">
        <v>2454.5445960998536</v>
      </c>
      <c r="AP35" s="69">
        <v>577.31594764391582</v>
      </c>
      <c r="AQ35" s="69">
        <v>1670.852615992228</v>
      </c>
      <c r="AR35" s="69">
        <v>481.08813565572098</v>
      </c>
      <c r="AS35" s="69">
        <v>570.47315778732309</v>
      </c>
    </row>
    <row r="36" spans="1:45" x14ac:dyDescent="0.25">
      <c r="A36" s="11">
        <v>43890</v>
      </c>
      <c r="B36" s="59"/>
      <c r="C36" s="60">
        <v>63.451501854260641</v>
      </c>
      <c r="D36" s="60">
        <v>899.30136788686082</v>
      </c>
      <c r="E36" s="60">
        <v>14.715019826094329</v>
      </c>
      <c r="F36" s="60">
        <v>0</v>
      </c>
      <c r="G36" s="60">
        <v>2568.1678849538121</v>
      </c>
      <c r="H36" s="61">
        <v>24.104858411351778</v>
      </c>
      <c r="I36" s="59">
        <v>92.105821013450623</v>
      </c>
      <c r="J36" s="60">
        <v>237.74747683207141</v>
      </c>
      <c r="K36" s="60">
        <v>12.303752878308311</v>
      </c>
      <c r="L36" s="60">
        <v>3.7765502929687501E-5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159.92583489212188</v>
      </c>
      <c r="V36" s="62">
        <v>159.89783234801769</v>
      </c>
      <c r="W36" s="62">
        <v>23.466220233939765</v>
      </c>
      <c r="X36" s="62">
        <v>23.46211136767996</v>
      </c>
      <c r="Y36" s="66">
        <v>48.30836613921916</v>
      </c>
      <c r="Z36" s="66">
        <v>48.299907486154595</v>
      </c>
      <c r="AA36" s="67">
        <v>0</v>
      </c>
      <c r="AB36" s="68">
        <v>49.75254849063046</v>
      </c>
      <c r="AC36" s="69">
        <v>0</v>
      </c>
      <c r="AD36" s="406">
        <v>6.4069301586044229</v>
      </c>
      <c r="AE36" s="406">
        <v>5.9772406452303928</v>
      </c>
      <c r="AF36" s="69">
        <v>11.904140830039982</v>
      </c>
      <c r="AG36" s="68">
        <v>5.8775277347264545</v>
      </c>
      <c r="AH36" s="68">
        <v>5.8764985968781138</v>
      </c>
      <c r="AI36" s="68">
        <v>0.50004377809864076</v>
      </c>
      <c r="AJ36" s="69">
        <v>246.06882131894429</v>
      </c>
      <c r="AK36" s="69">
        <v>941.4815090179444</v>
      </c>
      <c r="AL36" s="69">
        <v>2827.2980346679688</v>
      </c>
      <c r="AM36" s="69">
        <v>479.65310668945313</v>
      </c>
      <c r="AN36" s="69">
        <v>4504.165283203125</v>
      </c>
      <c r="AO36" s="69">
        <v>2275.119500350952</v>
      </c>
      <c r="AP36" s="69">
        <v>576.30616385142014</v>
      </c>
      <c r="AQ36" s="69">
        <v>1656.9278494517009</v>
      </c>
      <c r="AR36" s="69">
        <v>479.45079280535384</v>
      </c>
      <c r="AS36" s="69">
        <v>556.89361225763969</v>
      </c>
    </row>
    <row r="37" spans="1:45" x14ac:dyDescent="0.25">
      <c r="A37" s="11"/>
      <c r="B37" s="65"/>
      <c r="C37" s="380"/>
      <c r="D37" s="380"/>
      <c r="E37" s="380"/>
      <c r="F37" s="380"/>
      <c r="G37" s="380"/>
      <c r="H37" s="390"/>
      <c r="I37" s="379"/>
      <c r="J37" s="380"/>
      <c r="K37" s="380"/>
      <c r="L37" s="380"/>
      <c r="M37" s="380"/>
      <c r="N37" s="390"/>
      <c r="O37" s="379"/>
      <c r="P37" s="380"/>
      <c r="Q37" s="380"/>
      <c r="R37" s="391"/>
      <c r="S37" s="380"/>
      <c r="T37" s="392"/>
      <c r="U37" s="393"/>
      <c r="V37" s="81"/>
      <c r="W37" s="81"/>
      <c r="X37" s="81"/>
      <c r="Y37" s="80"/>
      <c r="Z37" s="80"/>
      <c r="AA37" s="82"/>
      <c r="AB37" s="394"/>
      <c r="AC37" s="388"/>
      <c r="AD37" s="406"/>
      <c r="AE37" s="406"/>
      <c r="AF37" s="388"/>
      <c r="AG37" s="394"/>
      <c r="AH37" s="394"/>
      <c r="AI37" s="394"/>
      <c r="AJ37" s="388"/>
      <c r="AK37" s="388"/>
      <c r="AL37" s="388"/>
      <c r="AM37" s="388"/>
      <c r="AN37" s="388"/>
      <c r="AO37" s="388"/>
      <c r="AP37" s="388"/>
      <c r="AQ37" s="388"/>
      <c r="AR37" s="388"/>
      <c r="AS37" s="388"/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6"/>
      <c r="AE38" s="406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>SUM(C8:C38)</f>
        <v>1838.2920207222346</v>
      </c>
      <c r="D39" s="30">
        <f t="shared" si="0"/>
        <v>26439.5119755427</v>
      </c>
      <c r="E39" s="30">
        <f t="shared" si="0"/>
        <v>434.12940655499744</v>
      </c>
      <c r="F39" s="30">
        <f t="shared" si="0"/>
        <v>0</v>
      </c>
      <c r="G39" s="30">
        <f t="shared" si="0"/>
        <v>89293.803112411522</v>
      </c>
      <c r="H39" s="31">
        <f t="shared" si="0"/>
        <v>697.03221189379678</v>
      </c>
      <c r="I39" s="29">
        <f t="shared" si="0"/>
        <v>2886.9926857948303</v>
      </c>
      <c r="J39" s="30">
        <f t="shared" si="0"/>
        <v>7799.2606480598415</v>
      </c>
      <c r="K39" s="30">
        <f t="shared" si="0"/>
        <v>423.16326256295037</v>
      </c>
      <c r="L39" s="30">
        <f t="shared" si="0"/>
        <v>4.3241500854492212E-3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5582.3050837121136</v>
      </c>
      <c r="V39" s="260">
        <f t="shared" si="0"/>
        <v>4582.7800549796784</v>
      </c>
      <c r="W39" s="260">
        <f t="shared" si="0"/>
        <v>834.22779485448416</v>
      </c>
      <c r="X39" s="260">
        <f t="shared" si="0"/>
        <v>680.44485555028677</v>
      </c>
      <c r="Y39" s="260">
        <f t="shared" si="0"/>
        <v>2488.2053064683187</v>
      </c>
      <c r="Z39" s="260">
        <f t="shared" si="0"/>
        <v>1981.626978395472</v>
      </c>
      <c r="AA39" s="268">
        <f t="shared" si="0"/>
        <v>0</v>
      </c>
      <c r="AB39" s="271">
        <f t="shared" si="0"/>
        <v>1813.6615275330034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SUM(AJ8:AJ38)</f>
        <v>7863.8178321043642</v>
      </c>
      <c r="AK39" s="271">
        <f t="shared" si="1"/>
        <v>28743.729160563151</v>
      </c>
      <c r="AL39" s="271">
        <f t="shared" si="1"/>
        <v>84573.590761566156</v>
      </c>
      <c r="AM39" s="271">
        <f t="shared" si="1"/>
        <v>14008.418880462646</v>
      </c>
      <c r="AN39" s="271">
        <f t="shared" si="1"/>
        <v>127441.22127126058</v>
      </c>
      <c r="AO39" s="271">
        <f t="shared" si="1"/>
        <v>74487.622616195673</v>
      </c>
      <c r="AP39" s="271">
        <f t="shared" si="1"/>
        <v>27615.477171150844</v>
      </c>
      <c r="AQ39" s="271">
        <f t="shared" si="1"/>
        <v>53665.857375971464</v>
      </c>
      <c r="AR39" s="271">
        <f t="shared" si="1"/>
        <v>15153.990346463517</v>
      </c>
      <c r="AS39" s="271">
        <f t="shared" si="1"/>
        <v>16976.348334312439</v>
      </c>
    </row>
    <row r="40" spans="1:45" ht="15.75" thickBot="1" x14ac:dyDescent="0.3">
      <c r="A40" s="47" t="s">
        <v>172</v>
      </c>
      <c r="B40" s="32">
        <f>Projection!$AA$30</f>
        <v>0.82128400199999985</v>
      </c>
      <c r="C40" s="33">
        <f>Projection!$AA$28</f>
        <v>1.4286753599999999</v>
      </c>
      <c r="D40" s="33">
        <f>Projection!$AA$31</f>
        <v>3.3907104000000001</v>
      </c>
      <c r="E40" s="33">
        <f>Projection!$AA$26</f>
        <v>4.4235360000000004</v>
      </c>
      <c r="F40" s="33">
        <f>Projection!$AA$23</f>
        <v>0</v>
      </c>
      <c r="G40" s="33">
        <f>Projection!$AA$24</f>
        <v>5.9975000000000001E-2</v>
      </c>
      <c r="H40" s="34">
        <f>Projection!$AA$29</f>
        <v>3.7390305000000001</v>
      </c>
      <c r="I40" s="32">
        <f>Projection!$AA$30</f>
        <v>0.82128400199999985</v>
      </c>
      <c r="J40" s="33">
        <f>Projection!$AA$28</f>
        <v>1.4286753599999999</v>
      </c>
      <c r="K40" s="33">
        <f>Projection!$AA$26</f>
        <v>4.4235360000000004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1.4286753599999999</v>
      </c>
      <c r="T40" s="38">
        <f>Projection!$AA$28</f>
        <v>1.4286753599999999</v>
      </c>
      <c r="U40" s="26">
        <f>Projection!$AA$27</f>
        <v>0.26450000000000001</v>
      </c>
      <c r="V40" s="27">
        <f>Projection!$AA$27</f>
        <v>0.26450000000000001</v>
      </c>
      <c r="W40" s="27">
        <f>Projection!$AA$22</f>
        <v>0.85935360000000005</v>
      </c>
      <c r="X40" s="27">
        <f>Projection!$AA$22</f>
        <v>0.85935360000000005</v>
      </c>
      <c r="Y40" s="27">
        <f>Projection!$AA$31</f>
        <v>3.3907104000000001</v>
      </c>
      <c r="Z40" s="27">
        <f>Projection!$AA$31</f>
        <v>3.3907104000000001</v>
      </c>
      <c r="AA40" s="28">
        <v>0</v>
      </c>
      <c r="AB40" s="41">
        <f>Projection!$AA$27</f>
        <v>0.26450000000000001</v>
      </c>
      <c r="AC40" s="41">
        <f>Projection!$AA$30</f>
        <v>0.82128400199999985</v>
      </c>
      <c r="AD40" s="397">
        <f>SUM(AD8:AD38)</f>
        <v>225.37722485230245</v>
      </c>
      <c r="AE40" s="397">
        <f>SUM(AE8:AE38)</f>
        <v>173.7238727850804</v>
      </c>
      <c r="AF40" s="275">
        <f>SUM(AF8:AF38)</f>
        <v>383.4545171495941</v>
      </c>
      <c r="AG40" s="275">
        <f>SUM(AG8:AG38)</f>
        <v>208.40188844194498</v>
      </c>
      <c r="AH40" s="275">
        <f>SUM(AH8:AH38)</f>
        <v>169.85475089191954</v>
      </c>
      <c r="AI40" s="275">
        <f>IF(SUM(AG40:AH40)&gt;0, AG40/(AG40+AH40), 0)</f>
        <v>0.55095368268738065</v>
      </c>
      <c r="AJ40" s="310">
        <v>6.6000000000000003E-2</v>
      </c>
      <c r="AK40" s="310">
        <f t="shared" ref="AK40:AS40" si="2">$AJ$40</f>
        <v>6.6000000000000003E-2</v>
      </c>
      <c r="AL40" s="310">
        <f t="shared" si="2"/>
        <v>6.6000000000000003E-2</v>
      </c>
      <c r="AM40" s="310">
        <f t="shared" si="2"/>
        <v>6.6000000000000003E-2</v>
      </c>
      <c r="AN40" s="310">
        <f t="shared" si="2"/>
        <v>6.6000000000000003E-2</v>
      </c>
      <c r="AO40" s="310">
        <f t="shared" si="2"/>
        <v>6.6000000000000003E-2</v>
      </c>
      <c r="AP40" s="310">
        <f t="shared" si="2"/>
        <v>6.6000000000000003E-2</v>
      </c>
      <c r="AQ40" s="310">
        <f t="shared" si="2"/>
        <v>6.6000000000000003E-2</v>
      </c>
      <c r="AR40" s="310">
        <f t="shared" si="2"/>
        <v>6.6000000000000003E-2</v>
      </c>
      <c r="AS40" s="310">
        <f t="shared" si="2"/>
        <v>6.6000000000000003E-2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2626.3225144904659</v>
      </c>
      <c r="D41" s="36">
        <f t="shared" si="3"/>
        <v>89648.728226397187</v>
      </c>
      <c r="E41" s="36">
        <f t="shared" si="3"/>
        <v>1920.3870585546674</v>
      </c>
      <c r="F41" s="36">
        <f t="shared" si="3"/>
        <v>0</v>
      </c>
      <c r="G41" s="36">
        <f t="shared" si="3"/>
        <v>5355.3958416668811</v>
      </c>
      <c r="H41" s="37">
        <f t="shared" si="3"/>
        <v>2606.2246997533689</v>
      </c>
      <c r="I41" s="35">
        <f t="shared" si="3"/>
        <v>2371.0409067343062</v>
      </c>
      <c r="J41" s="36">
        <f t="shared" si="3"/>
        <v>11142.611514100727</v>
      </c>
      <c r="K41" s="36">
        <f t="shared" si="3"/>
        <v>1871.8779258246634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1476.5196946418541</v>
      </c>
      <c r="V41" s="266">
        <f t="shared" si="3"/>
        <v>1212.1453245421251</v>
      </c>
      <c r="W41" s="266">
        <f t="shared" si="3"/>
        <v>716.89665872826254</v>
      </c>
      <c r="X41" s="266">
        <f t="shared" si="3"/>
        <v>584.74273621861892</v>
      </c>
      <c r="Y41" s="266">
        <f t="shared" si="3"/>
        <v>8436.7836099773158</v>
      </c>
      <c r="Z41" s="266">
        <f t="shared" si="3"/>
        <v>6719.1232045661027</v>
      </c>
      <c r="AA41" s="270">
        <f t="shared" si="3"/>
        <v>0</v>
      </c>
      <c r="AB41" s="273">
        <f t="shared" si="3"/>
        <v>479.71347403247944</v>
      </c>
      <c r="AC41" s="273">
        <f t="shared" si="3"/>
        <v>0</v>
      </c>
      <c r="AJ41" s="276">
        <f t="shared" ref="AJ41:AS41" si="4">AJ40*AJ39</f>
        <v>519.01197691888808</v>
      </c>
      <c r="AK41" s="276">
        <f t="shared" si="4"/>
        <v>1897.086124597168</v>
      </c>
      <c r="AL41" s="276">
        <f t="shared" si="4"/>
        <v>5581.8569902633662</v>
      </c>
      <c r="AM41" s="276">
        <f t="shared" si="4"/>
        <v>924.55564611053467</v>
      </c>
      <c r="AN41" s="276">
        <f t="shared" si="4"/>
        <v>8411.1206039031986</v>
      </c>
      <c r="AO41" s="276">
        <f t="shared" si="4"/>
        <v>4916.1830926689145</v>
      </c>
      <c r="AP41" s="276">
        <f t="shared" si="4"/>
        <v>1822.6214932959558</v>
      </c>
      <c r="AQ41" s="276">
        <f t="shared" si="4"/>
        <v>3541.9465868141169</v>
      </c>
      <c r="AR41" s="276">
        <f t="shared" si="4"/>
        <v>1000.1633628665921</v>
      </c>
      <c r="AS41" s="276">
        <f t="shared" si="4"/>
        <v>1120.4389900646211</v>
      </c>
    </row>
    <row r="42" spans="1:45" ht="49.5" customHeight="1" thickTop="1" thickBot="1" x14ac:dyDescent="0.3">
      <c r="A42" s="640">
        <f>JANUARY!$A$42+31</f>
        <v>43862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1419.35</v>
      </c>
      <c r="AK42" s="276" t="s">
        <v>197</v>
      </c>
      <c r="AL42" s="276">
        <v>2539.85</v>
      </c>
      <c r="AM42" s="276">
        <v>806.89</v>
      </c>
      <c r="AN42" s="276">
        <v>1916.1</v>
      </c>
      <c r="AO42" s="276">
        <v>6086</v>
      </c>
      <c r="AP42" s="276">
        <v>2639.01</v>
      </c>
      <c r="AQ42" s="276" t="s">
        <v>197</v>
      </c>
      <c r="AR42" s="276">
        <v>240.98</v>
      </c>
      <c r="AS42" s="276">
        <v>477.61</v>
      </c>
    </row>
    <row r="43" spans="1:45" ht="38.25" customHeight="1" thickTop="1" thickBot="1" x14ac:dyDescent="0.3">
      <c r="A43" s="637" t="s">
        <v>234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45" ht="24.75" thickTop="1" thickBot="1" x14ac:dyDescent="0.3">
      <c r="A44" s="280" t="s">
        <v>135</v>
      </c>
      <c r="B44" s="281">
        <f>SUM(B41:AC41)</f>
        <v>137168.51339022903</v>
      </c>
      <c r="C44" s="12"/>
      <c r="D44" s="280" t="s">
        <v>135</v>
      </c>
      <c r="E44" s="281">
        <f>SUM(B41:H41)+P41+R41+T41+V41+X41+Z41</f>
        <v>110673.06960618941</v>
      </c>
      <c r="F44" s="12"/>
      <c r="G44" s="280" t="s">
        <v>135</v>
      </c>
      <c r="H44" s="281">
        <f>SUM(I41:N41)+O41+Q41+S41+U41+W41+Y41</f>
        <v>26015.730310007129</v>
      </c>
      <c r="I44" s="12"/>
      <c r="J44" s="280" t="s">
        <v>198</v>
      </c>
      <c r="K44" s="281">
        <v>167153.28</v>
      </c>
      <c r="L44" s="12"/>
      <c r="M44" s="12"/>
      <c r="N44" s="12"/>
      <c r="O44" s="12"/>
      <c r="P44" s="12"/>
      <c r="Q44" s="12"/>
      <c r="R44" s="304" t="s">
        <v>135</v>
      </c>
      <c r="S44" s="305"/>
      <c r="T44" s="302" t="s">
        <v>167</v>
      </c>
      <c r="U44" s="253" t="s">
        <v>168</v>
      </c>
    </row>
    <row r="45" spans="1:45" ht="24" thickBot="1" x14ac:dyDescent="0.4">
      <c r="A45" s="282" t="s">
        <v>183</v>
      </c>
      <c r="B45" s="283">
        <f>SUM(AJ41:AS41)</f>
        <v>29734.984867503354</v>
      </c>
      <c r="C45" s="12"/>
      <c r="D45" s="282" t="s">
        <v>183</v>
      </c>
      <c r="E45" s="283">
        <f>AJ41*(1-$AI$40)+AK41+AL41*0.5+AN41+AO41*(1-$AI$40)+AP41*(1-$AI$40)+AQ41*(1-$AI$40)+AR41*0.5+AS41*0.5</f>
        <v>19009.030270318024</v>
      </c>
      <c r="F45" s="24"/>
      <c r="G45" s="282" t="s">
        <v>183</v>
      </c>
      <c r="H45" s="283">
        <f>AJ41*AI40+AL41*0.5+AM41+AO41*AI40+AP41*AI40+AQ41*AI40+AR41*0.5+AS41*0.5</f>
        <v>10725.954597185335</v>
      </c>
      <c r="I45" s="12"/>
      <c r="J45" s="12"/>
      <c r="K45" s="286"/>
      <c r="L45" s="12"/>
      <c r="M45" s="12"/>
      <c r="N45" s="12"/>
      <c r="O45" s="12"/>
      <c r="P45" s="12"/>
      <c r="Q45" s="12"/>
      <c r="R45" s="306" t="s">
        <v>141</v>
      </c>
      <c r="S45" s="307"/>
      <c r="T45" s="252">
        <f>$W$39+$X$39</f>
        <v>1514.672650404771</v>
      </c>
      <c r="U45" s="254">
        <f>(T45*8.34*0.895)/27000</f>
        <v>0.41873966905245674</v>
      </c>
    </row>
    <row r="46" spans="1:45" ht="32.25" thickBot="1" x14ac:dyDescent="0.3">
      <c r="A46" s="284" t="s">
        <v>184</v>
      </c>
      <c r="B46" s="285">
        <f>SUM(AJ42:AS42)</f>
        <v>16125.79</v>
      </c>
      <c r="C46" s="12"/>
      <c r="D46" s="284" t="s">
        <v>184</v>
      </c>
      <c r="E46" s="285">
        <f>AJ42*(1-$AI$40)+AL42*0.5+AN42+AO42*(1-$AI$40)+AP42*(1-$AI$40)+AR42*0.5+AS42*0.5</f>
        <v>8100.6074994934434</v>
      </c>
      <c r="F46" s="23"/>
      <c r="G46" s="284" t="s">
        <v>184</v>
      </c>
      <c r="H46" s="285">
        <f>AJ42*AI40+AL42*0.5+AM42+AO42*AI40+AP42*AI40+AR42*0.5+AS42*0.5</f>
        <v>8025.1825005065566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06" t="s">
        <v>145</v>
      </c>
      <c r="S46" s="307"/>
      <c r="T46" s="252">
        <f>$M$39+$N$39+$F$39</f>
        <v>0</v>
      </c>
      <c r="U46" s="255">
        <f>(((T46*8.34)*0.005)/(8.34*1.055))/400</f>
        <v>0</v>
      </c>
    </row>
    <row r="47" spans="1:45" ht="24.75" thickTop="1" thickBot="1" x14ac:dyDescent="0.4">
      <c r="A47" s="284" t="s">
        <v>185</v>
      </c>
      <c r="B47" s="285">
        <f>K44</f>
        <v>167153.28</v>
      </c>
      <c r="C47" s="12"/>
      <c r="D47" s="284" t="s">
        <v>187</v>
      </c>
      <c r="E47" s="285">
        <f>K44*0.5</f>
        <v>83576.639999999999</v>
      </c>
      <c r="F47" s="24"/>
      <c r="G47" s="284" t="s">
        <v>185</v>
      </c>
      <c r="H47" s="285">
        <f>K44*0.5</f>
        <v>83576.639999999999</v>
      </c>
      <c r="I47" s="12"/>
      <c r="J47" s="280" t="s">
        <v>198</v>
      </c>
      <c r="K47" s="281">
        <v>38094.01</v>
      </c>
      <c r="L47" s="12"/>
      <c r="M47" s="12"/>
      <c r="N47" s="12"/>
      <c r="O47" s="12"/>
      <c r="P47" s="12"/>
      <c r="Q47" s="12"/>
      <c r="R47" s="306" t="s">
        <v>148</v>
      </c>
      <c r="S47" s="307"/>
      <c r="T47" s="252">
        <f>$G$39</f>
        <v>89293.803112411522</v>
      </c>
      <c r="U47" s="254">
        <f>T47/40000</f>
        <v>2.232345077810288</v>
      </c>
    </row>
    <row r="48" spans="1:45" ht="24" thickBot="1" x14ac:dyDescent="0.3">
      <c r="A48" s="284" t="s">
        <v>186</v>
      </c>
      <c r="B48" s="285">
        <f>K47</f>
        <v>38094.01</v>
      </c>
      <c r="C48" s="12"/>
      <c r="D48" s="284" t="s">
        <v>186</v>
      </c>
      <c r="E48" s="285">
        <f>K47*0.5</f>
        <v>19047.005000000001</v>
      </c>
      <c r="F48" s="23"/>
      <c r="G48" s="284" t="s">
        <v>186</v>
      </c>
      <c r="H48" s="285">
        <f>K47*0.5</f>
        <v>19047.005000000001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06" t="s">
        <v>150</v>
      </c>
      <c r="S48" s="307"/>
      <c r="T48" s="252">
        <f>$L$39</f>
        <v>4.3241500854492212E-3</v>
      </c>
      <c r="U48" s="254">
        <f>T48*9.34*0.107</f>
        <v>4.3214691123962421E-3</v>
      </c>
    </row>
    <row r="49" spans="1:25" ht="48" thickTop="1" thickBot="1" x14ac:dyDescent="0.3">
      <c r="A49" s="289" t="s">
        <v>194</v>
      </c>
      <c r="B49" s="290">
        <f>AF40</f>
        <v>383.4545171495941</v>
      </c>
      <c r="C49" s="12"/>
      <c r="D49" s="289" t="s">
        <v>195</v>
      </c>
      <c r="E49" s="290">
        <f>AH40</f>
        <v>169.85475089191954</v>
      </c>
      <c r="F49" s="23"/>
      <c r="G49" s="289" t="s">
        <v>196</v>
      </c>
      <c r="H49" s="290">
        <f>AG40</f>
        <v>208.40188844194498</v>
      </c>
      <c r="I49" s="12"/>
      <c r="J49" s="12"/>
      <c r="K49" s="86"/>
      <c r="L49" s="12"/>
      <c r="M49" s="12"/>
      <c r="N49" s="12"/>
      <c r="O49" s="12"/>
      <c r="P49" s="12"/>
      <c r="Q49" s="12"/>
      <c r="R49" s="306" t="s">
        <v>152</v>
      </c>
      <c r="S49" s="307"/>
      <c r="T49" s="252">
        <f>$E$39+$K$39</f>
        <v>857.29266911794775</v>
      </c>
      <c r="U49" s="254">
        <f>(T49*8.34*1.04)/45000</f>
        <v>0.16524030433025405</v>
      </c>
    </row>
    <row r="50" spans="1:25" ht="48" customHeight="1" thickTop="1" thickBot="1" x14ac:dyDescent="0.3">
      <c r="A50" s="289" t="s">
        <v>223</v>
      </c>
      <c r="B50" s="290">
        <f>SUM(E50+H50)</f>
        <v>399.10109763738285</v>
      </c>
      <c r="C50" s="12"/>
      <c r="D50" s="289" t="s">
        <v>224</v>
      </c>
      <c r="E50" s="290">
        <f>AE40</f>
        <v>173.7238727850804</v>
      </c>
      <c r="F50" s="23"/>
      <c r="G50" s="289" t="s">
        <v>225</v>
      </c>
      <c r="H50" s="290">
        <f>AD40</f>
        <v>225.37722485230245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972.87775091642209</v>
      </c>
      <c r="C51" s="12"/>
      <c r="D51" s="289" t="s">
        <v>188</v>
      </c>
      <c r="E51" s="396">
        <f>SUM(E44:E48)/E50</f>
        <v>1383.8417744314024</v>
      </c>
      <c r="F51" s="23"/>
      <c r="G51" s="289" t="s">
        <v>189</v>
      </c>
      <c r="H51" s="396">
        <f>SUM(H44:H48)/H50</f>
        <v>653.9725231965615</v>
      </c>
      <c r="I51" s="12"/>
      <c r="J51" s="12"/>
      <c r="K51" s="86"/>
      <c r="L51" s="12"/>
      <c r="M51" s="12"/>
      <c r="N51" s="12"/>
      <c r="O51" s="12"/>
      <c r="P51" s="12"/>
      <c r="Q51" s="12"/>
      <c r="R51" s="306" t="s">
        <v>153</v>
      </c>
      <c r="S51" s="307"/>
      <c r="T51" s="252">
        <f>$U$39+$V$39+$AB$39</f>
        <v>11978.746666224797</v>
      </c>
      <c r="U51" s="254">
        <f>T51/2000/8</f>
        <v>0.74867166663904983</v>
      </c>
    </row>
    <row r="52" spans="1:25" ht="47.25" customHeight="1" thickTop="1" thickBot="1" x14ac:dyDescent="0.3">
      <c r="A52" s="279" t="s">
        <v>191</v>
      </c>
      <c r="B52" s="292">
        <f>B51/1000</f>
        <v>0.97287775091642203</v>
      </c>
      <c r="C52" s="12"/>
      <c r="D52" s="279" t="s">
        <v>192</v>
      </c>
      <c r="E52" s="292">
        <f>E51/1000</f>
        <v>1.3838417744314024</v>
      </c>
      <c r="F52" s="370">
        <f>E44/E50</f>
        <v>637.06310383206085</v>
      </c>
      <c r="G52" s="279" t="s">
        <v>193</v>
      </c>
      <c r="H52" s="292">
        <f>H51/1000</f>
        <v>0.65397252319656152</v>
      </c>
      <c r="I52" s="370">
        <f>H44/H50</f>
        <v>115.43194005985363</v>
      </c>
      <c r="J52" s="12"/>
      <c r="K52" s="86"/>
      <c r="L52" s="12"/>
      <c r="M52" s="12"/>
      <c r="N52" s="12"/>
      <c r="O52" s="12"/>
      <c r="P52" s="12"/>
      <c r="Q52" s="12"/>
      <c r="R52" s="306" t="s">
        <v>154</v>
      </c>
      <c r="S52" s="307"/>
      <c r="T52" s="252">
        <f>$C$39+$J$39+$S$39+$T$39</f>
        <v>9637.5526687820766</v>
      </c>
      <c r="U52" s="254">
        <f>(T52*8.34*1.4)/45000</f>
        <v>2.5006236657933227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6" t="s">
        <v>155</v>
      </c>
      <c r="S53" s="307"/>
      <c r="T53" s="252">
        <f>$H$39</f>
        <v>697.03221189379678</v>
      </c>
      <c r="U53" s="254">
        <f>(T53*8.34*1.135)/45000</f>
        <v>0.14662304921256647</v>
      </c>
    </row>
    <row r="54" spans="1:25" ht="48" customHeight="1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06" t="s">
        <v>156</v>
      </c>
      <c r="S54" s="307"/>
      <c r="T54" s="252">
        <f>$B$39+$I$39+$AC$39</f>
        <v>2886.9926857948303</v>
      </c>
      <c r="U54" s="254">
        <f>(T54*8.34*1.029*0.03)/3300</f>
        <v>0.22523424591377472</v>
      </c>
    </row>
    <row r="55" spans="1:25" ht="42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30909.344260406491</v>
      </c>
      <c r="U55" s="257">
        <f>(T55*1.54*8.34)/45000</f>
        <v>8.8219389765101521</v>
      </c>
    </row>
    <row r="56" spans="1:25" ht="24" thickTop="1" x14ac:dyDescent="0.25">
      <c r="A56" s="668"/>
      <c r="B56" s="66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0"/>
      <c r="B57" s="67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6"/>
      <c r="B58" s="66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7"/>
      <c r="B59" s="66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6"/>
      <c r="B60" s="66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7"/>
      <c r="B61" s="667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7mwrCFXNi5AyXRPxeIZg0lg+W7cE0H7u6231E55iUrRAFacv9SWfcQ1+hcraWZsA1YQDS22za3lhvNxN9uNXog==" saltValue="qPZLD2wgFJoDOOzNceR9zg==" spinCount="100000" sheet="1" selectLockedCells="1" selectUnlockedCells="1"/>
  <mergeCells count="36">
    <mergeCell ref="AR4:AR5"/>
    <mergeCell ref="AS4:AS5"/>
    <mergeCell ref="AJ4:AJ5"/>
    <mergeCell ref="AK4:AK5"/>
    <mergeCell ref="AL4:AL5"/>
    <mergeCell ref="AM4:AM5"/>
    <mergeCell ref="AN4:AN5"/>
    <mergeCell ref="AO4:AO5"/>
    <mergeCell ref="I4:N5"/>
    <mergeCell ref="AQ4:AQ5"/>
    <mergeCell ref="AP4:AP5"/>
    <mergeCell ref="R43:U43"/>
    <mergeCell ref="AF4:AF5"/>
    <mergeCell ref="AG4:AG5"/>
    <mergeCell ref="AH4:AH5"/>
    <mergeCell ref="AI4:AI5"/>
    <mergeCell ref="O4:T5"/>
    <mergeCell ref="AD4:AD5"/>
    <mergeCell ref="AE4:AE5"/>
    <mergeCell ref="AC4:AC5"/>
    <mergeCell ref="A58:B59"/>
    <mergeCell ref="A60:B61"/>
    <mergeCell ref="A56:B56"/>
    <mergeCell ref="A57:B57"/>
    <mergeCell ref="AB4:AB5"/>
    <mergeCell ref="A54:E54"/>
    <mergeCell ref="A55:E55"/>
    <mergeCell ref="R55:S55"/>
    <mergeCell ref="U4:AA5"/>
    <mergeCell ref="J43:K43"/>
    <mergeCell ref="J46:K46"/>
    <mergeCell ref="A42:K42"/>
    <mergeCell ref="A43:B43"/>
    <mergeCell ref="D43:E43"/>
    <mergeCell ref="G43:H43"/>
    <mergeCell ref="B4:H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W64"/>
  <sheetViews>
    <sheetView topLeftCell="D42" zoomScale="75" zoomScaleNormal="75" workbookViewId="0">
      <selection activeCell="AM41" sqref="AM41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  <c r="AV4" t="s">
        <v>169</v>
      </c>
      <c r="AW4" s="335" t="s">
        <v>207</v>
      </c>
    </row>
    <row r="5" spans="1:49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49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4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43891</v>
      </c>
      <c r="B8" s="49"/>
      <c r="C8" s="50">
        <v>63.966310139497118</v>
      </c>
      <c r="D8" s="50">
        <v>900.95582402547166</v>
      </c>
      <c r="E8" s="50">
        <v>15.137941500544557</v>
      </c>
      <c r="F8" s="50">
        <v>0</v>
      </c>
      <c r="G8" s="50">
        <v>2550.2397356669126</v>
      </c>
      <c r="H8" s="51">
        <v>23.987251575787845</v>
      </c>
      <c r="I8" s="49">
        <v>91.2857985496521</v>
      </c>
      <c r="J8" s="50">
        <v>237.89913714726731</v>
      </c>
      <c r="K8" s="50">
        <v>12.306399603684723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158.12679569679383</v>
      </c>
      <c r="V8" s="54">
        <v>158.14115889643935</v>
      </c>
      <c r="W8" s="54">
        <v>23.255715096060602</v>
      </c>
      <c r="X8" s="54">
        <v>23.257827492491277</v>
      </c>
      <c r="Y8" s="54">
        <v>48.678752289787525</v>
      </c>
      <c r="Z8" s="54">
        <v>48.683173947954643</v>
      </c>
      <c r="AA8" s="55">
        <v>0</v>
      </c>
      <c r="AB8" s="56">
        <v>49.751389325990388</v>
      </c>
      <c r="AC8" s="57">
        <v>0</v>
      </c>
      <c r="AD8" s="405">
        <v>6.4117332444840702</v>
      </c>
      <c r="AE8" s="405">
        <v>5.9884048830287888</v>
      </c>
      <c r="AF8" s="57">
        <v>11.795019449790329</v>
      </c>
      <c r="AG8" s="58">
        <v>5.8183994868979907</v>
      </c>
      <c r="AH8" s="58">
        <v>5.8189279920958574</v>
      </c>
      <c r="AI8" s="58">
        <v>0.49997729267313218</v>
      </c>
      <c r="AJ8" s="57">
        <v>252.79993198712663</v>
      </c>
      <c r="AK8" s="57">
        <v>947.76331265767419</v>
      </c>
      <c r="AL8" s="57">
        <v>2827.2980346679688</v>
      </c>
      <c r="AM8" s="57">
        <v>479.65310668945313</v>
      </c>
      <c r="AN8" s="57">
        <v>4504.165283203125</v>
      </c>
      <c r="AO8" s="57">
        <v>2289.7650349934893</v>
      </c>
      <c r="AP8" s="57">
        <v>586.60587428410849</v>
      </c>
      <c r="AQ8" s="57">
        <v>1685.5946780522663</v>
      </c>
      <c r="AR8" s="57">
        <v>492.59838647842389</v>
      </c>
      <c r="AS8" s="57">
        <v>541.78661069869986</v>
      </c>
    </row>
    <row r="9" spans="1:49" x14ac:dyDescent="0.25">
      <c r="A9" s="11">
        <v>43892</v>
      </c>
      <c r="B9" s="59"/>
      <c r="C9" s="60">
        <v>63.972370445728089</v>
      </c>
      <c r="D9" s="60">
        <v>900.93275369008359</v>
      </c>
      <c r="E9" s="60">
        <v>15.370127874612821</v>
      </c>
      <c r="F9" s="60">
        <v>0</v>
      </c>
      <c r="G9" s="60">
        <v>2659.1248608907076</v>
      </c>
      <c r="H9" s="61">
        <v>23.946282847722379</v>
      </c>
      <c r="I9" s="59">
        <v>93.817692271868438</v>
      </c>
      <c r="J9" s="60">
        <v>240.23437800407368</v>
      </c>
      <c r="K9" s="60">
        <v>12.722775452335654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155.94961035385231</v>
      </c>
      <c r="V9" s="62">
        <v>146.10826785430632</v>
      </c>
      <c r="W9" s="62">
        <v>23.046645137707888</v>
      </c>
      <c r="X9" s="62">
        <v>21.592265561182852</v>
      </c>
      <c r="Y9" s="66">
        <v>51.232982112814007</v>
      </c>
      <c r="Z9" s="66">
        <v>47.999878015270731</v>
      </c>
      <c r="AA9" s="67">
        <v>0</v>
      </c>
      <c r="AB9" s="68">
        <v>50.570606128375012</v>
      </c>
      <c r="AC9" s="69">
        <v>0</v>
      </c>
      <c r="AD9" s="406">
        <v>6.4738549110694628</v>
      </c>
      <c r="AE9" s="406">
        <v>5.9887002870558943</v>
      </c>
      <c r="AF9" s="69">
        <v>11.128245884511198</v>
      </c>
      <c r="AG9" s="68">
        <v>5.6702973581782254</v>
      </c>
      <c r="AH9" s="68">
        <v>5.3124680680024801</v>
      </c>
      <c r="AI9" s="68">
        <v>0.51629049134213278</v>
      </c>
      <c r="AJ9" s="69">
        <v>260.45353023211158</v>
      </c>
      <c r="AK9" s="69">
        <v>967.10615927378342</v>
      </c>
      <c r="AL9" s="69">
        <v>2827.2980346679688</v>
      </c>
      <c r="AM9" s="69">
        <v>479.65310668945313</v>
      </c>
      <c r="AN9" s="69">
        <v>4504.165283203125</v>
      </c>
      <c r="AO9" s="69">
        <v>2351.8788383483893</v>
      </c>
      <c r="AP9" s="69">
        <v>611.35909539858494</v>
      </c>
      <c r="AQ9" s="69">
        <v>1688.9933057149251</v>
      </c>
      <c r="AR9" s="69">
        <v>507.35109020868941</v>
      </c>
      <c r="AS9" s="69">
        <v>579.82136910756435</v>
      </c>
    </row>
    <row r="10" spans="1:49" x14ac:dyDescent="0.25">
      <c r="A10" s="11">
        <v>43893</v>
      </c>
      <c r="B10" s="59"/>
      <c r="C10" s="60">
        <v>64.781571563085009</v>
      </c>
      <c r="D10" s="60">
        <v>925.09293123881071</v>
      </c>
      <c r="E10" s="60">
        <v>15.368490635852023</v>
      </c>
      <c r="F10" s="60">
        <v>0</v>
      </c>
      <c r="G10" s="60">
        <v>2797.9988956451421</v>
      </c>
      <c r="H10" s="61">
        <v>24.594105429450707</v>
      </c>
      <c r="I10" s="59">
        <v>107.10629175106686</v>
      </c>
      <c r="J10" s="60">
        <v>286.10794798533135</v>
      </c>
      <c r="K10" s="60">
        <v>15.7243143777053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191.592523856919</v>
      </c>
      <c r="V10" s="62">
        <v>161.50585199333233</v>
      </c>
      <c r="W10" s="62">
        <v>29.176980820645728</v>
      </c>
      <c r="X10" s="62">
        <v>24.595182792991491</v>
      </c>
      <c r="Y10" s="66">
        <v>60.789870027883488</v>
      </c>
      <c r="Z10" s="66">
        <v>51.243751863456161</v>
      </c>
      <c r="AA10" s="67">
        <v>0</v>
      </c>
      <c r="AB10" s="68">
        <v>55.188713479042121</v>
      </c>
      <c r="AC10" s="69">
        <v>0</v>
      </c>
      <c r="AD10" s="406">
        <v>7.7207182692153218</v>
      </c>
      <c r="AE10" s="406">
        <v>6.1488103479187668</v>
      </c>
      <c r="AF10" s="69">
        <v>13.515130574835679</v>
      </c>
      <c r="AG10" s="68">
        <v>7.2438163086930958</v>
      </c>
      <c r="AH10" s="68">
        <v>6.106285887712235</v>
      </c>
      <c r="AI10" s="68">
        <v>0.54260380947822084</v>
      </c>
      <c r="AJ10" s="69">
        <v>248.61932061513269</v>
      </c>
      <c r="AK10" s="69">
        <v>939.12948417663586</v>
      </c>
      <c r="AL10" s="69">
        <v>2827.2980346679688</v>
      </c>
      <c r="AM10" s="69">
        <v>479.65310668945313</v>
      </c>
      <c r="AN10" s="69">
        <v>4504.165283203125</v>
      </c>
      <c r="AO10" s="69">
        <v>2277.0555519104009</v>
      </c>
      <c r="AP10" s="69">
        <v>568.48343620300295</v>
      </c>
      <c r="AQ10" s="69">
        <v>1789.3985335667928</v>
      </c>
      <c r="AR10" s="69">
        <v>490.11653159459433</v>
      </c>
      <c r="AS10" s="69">
        <v>578.33042399088538</v>
      </c>
    </row>
    <row r="11" spans="1:49" x14ac:dyDescent="0.25">
      <c r="A11" s="11">
        <v>43894</v>
      </c>
      <c r="B11" s="59"/>
      <c r="C11" s="60">
        <v>65.796415126324149</v>
      </c>
      <c r="D11" s="60">
        <v>938.95188388824295</v>
      </c>
      <c r="E11" s="60">
        <v>15.385147314767018</v>
      </c>
      <c r="F11" s="60">
        <v>0</v>
      </c>
      <c r="G11" s="60">
        <v>2849.7190189361586</v>
      </c>
      <c r="H11" s="61">
        <v>24.9877898544073</v>
      </c>
      <c r="I11" s="59">
        <v>109.0034667174022</v>
      </c>
      <c r="J11" s="60">
        <v>312.96646968523663</v>
      </c>
      <c r="K11" s="60">
        <v>17.412285621960979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208.08832376653922</v>
      </c>
      <c r="V11" s="62">
        <v>162.57259947073075</v>
      </c>
      <c r="W11" s="62">
        <v>31.930477075341752</v>
      </c>
      <c r="X11" s="62">
        <v>24.946237090663733</v>
      </c>
      <c r="Y11" s="66">
        <v>67.338683527208545</v>
      </c>
      <c r="Z11" s="66">
        <v>52.609510364634524</v>
      </c>
      <c r="AA11" s="67">
        <v>0</v>
      </c>
      <c r="AB11" s="68">
        <v>57.76840340031513</v>
      </c>
      <c r="AC11" s="69">
        <v>0</v>
      </c>
      <c r="AD11" s="406">
        <v>8.4327784868318929</v>
      </c>
      <c r="AE11" s="406">
        <v>6.2408808716540367</v>
      </c>
      <c r="AF11" s="69">
        <v>14.399364657534491</v>
      </c>
      <c r="AG11" s="68">
        <v>7.9995663068592497</v>
      </c>
      <c r="AH11" s="68">
        <v>6.2497994390289016</v>
      </c>
      <c r="AI11" s="68">
        <v>0.56139806146583282</v>
      </c>
      <c r="AJ11" s="69">
        <v>247.28099228541055</v>
      </c>
      <c r="AK11" s="69">
        <v>944.36773389180496</v>
      </c>
      <c r="AL11" s="69">
        <v>2827.2980346679688</v>
      </c>
      <c r="AM11" s="69">
        <v>479.65310668945313</v>
      </c>
      <c r="AN11" s="69">
        <v>4504.165283203125</v>
      </c>
      <c r="AO11" s="69">
        <v>2272.3580524444578</v>
      </c>
      <c r="AP11" s="69">
        <v>561.8606342951457</v>
      </c>
      <c r="AQ11" s="69">
        <v>1846.8810943603519</v>
      </c>
      <c r="AR11" s="69">
        <v>477.62490561803179</v>
      </c>
      <c r="AS11" s="69">
        <v>625.22108910878501</v>
      </c>
    </row>
    <row r="12" spans="1:49" x14ac:dyDescent="0.25">
      <c r="A12" s="11">
        <v>43895</v>
      </c>
      <c r="B12" s="59"/>
      <c r="C12" s="60">
        <v>65.875749949614274</v>
      </c>
      <c r="D12" s="60">
        <v>938.74184341430532</v>
      </c>
      <c r="E12" s="60">
        <v>15.388612766067185</v>
      </c>
      <c r="F12" s="60">
        <v>0</v>
      </c>
      <c r="G12" s="60">
        <v>2913.2091246287</v>
      </c>
      <c r="H12" s="61">
        <v>24.989430326223367</v>
      </c>
      <c r="I12" s="59">
        <v>94.258371051152523</v>
      </c>
      <c r="J12" s="60">
        <v>289.18252712885544</v>
      </c>
      <c r="K12" s="60">
        <v>15.971067257722217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184.35904562584946</v>
      </c>
      <c r="V12" s="62">
        <v>157.74448019287072</v>
      </c>
      <c r="W12" s="62">
        <v>27.290947693697412</v>
      </c>
      <c r="X12" s="62">
        <v>23.351153415330479</v>
      </c>
      <c r="Y12" s="66">
        <v>59.905524943341845</v>
      </c>
      <c r="Z12" s="66">
        <v>51.25740297032398</v>
      </c>
      <c r="AA12" s="67">
        <v>0</v>
      </c>
      <c r="AB12" s="68">
        <v>56.208280685212863</v>
      </c>
      <c r="AC12" s="69">
        <v>0</v>
      </c>
      <c r="AD12" s="406">
        <v>7.7975110761946151</v>
      </c>
      <c r="AE12" s="406">
        <v>6.2398560942304675</v>
      </c>
      <c r="AF12" s="69">
        <v>13.315583156214831</v>
      </c>
      <c r="AG12" s="68">
        <v>7.0850796391090318</v>
      </c>
      <c r="AH12" s="68">
        <v>6.0622585726796601</v>
      </c>
      <c r="AI12" s="68">
        <v>0.53889840855817683</v>
      </c>
      <c r="AJ12" s="69">
        <v>246.59133326212563</v>
      </c>
      <c r="AK12" s="69">
        <v>948.92636009852106</v>
      </c>
      <c r="AL12" s="69">
        <v>2827.2980346679688</v>
      </c>
      <c r="AM12" s="69">
        <v>479.65310668945313</v>
      </c>
      <c r="AN12" s="69">
        <v>4504.165283203125</v>
      </c>
      <c r="AO12" s="69">
        <v>2306.4243099212645</v>
      </c>
      <c r="AP12" s="69">
        <v>584.9542663733165</v>
      </c>
      <c r="AQ12" s="69">
        <v>1829.2647307078039</v>
      </c>
      <c r="AR12" s="69">
        <v>493.95085872014369</v>
      </c>
      <c r="AS12" s="69">
        <v>610.65570084253943</v>
      </c>
    </row>
    <row r="13" spans="1:49" x14ac:dyDescent="0.25">
      <c r="A13" s="11">
        <v>43896</v>
      </c>
      <c r="B13" s="59"/>
      <c r="C13" s="60">
        <v>66.733171562353803</v>
      </c>
      <c r="D13" s="60">
        <v>939.88226025899269</v>
      </c>
      <c r="E13" s="60">
        <v>15.384043295681456</v>
      </c>
      <c r="F13" s="60">
        <v>0</v>
      </c>
      <c r="G13" s="60">
        <v>2858.2632016499856</v>
      </c>
      <c r="H13" s="61">
        <v>25.221685291330004</v>
      </c>
      <c r="I13" s="59">
        <v>74.585017323493958</v>
      </c>
      <c r="J13" s="60">
        <v>252.3332928737</v>
      </c>
      <c r="K13" s="60">
        <v>13.840951411922799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163.64073914105509</v>
      </c>
      <c r="V13" s="62">
        <v>157.5078801292689</v>
      </c>
      <c r="W13" s="62">
        <v>23.525728859415413</v>
      </c>
      <c r="X13" s="62">
        <v>22.644041456867459</v>
      </c>
      <c r="Y13" s="66">
        <v>52.801523966110324</v>
      </c>
      <c r="Z13" s="66">
        <v>50.822650589032293</v>
      </c>
      <c r="AA13" s="67">
        <v>0</v>
      </c>
      <c r="AB13" s="68">
        <v>52.779969090884819</v>
      </c>
      <c r="AC13" s="69">
        <v>0</v>
      </c>
      <c r="AD13" s="406">
        <v>6.8027924175690355</v>
      </c>
      <c r="AE13" s="406">
        <v>6.2472422128163414</v>
      </c>
      <c r="AF13" s="69">
        <v>12.122309215863551</v>
      </c>
      <c r="AG13" s="68">
        <v>6.0709592404274648</v>
      </c>
      <c r="AH13" s="68">
        <v>5.843434375389128</v>
      </c>
      <c r="AI13" s="68">
        <v>0.50954831913293064</v>
      </c>
      <c r="AJ13" s="69">
        <v>250.80326515833534</v>
      </c>
      <c r="AK13" s="69">
        <v>934.17795317967727</v>
      </c>
      <c r="AL13" s="69">
        <v>3217.8773298899337</v>
      </c>
      <c r="AM13" s="69">
        <v>479.65310668945313</v>
      </c>
      <c r="AN13" s="69">
        <v>4504.165283203125</v>
      </c>
      <c r="AO13" s="69">
        <v>2328.1356231689447</v>
      </c>
      <c r="AP13" s="69">
        <v>551.95648358662913</v>
      </c>
      <c r="AQ13" s="69">
        <v>1718.4202452977499</v>
      </c>
      <c r="AR13" s="69">
        <v>475.46613225936898</v>
      </c>
      <c r="AS13" s="69">
        <v>695.73049459457388</v>
      </c>
    </row>
    <row r="14" spans="1:49" x14ac:dyDescent="0.25">
      <c r="A14" s="11">
        <v>43897</v>
      </c>
      <c r="B14" s="59"/>
      <c r="C14" s="60">
        <v>66.783890974521896</v>
      </c>
      <c r="D14" s="60">
        <v>938.2841362635304</v>
      </c>
      <c r="E14" s="60">
        <v>15.44232618858417</v>
      </c>
      <c r="F14" s="60">
        <v>0</v>
      </c>
      <c r="G14" s="60">
        <v>2782.3995756785112</v>
      </c>
      <c r="H14" s="61">
        <v>25.020553558071473</v>
      </c>
      <c r="I14" s="59">
        <v>71.365844309329987</v>
      </c>
      <c r="J14" s="60">
        <v>240.74393189748082</v>
      </c>
      <c r="K14" s="60">
        <v>13.496830727656707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161.95354285538608</v>
      </c>
      <c r="V14" s="62">
        <v>168.70218535760853</v>
      </c>
      <c r="W14" s="62">
        <v>23.180100470188016</v>
      </c>
      <c r="X14" s="62">
        <v>24.146020748811271</v>
      </c>
      <c r="Y14" s="66">
        <v>50.285150885101693</v>
      </c>
      <c r="Z14" s="66">
        <v>52.380545036478111</v>
      </c>
      <c r="AA14" s="67">
        <v>0</v>
      </c>
      <c r="AB14" s="68">
        <v>51.750647942224681</v>
      </c>
      <c r="AC14" s="69">
        <v>0</v>
      </c>
      <c r="AD14" s="406">
        <v>6.4876550626420437</v>
      </c>
      <c r="AE14" s="406">
        <v>6.2367397449277986</v>
      </c>
      <c r="AF14" s="69">
        <v>12.224321953124473</v>
      </c>
      <c r="AG14" s="68">
        <v>5.8986245788558316</v>
      </c>
      <c r="AH14" s="68">
        <v>6.1444216626100685</v>
      </c>
      <c r="AI14" s="68">
        <v>0.48979506186283989</v>
      </c>
      <c r="AJ14" s="69">
        <v>245.74530831972754</v>
      </c>
      <c r="AK14" s="69">
        <v>922.94451872507739</v>
      </c>
      <c r="AL14" s="69">
        <v>2884.6609087626139</v>
      </c>
      <c r="AM14" s="69">
        <v>479.65310668945313</v>
      </c>
      <c r="AN14" s="69">
        <v>4504.165283203125</v>
      </c>
      <c r="AO14" s="69">
        <v>2298.6731239318842</v>
      </c>
      <c r="AP14" s="69">
        <v>520.27619640032447</v>
      </c>
      <c r="AQ14" s="69">
        <v>1636.6839864095052</v>
      </c>
      <c r="AR14" s="69">
        <v>442.61292018890379</v>
      </c>
      <c r="AS14" s="69">
        <v>624.95717916488661</v>
      </c>
    </row>
    <row r="15" spans="1:49" x14ac:dyDescent="0.25">
      <c r="A15" s="11">
        <v>43898</v>
      </c>
      <c r="B15" s="59"/>
      <c r="C15" s="60">
        <v>66.70983524322483</v>
      </c>
      <c r="D15" s="60">
        <v>938.59904855092634</v>
      </c>
      <c r="E15" s="60">
        <v>15.434558826188292</v>
      </c>
      <c r="F15" s="60">
        <v>0</v>
      </c>
      <c r="G15" s="60">
        <v>2718.7065854390571</v>
      </c>
      <c r="H15" s="61">
        <v>25.040974563360173</v>
      </c>
      <c r="I15" s="59">
        <v>71.239268064498901</v>
      </c>
      <c r="J15" s="60">
        <v>240.06457069714807</v>
      </c>
      <c r="K15" s="60">
        <v>13.487681241830245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167.62759162156863</v>
      </c>
      <c r="V15" s="62">
        <v>174.55983931122194</v>
      </c>
      <c r="W15" s="62">
        <v>24.60931946996045</v>
      </c>
      <c r="X15" s="62">
        <v>25.627039144801994</v>
      </c>
      <c r="Y15" s="66">
        <v>49.597225527935294</v>
      </c>
      <c r="Z15" s="66">
        <v>51.64832134547494</v>
      </c>
      <c r="AA15" s="67">
        <v>0</v>
      </c>
      <c r="AB15" s="68">
        <v>51.745891618728379</v>
      </c>
      <c r="AC15" s="69">
        <v>0</v>
      </c>
      <c r="AD15" s="406">
        <v>6.4698969071836743</v>
      </c>
      <c r="AE15" s="406">
        <v>6.239174990353292</v>
      </c>
      <c r="AF15" s="69">
        <v>12.448563264475927</v>
      </c>
      <c r="AG15" s="68">
        <v>5.9999950351770757</v>
      </c>
      <c r="AH15" s="68">
        <v>6.2481251390470751</v>
      </c>
      <c r="AI15" s="68">
        <v>0.48987068626285268</v>
      </c>
      <c r="AJ15" s="69">
        <v>251.34239935874942</v>
      </c>
      <c r="AK15" s="69">
        <v>918.70246432622275</v>
      </c>
      <c r="AL15" s="69">
        <v>3010.8674777984625</v>
      </c>
      <c r="AM15" s="69">
        <v>479.65310668945313</v>
      </c>
      <c r="AN15" s="69">
        <v>4504.165283203125</v>
      </c>
      <c r="AO15" s="69">
        <v>2311.1856885274251</v>
      </c>
      <c r="AP15" s="69">
        <v>522.75515281359367</v>
      </c>
      <c r="AQ15" s="69">
        <v>1609.9058479309078</v>
      </c>
      <c r="AR15" s="69">
        <v>447.00929466883343</v>
      </c>
      <c r="AS15" s="69">
        <v>634.52607285181682</v>
      </c>
    </row>
    <row r="16" spans="1:49" x14ac:dyDescent="0.25">
      <c r="A16" s="11">
        <v>43899</v>
      </c>
      <c r="B16" s="59"/>
      <c r="C16" s="60">
        <v>65.660935572783629</v>
      </c>
      <c r="D16" s="60">
        <v>939.79131037394279</v>
      </c>
      <c r="E16" s="60">
        <v>15.468007588883255</v>
      </c>
      <c r="F16" s="60">
        <v>0</v>
      </c>
      <c r="G16" s="60">
        <v>2733.1148558298664</v>
      </c>
      <c r="H16" s="61">
        <v>25.082800076405306</v>
      </c>
      <c r="I16" s="59">
        <v>71.171384632587433</v>
      </c>
      <c r="J16" s="60">
        <v>239.8615872383111</v>
      </c>
      <c r="K16" s="60">
        <v>13.489204245805748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165.22272669364119</v>
      </c>
      <c r="V16" s="62">
        <v>172.10722796232554</v>
      </c>
      <c r="W16" s="62">
        <v>23.301323643089475</v>
      </c>
      <c r="X16" s="62">
        <v>24.272243294357086</v>
      </c>
      <c r="Y16" s="66">
        <v>48.860517715085102</v>
      </c>
      <c r="Z16" s="66">
        <v>50.896437972119713</v>
      </c>
      <c r="AA16" s="67">
        <v>0</v>
      </c>
      <c r="AB16" s="68">
        <v>51.751324303944457</v>
      </c>
      <c r="AC16" s="69">
        <v>0</v>
      </c>
      <c r="AD16" s="406">
        <v>6.4633335007804824</v>
      </c>
      <c r="AE16" s="406">
        <v>6.2467045303731572</v>
      </c>
      <c r="AF16" s="69">
        <v>12.21692883140509</v>
      </c>
      <c r="AG16" s="68">
        <v>5.8857706515921651</v>
      </c>
      <c r="AH16" s="68">
        <v>6.1310189677829836</v>
      </c>
      <c r="AI16" s="68">
        <v>0.48979559749488349</v>
      </c>
      <c r="AJ16" s="69">
        <v>244.97523810068765</v>
      </c>
      <c r="AK16" s="69">
        <v>919.83750136693334</v>
      </c>
      <c r="AL16" s="69">
        <v>2894.447438176473</v>
      </c>
      <c r="AM16" s="69">
        <v>479.65310668945313</v>
      </c>
      <c r="AN16" s="69">
        <v>4504.165283203125</v>
      </c>
      <c r="AO16" s="69">
        <v>2301.2610315958659</v>
      </c>
      <c r="AP16" s="69">
        <v>546.24727511405933</v>
      </c>
      <c r="AQ16" s="69">
        <v>1665.9017915089926</v>
      </c>
      <c r="AR16" s="69">
        <v>467.20359538396195</v>
      </c>
      <c r="AS16" s="69">
        <v>556.88930724461875</v>
      </c>
    </row>
    <row r="17" spans="1:45" x14ac:dyDescent="0.25">
      <c r="A17" s="11">
        <v>43900</v>
      </c>
      <c r="B17" s="49"/>
      <c r="C17" s="50">
        <v>65.325586227575769</v>
      </c>
      <c r="D17" s="50">
        <v>943.53947950998929</v>
      </c>
      <c r="E17" s="50">
        <v>15.499310813347488</v>
      </c>
      <c r="F17" s="50">
        <v>0</v>
      </c>
      <c r="G17" s="50">
        <v>2617.7087918599464</v>
      </c>
      <c r="H17" s="51">
        <v>24.909277721246081</v>
      </c>
      <c r="I17" s="49">
        <v>71.538653441270185</v>
      </c>
      <c r="J17" s="50">
        <v>241.41944298744164</v>
      </c>
      <c r="K17" s="50">
        <v>13.389068422714848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162.98352830766839</v>
      </c>
      <c r="V17" s="66">
        <v>169.56844969763395</v>
      </c>
      <c r="W17" s="62">
        <v>23.701492910806905</v>
      </c>
      <c r="X17" s="62">
        <v>24.659089480614053</v>
      </c>
      <c r="Y17" s="66">
        <v>48.508512428822733</v>
      </c>
      <c r="Z17" s="66">
        <v>50.468371467369117</v>
      </c>
      <c r="AA17" s="67">
        <v>0</v>
      </c>
      <c r="AB17" s="68">
        <v>51.942328307363304</v>
      </c>
      <c r="AC17" s="69">
        <v>0</v>
      </c>
      <c r="AD17" s="406">
        <v>6.507573665520459</v>
      </c>
      <c r="AE17" s="406">
        <v>6.2361601067125347</v>
      </c>
      <c r="AF17" s="69">
        <v>12.058791597353077</v>
      </c>
      <c r="AG17" s="68">
        <v>5.8067765133634976</v>
      </c>
      <c r="AH17" s="68">
        <v>6.0413840670631291</v>
      </c>
      <c r="AI17" s="68">
        <v>0.4900994102794653</v>
      </c>
      <c r="AJ17" s="69">
        <v>247.08293447494506</v>
      </c>
      <c r="AK17" s="69">
        <v>938.45488913853956</v>
      </c>
      <c r="AL17" s="69">
        <v>3138.7483959197998</v>
      </c>
      <c r="AM17" s="69">
        <v>479.65310668945313</v>
      </c>
      <c r="AN17" s="69">
        <v>4504.165283203125</v>
      </c>
      <c r="AO17" s="69">
        <v>2306.9330387115483</v>
      </c>
      <c r="AP17" s="69">
        <v>547.36328002611799</v>
      </c>
      <c r="AQ17" s="69">
        <v>1663.7832229614257</v>
      </c>
      <c r="AR17" s="69">
        <v>464.37254479726153</v>
      </c>
      <c r="AS17" s="69">
        <v>588.82879549662277</v>
      </c>
    </row>
    <row r="18" spans="1:45" x14ac:dyDescent="0.25">
      <c r="A18" s="11">
        <v>43901</v>
      </c>
      <c r="B18" s="59"/>
      <c r="C18" s="60">
        <v>65.278715650240429</v>
      </c>
      <c r="D18" s="60">
        <v>958.01884021759156</v>
      </c>
      <c r="E18" s="60">
        <v>15.485545234878879</v>
      </c>
      <c r="F18" s="60">
        <v>0</v>
      </c>
      <c r="G18" s="60">
        <v>2755.9722155253098</v>
      </c>
      <c r="H18" s="61">
        <v>24.989109947284067</v>
      </c>
      <c r="I18" s="59">
        <v>72.444667518138885</v>
      </c>
      <c r="J18" s="60">
        <v>240.78519725799489</v>
      </c>
      <c r="K18" s="60">
        <v>12.800060422221812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164.52025032301876</v>
      </c>
      <c r="V18" s="62">
        <v>171.42765612873637</v>
      </c>
      <c r="W18" s="62">
        <v>24.453183437030383</v>
      </c>
      <c r="X18" s="62">
        <v>25.479853776454181</v>
      </c>
      <c r="Y18" s="66">
        <v>49.169937051885391</v>
      </c>
      <c r="Z18" s="66">
        <v>51.234343761649818</v>
      </c>
      <c r="AA18" s="67">
        <v>0</v>
      </c>
      <c r="AB18" s="68">
        <v>51.750016403197712</v>
      </c>
      <c r="AC18" s="69">
        <v>0</v>
      </c>
      <c r="AD18" s="406">
        <v>6.4893521041338644</v>
      </c>
      <c r="AE18" s="406">
        <v>6.2344980477906873</v>
      </c>
      <c r="AF18" s="69">
        <v>12.320295266310383</v>
      </c>
      <c r="AG18" s="68">
        <v>5.9346212039589314</v>
      </c>
      <c r="AH18" s="68">
        <v>6.1837871083292164</v>
      </c>
      <c r="AI18" s="68">
        <v>0.48971952842529537</v>
      </c>
      <c r="AJ18" s="69">
        <v>250.46877504984533</v>
      </c>
      <c r="AK18" s="69">
        <v>951.57563870747924</v>
      </c>
      <c r="AL18" s="69">
        <v>2958.3883356730139</v>
      </c>
      <c r="AM18" s="69">
        <v>479.65310668945313</v>
      </c>
      <c r="AN18" s="69">
        <v>4504.165283203125</v>
      </c>
      <c r="AO18" s="69">
        <v>2302.5416689554854</v>
      </c>
      <c r="AP18" s="69">
        <v>548.33358128865552</v>
      </c>
      <c r="AQ18" s="69">
        <v>1644.275783665975</v>
      </c>
      <c r="AR18" s="69">
        <v>459.22336441675822</v>
      </c>
      <c r="AS18" s="69">
        <v>658.15288883845005</v>
      </c>
    </row>
    <row r="19" spans="1:45" x14ac:dyDescent="0.25">
      <c r="A19" s="11">
        <v>43902</v>
      </c>
      <c r="B19" s="59"/>
      <c r="C19" s="60">
        <v>65.654020003477939</v>
      </c>
      <c r="D19" s="60">
        <v>962.67009766896547</v>
      </c>
      <c r="E19" s="60">
        <v>15.506407566368575</v>
      </c>
      <c r="F19" s="60">
        <v>0</v>
      </c>
      <c r="G19" s="60">
        <v>2803.0918534596799</v>
      </c>
      <c r="H19" s="61">
        <v>25.093251406153019</v>
      </c>
      <c r="I19" s="59">
        <v>71.312939882278442</v>
      </c>
      <c r="J19" s="60">
        <v>240.53298608461964</v>
      </c>
      <c r="K19" s="60">
        <v>12.811464559038486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165.37508992875649</v>
      </c>
      <c r="V19" s="62">
        <v>172.26701750498711</v>
      </c>
      <c r="W19" s="62">
        <v>24.339884113059576</v>
      </c>
      <c r="X19" s="62">
        <v>25.354237112615429</v>
      </c>
      <c r="Y19" s="66">
        <v>49.454937329880416</v>
      </c>
      <c r="Z19" s="66">
        <v>51.515948129701563</v>
      </c>
      <c r="AA19" s="67">
        <v>0</v>
      </c>
      <c r="AB19" s="68">
        <v>51.601854870054105</v>
      </c>
      <c r="AC19" s="69">
        <v>0</v>
      </c>
      <c r="AD19" s="406">
        <v>6.483982757388036</v>
      </c>
      <c r="AE19" s="406">
        <v>6.235875093695344</v>
      </c>
      <c r="AF19" s="69">
        <v>12.448982642756572</v>
      </c>
      <c r="AG19" s="68">
        <v>5.9994454704584443</v>
      </c>
      <c r="AH19" s="68">
        <v>6.2494694837349112</v>
      </c>
      <c r="AI19" s="68">
        <v>0.48979403423848278</v>
      </c>
      <c r="AJ19" s="69">
        <v>232.25780785878499</v>
      </c>
      <c r="AK19" s="69">
        <v>911.04242506027219</v>
      </c>
      <c r="AL19" s="69">
        <v>2988.954264322917</v>
      </c>
      <c r="AM19" s="69">
        <v>479.65310668945313</v>
      </c>
      <c r="AN19" s="69">
        <v>4504.165283203125</v>
      </c>
      <c r="AO19" s="69">
        <v>2309.6476904551191</v>
      </c>
      <c r="AP19" s="69">
        <v>551.35945556958507</v>
      </c>
      <c r="AQ19" s="69">
        <v>1625.3478223164873</v>
      </c>
      <c r="AR19" s="69">
        <v>476.14534028371173</v>
      </c>
      <c r="AS19" s="69">
        <v>551.46612221399937</v>
      </c>
    </row>
    <row r="20" spans="1:45" x14ac:dyDescent="0.25">
      <c r="A20" s="11">
        <v>43903</v>
      </c>
      <c r="B20" s="59"/>
      <c r="C20" s="60">
        <v>66.165074626605062</v>
      </c>
      <c r="D20" s="60">
        <v>968.55857474008997</v>
      </c>
      <c r="E20" s="60">
        <v>15.867302474876208</v>
      </c>
      <c r="F20" s="60">
        <v>0</v>
      </c>
      <c r="G20" s="60">
        <v>2914.4425584157329</v>
      </c>
      <c r="H20" s="61">
        <v>25.182303992907233</v>
      </c>
      <c r="I20" s="59">
        <v>71.253439545631409</v>
      </c>
      <c r="J20" s="60">
        <v>240.43136763572613</v>
      </c>
      <c r="K20" s="60">
        <v>12.797798917690926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157.69947128081489</v>
      </c>
      <c r="V20" s="62">
        <v>159.86636877274148</v>
      </c>
      <c r="W20" s="62">
        <v>22.860138891155444</v>
      </c>
      <c r="X20" s="62">
        <v>23.174252674962176</v>
      </c>
      <c r="Y20" s="66">
        <v>46.330932568509915</v>
      </c>
      <c r="Z20" s="66">
        <v>46.967550946275757</v>
      </c>
      <c r="AA20" s="67">
        <v>0</v>
      </c>
      <c r="AB20" s="68">
        <v>51.740325877402114</v>
      </c>
      <c r="AC20" s="69">
        <v>0</v>
      </c>
      <c r="AD20" s="406">
        <v>6.4795164764912183</v>
      </c>
      <c r="AE20" s="406">
        <v>6.2742257095210565</v>
      </c>
      <c r="AF20" s="69">
        <v>11.712378101547552</v>
      </c>
      <c r="AG20" s="68">
        <v>5.7174287904051724</v>
      </c>
      <c r="AH20" s="68">
        <v>5.7959901324665966</v>
      </c>
      <c r="AI20" s="68">
        <v>0.49658827049603138</v>
      </c>
      <c r="AJ20" s="69">
        <v>252.7576393763224</v>
      </c>
      <c r="AK20" s="69">
        <v>977.02876033782957</v>
      </c>
      <c r="AL20" s="69">
        <v>3001.068684895833</v>
      </c>
      <c r="AM20" s="69">
        <v>479.65310668945313</v>
      </c>
      <c r="AN20" s="69">
        <v>4504.165283203125</v>
      </c>
      <c r="AO20" s="69">
        <v>2310.6826291402181</v>
      </c>
      <c r="AP20" s="69">
        <v>613.90429490407314</v>
      </c>
      <c r="AQ20" s="69">
        <v>1703.1658395131431</v>
      </c>
      <c r="AR20" s="69">
        <v>513.19492292404163</v>
      </c>
      <c r="AS20" s="69">
        <v>571.25749902725215</v>
      </c>
    </row>
    <row r="21" spans="1:45" x14ac:dyDescent="0.25">
      <c r="A21" s="11">
        <v>43904</v>
      </c>
      <c r="B21" s="59"/>
      <c r="C21" s="60">
        <v>66.541506381830018</v>
      </c>
      <c r="D21" s="60">
        <v>955.94790070851354</v>
      </c>
      <c r="E21" s="60">
        <v>15.519766433537006</v>
      </c>
      <c r="F21" s="60">
        <v>0</v>
      </c>
      <c r="G21" s="60">
        <v>2870.8530546824177</v>
      </c>
      <c r="H21" s="61">
        <v>25.055422176917368</v>
      </c>
      <c r="I21" s="59">
        <v>71.36267974774043</v>
      </c>
      <c r="J21" s="60">
        <v>240.54287517865444</v>
      </c>
      <c r="K21" s="60">
        <v>13.021065995097176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159.85145386795341</v>
      </c>
      <c r="V21" s="62">
        <v>166.40588359627165</v>
      </c>
      <c r="W21" s="62">
        <v>22.357395369533961</v>
      </c>
      <c r="X21" s="62">
        <v>23.274121325488597</v>
      </c>
      <c r="Y21" s="66">
        <v>43.914362683084569</v>
      </c>
      <c r="Z21" s="66">
        <v>45.714994440290397</v>
      </c>
      <c r="AA21" s="67">
        <v>0</v>
      </c>
      <c r="AB21" s="68">
        <v>51.962876428497893</v>
      </c>
      <c r="AC21" s="69">
        <v>0</v>
      </c>
      <c r="AD21" s="406">
        <v>6.4826700681932827</v>
      </c>
      <c r="AE21" s="406">
        <v>6.2424296116127564</v>
      </c>
      <c r="AF21" s="69">
        <v>11.991342778338328</v>
      </c>
      <c r="AG21" s="68">
        <v>5.7985252851235094</v>
      </c>
      <c r="AH21" s="68">
        <v>6.0362836888763693</v>
      </c>
      <c r="AI21" s="68">
        <v>0.48995512288051307</v>
      </c>
      <c r="AJ21" s="69">
        <v>250.91912213961282</v>
      </c>
      <c r="AK21" s="69">
        <v>943.03984251022337</v>
      </c>
      <c r="AL21" s="69">
        <v>3028.66552734375</v>
      </c>
      <c r="AM21" s="69">
        <v>479.65310668945313</v>
      </c>
      <c r="AN21" s="69">
        <v>4504.165283203125</v>
      </c>
      <c r="AO21" s="69">
        <v>2347.3883074442551</v>
      </c>
      <c r="AP21" s="69">
        <v>609.09837245941173</v>
      </c>
      <c r="AQ21" s="69">
        <v>1719.3893536249793</v>
      </c>
      <c r="AR21" s="69">
        <v>500.94539302190145</v>
      </c>
      <c r="AS21" s="69">
        <v>549.4208301226297</v>
      </c>
    </row>
    <row r="22" spans="1:45" x14ac:dyDescent="0.25">
      <c r="A22" s="11">
        <v>43905</v>
      </c>
      <c r="B22" s="59"/>
      <c r="C22" s="60">
        <v>65.903605000178445</v>
      </c>
      <c r="D22" s="60">
        <v>955.2114020665457</v>
      </c>
      <c r="E22" s="60">
        <v>15.544397272169588</v>
      </c>
      <c r="F22" s="60">
        <v>0</v>
      </c>
      <c r="G22" s="60">
        <v>2737.0019973754856</v>
      </c>
      <c r="H22" s="61">
        <v>25.147703339656193</v>
      </c>
      <c r="I22" s="59">
        <v>72.50241219997406</v>
      </c>
      <c r="J22" s="60">
        <v>237.76973479588773</v>
      </c>
      <c r="K22" s="60">
        <v>12.900124953190488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165.71099981445113</v>
      </c>
      <c r="V22" s="62">
        <v>172.61853338104419</v>
      </c>
      <c r="W22" s="62">
        <v>23.025530802052224</v>
      </c>
      <c r="X22" s="62">
        <v>23.985332064985212</v>
      </c>
      <c r="Y22" s="66">
        <v>44.905452737745669</v>
      </c>
      <c r="Z22" s="66">
        <v>46.777301453017174</v>
      </c>
      <c r="AA22" s="67">
        <v>0</v>
      </c>
      <c r="AB22" s="68">
        <v>51.745111285315325</v>
      </c>
      <c r="AC22" s="69">
        <v>0</v>
      </c>
      <c r="AD22" s="406">
        <v>6.4069994048507377</v>
      </c>
      <c r="AE22" s="406">
        <v>6.2412937142922615</v>
      </c>
      <c r="AF22" s="69">
        <v>12.39012781977655</v>
      </c>
      <c r="AG22" s="68">
        <v>5.9992477127845634</v>
      </c>
      <c r="AH22" s="68">
        <v>6.2493216668175906</v>
      </c>
      <c r="AI22" s="68">
        <v>0.48979170765650876</v>
      </c>
      <c r="AJ22" s="69">
        <v>236.08092403411868</v>
      </c>
      <c r="AK22" s="69">
        <v>920.69748954772967</v>
      </c>
      <c r="AL22" s="69">
        <v>3028.66552734375</v>
      </c>
      <c r="AM22" s="69">
        <v>479.65310668945313</v>
      </c>
      <c r="AN22" s="69">
        <v>4504.165283203125</v>
      </c>
      <c r="AO22" s="69">
        <v>2285.9291800181072</v>
      </c>
      <c r="AP22" s="69">
        <v>559.20385015805573</v>
      </c>
      <c r="AQ22" s="69">
        <v>1672.5424706141155</v>
      </c>
      <c r="AR22" s="69">
        <v>476.05727659861259</v>
      </c>
      <c r="AS22" s="69">
        <v>553.86014715830493</v>
      </c>
    </row>
    <row r="23" spans="1:45" x14ac:dyDescent="0.25">
      <c r="A23" s="11">
        <v>43906</v>
      </c>
      <c r="B23" s="59"/>
      <c r="C23" s="60">
        <v>65.965990630785996</v>
      </c>
      <c r="D23" s="60">
        <v>955.30862261453922</v>
      </c>
      <c r="E23" s="60">
        <v>15.588549152016659</v>
      </c>
      <c r="F23" s="60">
        <v>0</v>
      </c>
      <c r="G23" s="60">
        <v>2683.9810649871856</v>
      </c>
      <c r="H23" s="61">
        <v>25.021784317493424</v>
      </c>
      <c r="I23" s="59">
        <v>72.657196223735809</v>
      </c>
      <c r="J23" s="60">
        <v>237.83565457661902</v>
      </c>
      <c r="K23" s="60">
        <v>12.908418443799018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164.24454976581546</v>
      </c>
      <c r="V23" s="62">
        <v>171.06684638795173</v>
      </c>
      <c r="W23" s="62">
        <v>22.314391599251387</v>
      </c>
      <c r="X23" s="62">
        <v>23.241274096415889</v>
      </c>
      <c r="Y23" s="66">
        <v>44.991952085113617</v>
      </c>
      <c r="Z23" s="66">
        <v>46.860802181943271</v>
      </c>
      <c r="AA23" s="67">
        <v>0</v>
      </c>
      <c r="AB23" s="68">
        <v>51.749102099736049</v>
      </c>
      <c r="AC23" s="69">
        <v>0</v>
      </c>
      <c r="AD23" s="406">
        <v>6.4100177725262046</v>
      </c>
      <c r="AE23" s="406">
        <v>6.2416842238752857</v>
      </c>
      <c r="AF23" s="69">
        <v>12.276140039496935</v>
      </c>
      <c r="AG23" s="68">
        <v>5.9452151255865786</v>
      </c>
      <c r="AH23" s="68">
        <v>6.1921640875277486</v>
      </c>
      <c r="AI23" s="68">
        <v>0.48982692401691036</v>
      </c>
      <c r="AJ23" s="69">
        <v>245.7596679210663</v>
      </c>
      <c r="AK23" s="69">
        <v>943.09628807703666</v>
      </c>
      <c r="AL23" s="69">
        <v>3028.66552734375</v>
      </c>
      <c r="AM23" s="69">
        <v>479.65310668945313</v>
      </c>
      <c r="AN23" s="69">
        <v>4504.165283203125</v>
      </c>
      <c r="AO23" s="69">
        <v>2311.3137877146401</v>
      </c>
      <c r="AP23" s="69">
        <v>536.8824710528055</v>
      </c>
      <c r="AQ23" s="69">
        <v>1663.5975892384843</v>
      </c>
      <c r="AR23" s="69">
        <v>466.79142052332566</v>
      </c>
      <c r="AS23" s="69">
        <v>600.42341712315874</v>
      </c>
    </row>
    <row r="24" spans="1:45" x14ac:dyDescent="0.25">
      <c r="A24" s="11">
        <v>43907</v>
      </c>
      <c r="B24" s="59"/>
      <c r="C24" s="60">
        <v>65.705563167731313</v>
      </c>
      <c r="D24" s="60">
        <v>955.59672940572102</v>
      </c>
      <c r="E24" s="60">
        <v>15.60785965820153</v>
      </c>
      <c r="F24" s="60">
        <v>0</v>
      </c>
      <c r="G24" s="60">
        <v>2742.6079542795846</v>
      </c>
      <c r="H24" s="61">
        <v>25.141406832138657</v>
      </c>
      <c r="I24" s="59">
        <v>70.867463946342468</v>
      </c>
      <c r="J24" s="60">
        <v>237.99313640594474</v>
      </c>
      <c r="K24" s="60">
        <v>12.891382022698714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165.88465889083312</v>
      </c>
      <c r="V24" s="62">
        <v>172.83188551478412</v>
      </c>
      <c r="W24" s="62">
        <v>22.651371855310071</v>
      </c>
      <c r="X24" s="62">
        <v>23.600008182951338</v>
      </c>
      <c r="Y24" s="66">
        <v>43.673104571627256</v>
      </c>
      <c r="Z24" s="66">
        <v>45.502128164642407</v>
      </c>
      <c r="AA24" s="67">
        <v>0</v>
      </c>
      <c r="AB24" s="68">
        <v>51.746887432203899</v>
      </c>
      <c r="AC24" s="69">
        <v>0</v>
      </c>
      <c r="AD24" s="406">
        <v>6.4139864389524313</v>
      </c>
      <c r="AE24" s="406">
        <v>6.2434209702504022</v>
      </c>
      <c r="AF24" s="69">
        <v>12.400675507386524</v>
      </c>
      <c r="AG24" s="68">
        <v>5.9989512064097195</v>
      </c>
      <c r="AH24" s="68">
        <v>6.2501864551398558</v>
      </c>
      <c r="AI24" s="68">
        <v>0.4897447781357388</v>
      </c>
      <c r="AJ24" s="69">
        <v>243.61952079137163</v>
      </c>
      <c r="AK24" s="69">
        <v>931.48492949803665</v>
      </c>
      <c r="AL24" s="69">
        <v>3028.66552734375</v>
      </c>
      <c r="AM24" s="69">
        <v>479.65310668945313</v>
      </c>
      <c r="AN24" s="69">
        <v>4504.165283203125</v>
      </c>
      <c r="AO24" s="69">
        <v>2292.2683041890464</v>
      </c>
      <c r="AP24" s="69">
        <v>543.51368338267002</v>
      </c>
      <c r="AQ24" s="69">
        <v>1691.8019966761271</v>
      </c>
      <c r="AR24" s="69">
        <v>468.69164257049556</v>
      </c>
      <c r="AS24" s="69">
        <v>562.71744073232014</v>
      </c>
    </row>
    <row r="25" spans="1:45" x14ac:dyDescent="0.25">
      <c r="A25" s="11">
        <v>43908</v>
      </c>
      <c r="B25" s="59"/>
      <c r="C25" s="60">
        <v>65.837545629343168</v>
      </c>
      <c r="D25" s="60">
        <v>956.59332110086939</v>
      </c>
      <c r="E25" s="60">
        <v>15.607772299647328</v>
      </c>
      <c r="F25" s="60">
        <v>0</v>
      </c>
      <c r="G25" s="60">
        <v>2735.600975799563</v>
      </c>
      <c r="H25" s="61">
        <v>25.053442582488081</v>
      </c>
      <c r="I25" s="59">
        <v>85.526304956277372</v>
      </c>
      <c r="J25" s="60">
        <v>326.33216325442004</v>
      </c>
      <c r="K25" s="60">
        <v>17.771013688047731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212.71086679206462</v>
      </c>
      <c r="V25" s="62">
        <v>156.84094545404736</v>
      </c>
      <c r="W25" s="62">
        <v>29.654112515593432</v>
      </c>
      <c r="X25" s="62">
        <v>21.86526299144338</v>
      </c>
      <c r="Y25" s="66">
        <v>57.110756826883282</v>
      </c>
      <c r="Z25" s="66">
        <v>42.110237391307201</v>
      </c>
      <c r="AA25" s="67">
        <v>0</v>
      </c>
      <c r="AB25" s="68">
        <v>59.472068680657713</v>
      </c>
      <c r="AC25" s="69">
        <v>0</v>
      </c>
      <c r="AD25" s="406">
        <v>8.7999718751344815</v>
      </c>
      <c r="AE25" s="406">
        <v>6.2497506834037875</v>
      </c>
      <c r="AF25" s="69">
        <v>13.987353054020145</v>
      </c>
      <c r="AG25" s="68">
        <v>7.9581753508938426</v>
      </c>
      <c r="AH25" s="68">
        <v>5.867907761117964</v>
      </c>
      <c r="AI25" s="68">
        <v>0.57559145901415487</v>
      </c>
      <c r="AJ25" s="69">
        <v>229.26255257924402</v>
      </c>
      <c r="AK25" s="69">
        <v>909.96744038263955</v>
      </c>
      <c r="AL25" s="69">
        <v>3028.66552734375</v>
      </c>
      <c r="AM25" s="69">
        <v>479.65310668945313</v>
      </c>
      <c r="AN25" s="69">
        <v>4504.165283203125</v>
      </c>
      <c r="AO25" s="69">
        <v>2299.4759665171305</v>
      </c>
      <c r="AP25" s="69">
        <v>523.42772884368901</v>
      </c>
      <c r="AQ25" s="69">
        <v>1894.4600026448568</v>
      </c>
      <c r="AR25" s="69">
        <v>456.51613105138148</v>
      </c>
      <c r="AS25" s="69">
        <v>635.41425956090302</v>
      </c>
    </row>
    <row r="26" spans="1:45" x14ac:dyDescent="0.25">
      <c r="A26" s="11">
        <v>43909</v>
      </c>
      <c r="B26" s="59"/>
      <c r="C26" s="60">
        <v>65.574680407842564</v>
      </c>
      <c r="D26" s="60">
        <v>958.24567508697521</v>
      </c>
      <c r="E26" s="60">
        <v>15.386383254826066</v>
      </c>
      <c r="F26" s="60">
        <v>0</v>
      </c>
      <c r="G26" s="60">
        <v>2875.5717147827127</v>
      </c>
      <c r="H26" s="61">
        <v>24.969169053435305</v>
      </c>
      <c r="I26" s="59">
        <v>78.723005473613753</v>
      </c>
      <c r="J26" s="60">
        <v>299.38041281700083</v>
      </c>
      <c r="K26" s="60">
        <v>16.173495251933751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199.66385763593584</v>
      </c>
      <c r="V26" s="62">
        <v>162.69885008492415</v>
      </c>
      <c r="W26" s="62">
        <v>28.498900064247518</v>
      </c>
      <c r="X26" s="62">
        <v>23.222722049139218</v>
      </c>
      <c r="Y26" s="66">
        <v>57.355363791945834</v>
      </c>
      <c r="Z26" s="66">
        <v>46.736809784409147</v>
      </c>
      <c r="AA26" s="67">
        <v>0</v>
      </c>
      <c r="AB26" s="68">
        <v>57.935920225249511</v>
      </c>
      <c r="AC26" s="69">
        <v>0</v>
      </c>
      <c r="AD26" s="406">
        <v>8.0670643993557078</v>
      </c>
      <c r="AE26" s="406">
        <v>6.2603311596964524</v>
      </c>
      <c r="AF26" s="69">
        <v>13.679480479160929</v>
      </c>
      <c r="AG26" s="68">
        <v>7.4379825192977025</v>
      </c>
      <c r="AH26" s="68">
        <v>6.060942712266308</v>
      </c>
      <c r="AI26" s="68">
        <v>0.55100553501146576</v>
      </c>
      <c r="AJ26" s="69">
        <v>252.31940013567603</v>
      </c>
      <c r="AK26" s="69">
        <v>964.12505499521899</v>
      </c>
      <c r="AL26" s="69">
        <v>3028.66552734375</v>
      </c>
      <c r="AM26" s="69">
        <v>479.65310668945313</v>
      </c>
      <c r="AN26" s="69">
        <v>4504.165283203125</v>
      </c>
      <c r="AO26" s="69">
        <v>2360.3687235514321</v>
      </c>
      <c r="AP26" s="69">
        <v>590.59763078689571</v>
      </c>
      <c r="AQ26" s="69">
        <v>1872.9239051818845</v>
      </c>
      <c r="AR26" s="69">
        <v>510.9601761182148</v>
      </c>
      <c r="AS26" s="69">
        <v>573.9401272137959</v>
      </c>
    </row>
    <row r="27" spans="1:45" x14ac:dyDescent="0.25">
      <c r="A27" s="11">
        <v>43910</v>
      </c>
      <c r="B27" s="59"/>
      <c r="C27" s="60">
        <v>66.208624382813909</v>
      </c>
      <c r="D27" s="60">
        <v>952.51525713602723</v>
      </c>
      <c r="E27" s="60">
        <v>15.360471816857638</v>
      </c>
      <c r="F27" s="60">
        <v>0</v>
      </c>
      <c r="G27" s="60">
        <v>3105.5850716908831</v>
      </c>
      <c r="H27" s="61">
        <v>25.155497344334904</v>
      </c>
      <c r="I27" s="59">
        <v>70.593081831932068</v>
      </c>
      <c r="J27" s="60">
        <v>237.98247596422789</v>
      </c>
      <c r="K27" s="60">
        <v>12.64659450550873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162.21508625247984</v>
      </c>
      <c r="V27" s="62">
        <v>168.9930084927345</v>
      </c>
      <c r="W27" s="62">
        <v>23.327088589798866</v>
      </c>
      <c r="X27" s="62">
        <v>24.301777172752853</v>
      </c>
      <c r="Y27" s="66">
        <v>39.550365901849503</v>
      </c>
      <c r="Z27" s="66">
        <v>41.202920610843208</v>
      </c>
      <c r="AA27" s="67">
        <v>0</v>
      </c>
      <c r="AB27" s="68">
        <v>52.393065796958687</v>
      </c>
      <c r="AC27" s="69">
        <v>0</v>
      </c>
      <c r="AD27" s="406">
        <v>6.4133315791634775</v>
      </c>
      <c r="AE27" s="406">
        <v>6.2528718778707919</v>
      </c>
      <c r="AF27" s="69">
        <v>12.289342089162941</v>
      </c>
      <c r="AG27" s="68">
        <v>5.9448043562264496</v>
      </c>
      <c r="AH27" s="68">
        <v>6.1931993889628956</v>
      </c>
      <c r="AI27" s="68">
        <v>0.48976787954794909</v>
      </c>
      <c r="AJ27" s="69">
        <v>278.34118396441136</v>
      </c>
      <c r="AK27" s="69">
        <v>1012.0718984921774</v>
      </c>
      <c r="AL27" s="69">
        <v>3028.66552734375</v>
      </c>
      <c r="AM27" s="69">
        <v>479.65310668945313</v>
      </c>
      <c r="AN27" s="69">
        <v>4504.165283203125</v>
      </c>
      <c r="AO27" s="69">
        <v>2342.6277990976973</v>
      </c>
      <c r="AP27" s="69">
        <v>866.01003398895239</v>
      </c>
      <c r="AQ27" s="69">
        <v>1721.7540913899738</v>
      </c>
      <c r="AR27" s="69">
        <v>527.76215089162201</v>
      </c>
      <c r="AS27" s="69">
        <v>584.07481314341226</v>
      </c>
    </row>
    <row r="28" spans="1:45" x14ac:dyDescent="0.25">
      <c r="A28" s="11">
        <v>43911</v>
      </c>
      <c r="B28" s="59"/>
      <c r="C28" s="60">
        <v>66.246434899171433</v>
      </c>
      <c r="D28" s="60">
        <v>938.72265396118098</v>
      </c>
      <c r="E28" s="60">
        <v>15.536997264126928</v>
      </c>
      <c r="F28" s="60">
        <v>0</v>
      </c>
      <c r="G28" s="60">
        <v>2845.3605829874728</v>
      </c>
      <c r="H28" s="61">
        <v>25.112138718366602</v>
      </c>
      <c r="I28" s="59">
        <v>70.482558310031891</v>
      </c>
      <c r="J28" s="60">
        <v>237.34771658579444</v>
      </c>
      <c r="K28" s="60">
        <v>12.64378724296887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161.4171995082207</v>
      </c>
      <c r="V28" s="62">
        <v>168.18628720984887</v>
      </c>
      <c r="W28" s="62">
        <v>22.787228842460902</v>
      </c>
      <c r="X28" s="62">
        <v>23.742819392796488</v>
      </c>
      <c r="Y28" s="66">
        <v>38.698243581208395</v>
      </c>
      <c r="Z28" s="66">
        <v>40.321068196542079</v>
      </c>
      <c r="AA28" s="67">
        <v>0</v>
      </c>
      <c r="AB28" s="68">
        <v>52.402678306897094</v>
      </c>
      <c r="AC28" s="69">
        <v>0</v>
      </c>
      <c r="AD28" s="406">
        <v>6.3985457328483513</v>
      </c>
      <c r="AE28" s="406">
        <v>6.2393630490889436</v>
      </c>
      <c r="AF28" s="69">
        <v>12.391788891951258</v>
      </c>
      <c r="AG28" s="68">
        <v>5.999466201152341</v>
      </c>
      <c r="AH28" s="68">
        <v>6.2510559512055019</v>
      </c>
      <c r="AI28" s="68">
        <v>0.48973146830297609</v>
      </c>
      <c r="AJ28" s="69">
        <v>262.01994234720866</v>
      </c>
      <c r="AK28" s="69">
        <v>970.36999578475957</v>
      </c>
      <c r="AL28" s="69">
        <v>3028.66552734375</v>
      </c>
      <c r="AM28" s="69">
        <v>479.65310668945313</v>
      </c>
      <c r="AN28" s="69">
        <v>4504.165283203125</v>
      </c>
      <c r="AO28" s="69">
        <v>2313.3139671325685</v>
      </c>
      <c r="AP28" s="69">
        <v>656.38352351188666</v>
      </c>
      <c r="AQ28" s="69">
        <v>1737.6534130096438</v>
      </c>
      <c r="AR28" s="69">
        <v>482.47463390032442</v>
      </c>
      <c r="AS28" s="69">
        <v>547.49596923192348</v>
      </c>
    </row>
    <row r="29" spans="1:45" x14ac:dyDescent="0.25">
      <c r="A29" s="11">
        <v>43912</v>
      </c>
      <c r="B29" s="59"/>
      <c r="C29" s="60">
        <v>66.369000097116327</v>
      </c>
      <c r="D29" s="60">
        <v>939.6167774200436</v>
      </c>
      <c r="E29" s="60">
        <v>15.649099078277745</v>
      </c>
      <c r="F29" s="60">
        <v>0</v>
      </c>
      <c r="G29" s="60">
        <v>2746.9002746581978</v>
      </c>
      <c r="H29" s="61">
        <v>25.039815965294839</v>
      </c>
      <c r="I29" s="59">
        <v>70.957396268844604</v>
      </c>
      <c r="J29" s="60">
        <v>239.76339139938295</v>
      </c>
      <c r="K29" s="60">
        <v>12.85332976579666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154.0741674294205</v>
      </c>
      <c r="V29" s="62">
        <v>160.44946309426146</v>
      </c>
      <c r="W29" s="62">
        <v>21.459675932975259</v>
      </c>
      <c r="X29" s="62">
        <v>22.347636460213288</v>
      </c>
      <c r="Y29" s="66">
        <v>36.776866724548462</v>
      </c>
      <c r="Z29" s="66">
        <v>38.29862344020848</v>
      </c>
      <c r="AA29" s="67">
        <v>0</v>
      </c>
      <c r="AB29" s="68">
        <v>52.209612120521911</v>
      </c>
      <c r="AC29" s="69">
        <v>0</v>
      </c>
      <c r="AD29" s="406">
        <v>6.4621195071395521</v>
      </c>
      <c r="AE29" s="406">
        <v>6.2451186751707972</v>
      </c>
      <c r="AF29" s="69">
        <v>11.720574816730279</v>
      </c>
      <c r="AG29" s="68">
        <v>5.6614825443582673</v>
      </c>
      <c r="AH29" s="68">
        <v>5.8957439116192916</v>
      </c>
      <c r="AI29" s="68">
        <v>0.48986515630919991</v>
      </c>
      <c r="AJ29" s="69">
        <v>241.4950487613678</v>
      </c>
      <c r="AK29" s="69">
        <v>934.72021013895676</v>
      </c>
      <c r="AL29" s="69">
        <v>3028.66552734375</v>
      </c>
      <c r="AM29" s="69">
        <v>479.65310668945313</v>
      </c>
      <c r="AN29" s="69">
        <v>4504.165283203125</v>
      </c>
      <c r="AO29" s="69">
        <v>2333.6317442576092</v>
      </c>
      <c r="AP29" s="69">
        <v>555.88255869547527</v>
      </c>
      <c r="AQ29" s="69">
        <v>1754.6070186614986</v>
      </c>
      <c r="AR29" s="69">
        <v>462.4110942204793</v>
      </c>
      <c r="AS29" s="69">
        <v>502.03152008056645</v>
      </c>
    </row>
    <row r="30" spans="1:45" x14ac:dyDescent="0.25">
      <c r="A30" s="11">
        <v>43913</v>
      </c>
      <c r="B30" s="59"/>
      <c r="C30" s="60">
        <v>65.502557249864438</v>
      </c>
      <c r="D30" s="60">
        <v>939.41257209777871</v>
      </c>
      <c r="E30" s="60">
        <v>15.622702397902813</v>
      </c>
      <c r="F30" s="60">
        <v>0</v>
      </c>
      <c r="G30" s="60">
        <v>2781.2001635233582</v>
      </c>
      <c r="H30" s="61">
        <v>25.012402665615085</v>
      </c>
      <c r="I30" s="59">
        <v>70.374475181102753</v>
      </c>
      <c r="J30" s="60">
        <v>237.06725719769707</v>
      </c>
      <c r="K30" s="60">
        <v>12.815356199940048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161.09150593377768</v>
      </c>
      <c r="V30" s="62">
        <v>167.81321413949917</v>
      </c>
      <c r="W30" s="62">
        <v>22.740512072998733</v>
      </c>
      <c r="X30" s="62">
        <v>23.689383248529367</v>
      </c>
      <c r="Y30" s="66">
        <v>38.016868827554056</v>
      </c>
      <c r="Z30" s="66">
        <v>39.60316164710877</v>
      </c>
      <c r="AA30" s="67">
        <v>0</v>
      </c>
      <c r="AB30" s="68">
        <v>51.749518285856823</v>
      </c>
      <c r="AC30" s="69">
        <v>0</v>
      </c>
      <c r="AD30" s="406">
        <v>6.3895964975899044</v>
      </c>
      <c r="AE30" s="406">
        <v>6.2436149258345512</v>
      </c>
      <c r="AF30" s="69">
        <v>12.207037512461332</v>
      </c>
      <c r="AG30" s="68">
        <v>5.9156195534422844</v>
      </c>
      <c r="AH30" s="68">
        <v>6.1624548428873132</v>
      </c>
      <c r="AI30" s="68">
        <v>0.4897816787119626</v>
      </c>
      <c r="AJ30" s="69">
        <v>238.69225169817605</v>
      </c>
      <c r="AK30" s="69">
        <v>926.07305930455539</v>
      </c>
      <c r="AL30" s="69">
        <v>3028.66552734375</v>
      </c>
      <c r="AM30" s="69">
        <v>479.65310668945313</v>
      </c>
      <c r="AN30" s="69">
        <v>4504.165283203125</v>
      </c>
      <c r="AO30" s="69">
        <v>2306.3003492991138</v>
      </c>
      <c r="AP30" s="69">
        <v>536.59639210700993</v>
      </c>
      <c r="AQ30" s="69">
        <v>1689.4328421910604</v>
      </c>
      <c r="AR30" s="69">
        <v>455.96277818679812</v>
      </c>
      <c r="AS30" s="69">
        <v>566.23642727533968</v>
      </c>
    </row>
    <row r="31" spans="1:45" x14ac:dyDescent="0.25">
      <c r="A31" s="11">
        <v>43914</v>
      </c>
      <c r="B31" s="59"/>
      <c r="C31" s="60">
        <v>66.390830794970512</v>
      </c>
      <c r="D31" s="60">
        <v>936.88229007720849</v>
      </c>
      <c r="E31" s="60">
        <v>15.385742983718711</v>
      </c>
      <c r="F31" s="60">
        <v>0</v>
      </c>
      <c r="G31" s="60">
        <v>2685.1926386515283</v>
      </c>
      <c r="H31" s="61">
        <v>24.999792594710964</v>
      </c>
      <c r="I31" s="59">
        <v>70.330303311347961</v>
      </c>
      <c r="J31" s="60">
        <v>237.28723481496118</v>
      </c>
      <c r="K31" s="60">
        <v>12.809199384848313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161.33014811277513</v>
      </c>
      <c r="V31" s="62">
        <v>164.66793227857943</v>
      </c>
      <c r="W31" s="62">
        <v>22.657453039813511</v>
      </c>
      <c r="X31" s="62">
        <v>23.126216559083815</v>
      </c>
      <c r="Y31" s="66">
        <v>37.991764337502936</v>
      </c>
      <c r="Z31" s="66">
        <v>38.777781773921838</v>
      </c>
      <c r="AA31" s="67">
        <v>0</v>
      </c>
      <c r="AB31" s="68">
        <v>51.74957029024722</v>
      </c>
      <c r="AC31" s="69">
        <v>0</v>
      </c>
      <c r="AD31" s="406">
        <v>6.3960437059784718</v>
      </c>
      <c r="AE31" s="406">
        <v>6.227184067913579</v>
      </c>
      <c r="AF31" s="69">
        <v>12.055813608898056</v>
      </c>
      <c r="AG31" s="68">
        <v>5.8925179709725048</v>
      </c>
      <c r="AH31" s="68">
        <v>6.0144291785818886</v>
      </c>
      <c r="AI31" s="68">
        <v>0.49488066898768646</v>
      </c>
      <c r="AJ31" s="69">
        <v>251.59234882990518</v>
      </c>
      <c r="AK31" s="69">
        <v>939.23303540547693</v>
      </c>
      <c r="AL31" s="69">
        <v>3028.66552734375</v>
      </c>
      <c r="AM31" s="69">
        <v>479.65310668945313</v>
      </c>
      <c r="AN31" s="69">
        <v>4504.165283203125</v>
      </c>
      <c r="AO31" s="69">
        <v>2317.617436091105</v>
      </c>
      <c r="AP31" s="69">
        <v>536.62939112981155</v>
      </c>
      <c r="AQ31" s="69">
        <v>1676.1701430638632</v>
      </c>
      <c r="AR31" s="69">
        <v>440.63069009780878</v>
      </c>
      <c r="AS31" s="69">
        <v>641.57097247441618</v>
      </c>
    </row>
    <row r="32" spans="1:45" x14ac:dyDescent="0.25">
      <c r="A32" s="11">
        <v>43915</v>
      </c>
      <c r="B32" s="59"/>
      <c r="C32" s="60">
        <v>66.340819847583887</v>
      </c>
      <c r="D32" s="60">
        <v>940.57007350921458</v>
      </c>
      <c r="E32" s="60">
        <v>15.233996399243667</v>
      </c>
      <c r="F32" s="60">
        <v>0</v>
      </c>
      <c r="G32" s="60">
        <v>2577.048470687861</v>
      </c>
      <c r="H32" s="61">
        <v>25.000828212499631</v>
      </c>
      <c r="I32" s="59">
        <v>68.659053981304169</v>
      </c>
      <c r="J32" s="60">
        <v>237.49222731590234</v>
      </c>
      <c r="K32" s="60">
        <v>12.8048956821362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164.27675578067502</v>
      </c>
      <c r="V32" s="62">
        <v>171.12215480536361</v>
      </c>
      <c r="W32" s="62">
        <v>23.124309762080507</v>
      </c>
      <c r="X32" s="62">
        <v>24.087897865215933</v>
      </c>
      <c r="Y32" s="66">
        <v>39.178108944361881</v>
      </c>
      <c r="Z32" s="66">
        <v>40.810657551024995</v>
      </c>
      <c r="AA32" s="67">
        <v>0</v>
      </c>
      <c r="AB32" s="68">
        <v>51.750833900768953</v>
      </c>
      <c r="AC32" s="69">
        <v>0</v>
      </c>
      <c r="AD32" s="406">
        <v>6.4004249880500179</v>
      </c>
      <c r="AE32" s="406">
        <v>6.2268540804995141</v>
      </c>
      <c r="AF32" s="69">
        <v>12.395224651363172</v>
      </c>
      <c r="AG32" s="68">
        <v>5.9998509931964286</v>
      </c>
      <c r="AH32" s="68">
        <v>6.2498642950900818</v>
      </c>
      <c r="AI32" s="68">
        <v>0.48979513825383675</v>
      </c>
      <c r="AJ32" s="69">
        <v>249.64648596445718</v>
      </c>
      <c r="AK32" s="69">
        <v>937.92940212885537</v>
      </c>
      <c r="AL32" s="69">
        <v>3071.2201251983643</v>
      </c>
      <c r="AM32" s="69">
        <v>625.68946682612102</v>
      </c>
      <c r="AN32" s="69">
        <v>4568.0328679402664</v>
      </c>
      <c r="AO32" s="69">
        <v>2388.7310452779129</v>
      </c>
      <c r="AP32" s="69">
        <v>512.63196055094409</v>
      </c>
      <c r="AQ32" s="69">
        <v>1628.1006383895874</v>
      </c>
      <c r="AR32" s="69">
        <v>428.84441986083988</v>
      </c>
      <c r="AS32" s="69">
        <v>716.04445088704438</v>
      </c>
    </row>
    <row r="33" spans="1:45" x14ac:dyDescent="0.25">
      <c r="A33" s="11">
        <v>43916</v>
      </c>
      <c r="B33" s="59"/>
      <c r="C33" s="60">
        <v>65.271406388283452</v>
      </c>
      <c r="D33" s="60">
        <v>939.40807558695224</v>
      </c>
      <c r="E33" s="60">
        <v>15.267058142522977</v>
      </c>
      <c r="F33" s="60">
        <v>0</v>
      </c>
      <c r="G33" s="60">
        <v>2564.8220091501871</v>
      </c>
      <c r="H33" s="61">
        <v>25.015238479773238</v>
      </c>
      <c r="I33" s="59">
        <v>62.694738626480103</v>
      </c>
      <c r="J33" s="60">
        <v>238.99341017405132</v>
      </c>
      <c r="K33" s="60">
        <v>12.937151570121426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161.21927715937122</v>
      </c>
      <c r="V33" s="62">
        <v>167.91416142781989</v>
      </c>
      <c r="W33" s="62">
        <v>22.817591161320145</v>
      </c>
      <c r="X33" s="62">
        <v>23.765127552758038</v>
      </c>
      <c r="Y33" s="66">
        <v>37.585044668314971</v>
      </c>
      <c r="Z33" s="66">
        <v>39.145822812916755</v>
      </c>
      <c r="AA33" s="67">
        <v>0</v>
      </c>
      <c r="AB33" s="68">
        <v>51.990068962838336</v>
      </c>
      <c r="AC33" s="69">
        <v>0</v>
      </c>
      <c r="AD33" s="406">
        <v>6.4412264899565734</v>
      </c>
      <c r="AE33" s="406">
        <v>6.2171289532006124</v>
      </c>
      <c r="AF33" s="69">
        <v>12.098897116382906</v>
      </c>
      <c r="AG33" s="68">
        <v>5.8588681568986223</v>
      </c>
      <c r="AH33" s="68">
        <v>6.1021668798904187</v>
      </c>
      <c r="AI33" s="68">
        <v>0.48982952887256526</v>
      </c>
      <c r="AJ33" s="69">
        <v>240.24276450475057</v>
      </c>
      <c r="AK33" s="69">
        <v>930.98743038177497</v>
      </c>
      <c r="AL33" s="69">
        <v>3725.2514134724929</v>
      </c>
      <c r="AM33" s="69">
        <v>985.43426513671875</v>
      </c>
      <c r="AN33" s="69">
        <v>4755.460693359375</v>
      </c>
      <c r="AO33" s="69">
        <v>2425.9982201894131</v>
      </c>
      <c r="AP33" s="69">
        <v>513.43805386225381</v>
      </c>
      <c r="AQ33" s="69">
        <v>1671.2181716918949</v>
      </c>
      <c r="AR33" s="69">
        <v>418.42221616109208</v>
      </c>
      <c r="AS33" s="69">
        <v>534.99679037729879</v>
      </c>
    </row>
    <row r="34" spans="1:45" x14ac:dyDescent="0.25">
      <c r="A34" s="11">
        <v>43917</v>
      </c>
      <c r="B34" s="59"/>
      <c r="C34" s="60">
        <v>65.567867549260583</v>
      </c>
      <c r="D34" s="60">
        <v>950.25000362395929</v>
      </c>
      <c r="E34" s="60">
        <v>15.226459111273286</v>
      </c>
      <c r="F34" s="60">
        <v>0</v>
      </c>
      <c r="G34" s="60">
        <v>2613.7433224995916</v>
      </c>
      <c r="H34" s="61">
        <v>25.073846789201166</v>
      </c>
      <c r="I34" s="59">
        <v>65.602284252643585</v>
      </c>
      <c r="J34" s="60">
        <v>237.03117070198007</v>
      </c>
      <c r="K34" s="60">
        <v>12.860094885031408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165.22855173369894</v>
      </c>
      <c r="V34" s="62">
        <v>172.09328259738569</v>
      </c>
      <c r="W34" s="62">
        <v>23.834122570037248</v>
      </c>
      <c r="X34" s="62">
        <v>24.824356007894455</v>
      </c>
      <c r="Y34" s="66">
        <v>37.265163531854654</v>
      </c>
      <c r="Z34" s="66">
        <v>38.813414821073465</v>
      </c>
      <c r="AA34" s="67">
        <v>0</v>
      </c>
      <c r="AB34" s="68">
        <v>52.409670080078072</v>
      </c>
      <c r="AC34" s="69">
        <v>0</v>
      </c>
      <c r="AD34" s="406">
        <v>6.3890233795843496</v>
      </c>
      <c r="AE34" s="406">
        <v>6.2138372087502445</v>
      </c>
      <c r="AF34" s="69">
        <v>12.4036862300502</v>
      </c>
      <c r="AG34" s="68">
        <v>6.0004745786284115</v>
      </c>
      <c r="AH34" s="68">
        <v>6.2497755777866395</v>
      </c>
      <c r="AI34" s="68">
        <v>0.48982465680393972</v>
      </c>
      <c r="AJ34" s="69">
        <v>245.39649467468263</v>
      </c>
      <c r="AK34" s="69">
        <v>926.63269646962488</v>
      </c>
      <c r="AL34" s="69">
        <v>3600.0815600077317</v>
      </c>
      <c r="AM34" s="69">
        <v>985.43426513671875</v>
      </c>
      <c r="AN34" s="69">
        <v>4755.460693359375</v>
      </c>
      <c r="AO34" s="69">
        <v>2585.2158988952633</v>
      </c>
      <c r="AP34" s="69">
        <v>561.48468038241072</v>
      </c>
      <c r="AQ34" s="69">
        <v>1657.5586873372395</v>
      </c>
      <c r="AR34" s="69">
        <v>432.61368778546648</v>
      </c>
      <c r="AS34" s="69">
        <v>533.92360588709516</v>
      </c>
    </row>
    <row r="35" spans="1:45" x14ac:dyDescent="0.25">
      <c r="A35" s="11">
        <v>43918</v>
      </c>
      <c r="B35" s="59"/>
      <c r="C35" s="60">
        <v>65.242297498384971</v>
      </c>
      <c r="D35" s="60">
        <v>955.06382630666042</v>
      </c>
      <c r="E35" s="60">
        <v>15.024188260734102</v>
      </c>
      <c r="F35" s="60">
        <v>0</v>
      </c>
      <c r="G35" s="60">
        <v>2681.864733250939</v>
      </c>
      <c r="H35" s="61">
        <v>24.957861404617603</v>
      </c>
      <c r="I35" s="59">
        <v>66.334336996078491</v>
      </c>
      <c r="J35" s="60">
        <v>237.39347621599802</v>
      </c>
      <c r="K35" s="60">
        <v>12.729205214977272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159.41075051806004</v>
      </c>
      <c r="V35" s="62">
        <v>166.01307530751981</v>
      </c>
      <c r="W35" s="62">
        <v>23.179196652216724</v>
      </c>
      <c r="X35" s="62">
        <v>24.139210855520759</v>
      </c>
      <c r="Y35" s="66">
        <v>36.392915367753112</v>
      </c>
      <c r="Z35" s="66">
        <v>37.900202966063524</v>
      </c>
      <c r="AA35" s="67">
        <v>0</v>
      </c>
      <c r="AB35" s="68">
        <v>52.15542310873716</v>
      </c>
      <c r="AC35" s="69">
        <v>0</v>
      </c>
      <c r="AD35" s="406">
        <v>6.3963995449204996</v>
      </c>
      <c r="AE35" s="406">
        <v>6.2136725966760498</v>
      </c>
      <c r="AF35" s="69">
        <v>12.155628965629466</v>
      </c>
      <c r="AG35" s="68">
        <v>5.8894140351048829</v>
      </c>
      <c r="AH35" s="68">
        <v>6.1333362558647702</v>
      </c>
      <c r="AI35" s="68">
        <v>0.48985580608194546</v>
      </c>
      <c r="AJ35" s="69">
        <v>259.91482930183406</v>
      </c>
      <c r="AK35" s="69">
        <v>950.16628503799416</v>
      </c>
      <c r="AL35" s="69">
        <v>3216.1058692932129</v>
      </c>
      <c r="AM35" s="69">
        <v>985.43426513671875</v>
      </c>
      <c r="AN35" s="69">
        <v>4755.460693359375</v>
      </c>
      <c r="AO35" s="69">
        <v>2669.6564197540279</v>
      </c>
      <c r="AP35" s="69">
        <v>583.71037894884751</v>
      </c>
      <c r="AQ35" s="69">
        <v>1718.3539427439375</v>
      </c>
      <c r="AR35" s="69">
        <v>461.70126248995467</v>
      </c>
      <c r="AS35" s="69">
        <v>552.31788221995043</v>
      </c>
    </row>
    <row r="36" spans="1:45" x14ac:dyDescent="0.25">
      <c r="A36" s="11">
        <v>43919</v>
      </c>
      <c r="B36" s="59"/>
      <c r="C36" s="60">
        <v>65.412981557845981</v>
      </c>
      <c r="D36" s="60">
        <v>955.37544523874578</v>
      </c>
      <c r="E36" s="60">
        <v>15.238485623399425</v>
      </c>
      <c r="F36" s="60">
        <v>0</v>
      </c>
      <c r="G36" s="60">
        <v>2647.1366021474237</v>
      </c>
      <c r="H36" s="61">
        <v>24.983812622229276</v>
      </c>
      <c r="I36" s="59">
        <v>66.091975748538971</v>
      </c>
      <c r="J36" s="60">
        <v>237.05651261011707</v>
      </c>
      <c r="K36" s="60">
        <v>12.824038609862345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154.75300946851721</v>
      </c>
      <c r="V36" s="62">
        <v>157.67720421598702</v>
      </c>
      <c r="W36" s="62">
        <v>21.707945145729692</v>
      </c>
      <c r="X36" s="62">
        <v>22.118135935501829</v>
      </c>
      <c r="Y36" s="66">
        <v>35.796919986380821</v>
      </c>
      <c r="Z36" s="66">
        <v>36.473334395116872</v>
      </c>
      <c r="AA36" s="67">
        <v>0</v>
      </c>
      <c r="AB36" s="68">
        <v>51.737963080406026</v>
      </c>
      <c r="AC36" s="69">
        <v>0</v>
      </c>
      <c r="AD36" s="406">
        <v>6.3885311381069751</v>
      </c>
      <c r="AE36" s="406">
        <v>6.2147445773648089</v>
      </c>
      <c r="AF36" s="69">
        <v>11.745344731873926</v>
      </c>
      <c r="AG36" s="68">
        <v>5.7465169892619397</v>
      </c>
      <c r="AH36" s="68">
        <v>5.8551025014529934</v>
      </c>
      <c r="AI36" s="68">
        <v>0.49532024333852886</v>
      </c>
      <c r="AJ36" s="69">
        <v>244.03738842010497</v>
      </c>
      <c r="AK36" s="69">
        <v>928.01697085698447</v>
      </c>
      <c r="AL36" s="69">
        <v>3283.2101135253906</v>
      </c>
      <c r="AM36" s="69">
        <v>985.43426513671875</v>
      </c>
      <c r="AN36" s="69">
        <v>4755.460693359375</v>
      </c>
      <c r="AO36" s="69">
        <v>2651.5960428873705</v>
      </c>
      <c r="AP36" s="69">
        <v>555.39996403058376</v>
      </c>
      <c r="AQ36" s="69">
        <v>1694.0473220825199</v>
      </c>
      <c r="AR36" s="69">
        <v>442.93712612787886</v>
      </c>
      <c r="AS36" s="69">
        <v>548.92673314412434</v>
      </c>
    </row>
    <row r="37" spans="1:45" x14ac:dyDescent="0.25">
      <c r="A37" s="11">
        <v>43920</v>
      </c>
      <c r="B37" s="59"/>
      <c r="C37" s="60">
        <v>65.114274454116597</v>
      </c>
      <c r="D37" s="60">
        <v>957.29596360524681</v>
      </c>
      <c r="E37" s="60">
        <v>15.306091201802106</v>
      </c>
      <c r="F37" s="60">
        <v>0</v>
      </c>
      <c r="G37" s="60">
        <v>2591.5170963287405</v>
      </c>
      <c r="H37" s="61">
        <v>25.238771621386185</v>
      </c>
      <c r="I37" s="59">
        <v>68.823723316192627</v>
      </c>
      <c r="J37" s="60">
        <v>239.31881275176966</v>
      </c>
      <c r="K37" s="60">
        <v>12.960747861862153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159.49621307851871</v>
      </c>
      <c r="V37" s="62">
        <v>166.04603830706509</v>
      </c>
      <c r="W37" s="62">
        <v>22.305043179430122</v>
      </c>
      <c r="X37" s="62">
        <v>23.221015613637867</v>
      </c>
      <c r="Y37" s="66">
        <v>36.36011603942017</v>
      </c>
      <c r="Z37" s="66">
        <v>37.853270019387253</v>
      </c>
      <c r="AA37" s="67">
        <v>0</v>
      </c>
      <c r="AB37" s="68">
        <v>51.811898072560666</v>
      </c>
      <c r="AC37" s="69">
        <v>0</v>
      </c>
      <c r="AD37" s="406">
        <v>6.4506611381962156</v>
      </c>
      <c r="AE37" s="406">
        <v>6.214693670356918</v>
      </c>
      <c r="AF37" s="69">
        <v>12.106607393423694</v>
      </c>
      <c r="AG37" s="68">
        <v>5.8655266057385411</v>
      </c>
      <c r="AH37" s="68">
        <v>6.1063986201860798</v>
      </c>
      <c r="AI37" s="68">
        <v>0.48994013035071665</v>
      </c>
      <c r="AJ37" s="69">
        <v>238.54067074457805</v>
      </c>
      <c r="AK37" s="69">
        <v>920.73819990158063</v>
      </c>
      <c r="AL37" s="69">
        <v>3022.4775213877356</v>
      </c>
      <c r="AM37" s="69">
        <v>985.43426513671875</v>
      </c>
      <c r="AN37" s="69">
        <v>4755.460693359375</v>
      </c>
      <c r="AO37" s="69">
        <v>2595.2371688842777</v>
      </c>
      <c r="AP37" s="69">
        <v>539.37914053599036</v>
      </c>
      <c r="AQ37" s="69">
        <v>1662.0458190917971</v>
      </c>
      <c r="AR37" s="69">
        <v>430.63992792765299</v>
      </c>
      <c r="AS37" s="69">
        <v>560.47389135360709</v>
      </c>
    </row>
    <row r="38" spans="1:45" ht="15.75" thickBot="1" x14ac:dyDescent="0.3">
      <c r="A38" s="11">
        <v>43921</v>
      </c>
      <c r="B38" s="59"/>
      <c r="C38" s="60">
        <v>65.367399537563728</v>
      </c>
      <c r="D38" s="60">
        <v>959.7252761840831</v>
      </c>
      <c r="E38" s="60">
        <v>15.315891773998761</v>
      </c>
      <c r="F38" s="60">
        <v>0</v>
      </c>
      <c r="G38" s="60">
        <v>2616.7013821919722</v>
      </c>
      <c r="H38" s="61">
        <v>24.914735823869684</v>
      </c>
      <c r="I38" s="59">
        <v>70.645301342010498</v>
      </c>
      <c r="J38" s="60">
        <v>238.04129150708457</v>
      </c>
      <c r="K38" s="60">
        <v>12.946196025609961</v>
      </c>
      <c r="L38" s="60">
        <v>0</v>
      </c>
      <c r="M38" s="60">
        <v>0</v>
      </c>
      <c r="N38" s="61">
        <v>0</v>
      </c>
      <c r="O38" s="59">
        <v>0</v>
      </c>
      <c r="P38" s="60">
        <v>0</v>
      </c>
      <c r="Q38" s="60">
        <v>0</v>
      </c>
      <c r="R38" s="63">
        <v>0</v>
      </c>
      <c r="S38" s="60">
        <v>0</v>
      </c>
      <c r="T38" s="64">
        <v>0</v>
      </c>
      <c r="U38" s="65">
        <v>162.72886443258071</v>
      </c>
      <c r="V38" s="62">
        <v>169.4771264964933</v>
      </c>
      <c r="W38" s="62">
        <v>22.709523366665433</v>
      </c>
      <c r="X38" s="62">
        <v>23.65127279482725</v>
      </c>
      <c r="Y38" s="66">
        <v>36.83831937128037</v>
      </c>
      <c r="Z38" s="66">
        <v>38.365980944894446</v>
      </c>
      <c r="AA38" s="67">
        <v>0</v>
      </c>
      <c r="AB38" s="68">
        <v>51.743922599156093</v>
      </c>
      <c r="AC38" s="69">
        <v>0</v>
      </c>
      <c r="AD38" s="406">
        <v>6.4157268913881982</v>
      </c>
      <c r="AE38" s="406">
        <v>6.2170579890269835</v>
      </c>
      <c r="AF38" s="69">
        <v>12.298525446322206</v>
      </c>
      <c r="AG38" s="68">
        <v>5.9457969636494088</v>
      </c>
      <c r="AH38" s="68">
        <v>6.192365365815979</v>
      </c>
      <c r="AI38" s="68">
        <v>0.48984325652129296</v>
      </c>
      <c r="AJ38" s="69">
        <v>249.63151016235352</v>
      </c>
      <c r="AK38" s="69">
        <v>963.39191153844195</v>
      </c>
      <c r="AL38" s="69">
        <v>2855.0595494588215</v>
      </c>
      <c r="AM38" s="69">
        <v>985.43426513671875</v>
      </c>
      <c r="AN38" s="69">
        <v>4755.460693359375</v>
      </c>
      <c r="AO38" s="69">
        <v>2602.7618233998614</v>
      </c>
      <c r="AP38" s="69">
        <v>519.12246877352391</v>
      </c>
      <c r="AQ38" s="69">
        <v>1646.3615284601844</v>
      </c>
      <c r="AR38" s="69">
        <v>423.16064964930217</v>
      </c>
      <c r="AS38" s="69">
        <v>637.31773767471304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2037.2670325597192</v>
      </c>
      <c r="D39" s="30">
        <f t="shared" si="0"/>
        <v>29295.760849571208</v>
      </c>
      <c r="E39" s="30">
        <f t="shared" si="0"/>
        <v>478.1597342049082</v>
      </c>
      <c r="F39" s="30">
        <f t="shared" si="0"/>
        <v>0</v>
      </c>
      <c r="G39" s="30">
        <f t="shared" si="0"/>
        <v>85056.680383300831</v>
      </c>
      <c r="H39" s="31">
        <f t="shared" si="0"/>
        <v>773.93848713437694</v>
      </c>
      <c r="I39" s="29">
        <f t="shared" si="0"/>
        <v>2343.6111267725628</v>
      </c>
      <c r="J39" s="30">
        <f t="shared" si="0"/>
        <v>7737.1917908906807</v>
      </c>
      <c r="K39" s="30">
        <f t="shared" si="0"/>
        <v>419.74599956572064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5202.4471556270119</v>
      </c>
      <c r="V39" s="260">
        <f t="shared" si="0"/>
        <v>5134.9948760637835</v>
      </c>
      <c r="W39" s="260">
        <f t="shared" si="0"/>
        <v>745.82333013967479</v>
      </c>
      <c r="X39" s="260">
        <f t="shared" si="0"/>
        <v>735.30301421129911</v>
      </c>
      <c r="Y39" s="260">
        <f t="shared" si="0"/>
        <v>1425.356240352796</v>
      </c>
      <c r="Z39" s="260">
        <f t="shared" si="0"/>
        <v>1398.9963990044525</v>
      </c>
      <c r="AA39" s="268">
        <f t="shared" si="0"/>
        <v>0</v>
      </c>
      <c r="AB39" s="271">
        <f t="shared" si="0"/>
        <v>1633.2659421894227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SUM(AJ8:AJ38)</f>
        <v>7688.6905830542246</v>
      </c>
      <c r="AK39" s="271">
        <f t="shared" si="1"/>
        <v>29173.799341392514</v>
      </c>
      <c r="AL39" s="271">
        <f t="shared" si="1"/>
        <v>94320.229961903882</v>
      </c>
      <c r="AM39" s="271">
        <f t="shared" si="1"/>
        <v>18049.96961819331</v>
      </c>
      <c r="AN39" s="271">
        <f t="shared" si="1"/>
        <v>141200.76382497151</v>
      </c>
      <c r="AO39" s="271">
        <f t="shared" si="1"/>
        <v>73395.974466705331</v>
      </c>
      <c r="AP39" s="271">
        <f t="shared" si="1"/>
        <v>17614.851309458412</v>
      </c>
      <c r="AQ39" s="271">
        <f t="shared" si="1"/>
        <v>52879.635818099974</v>
      </c>
      <c r="AR39" s="271">
        <f t="shared" si="1"/>
        <v>14494.392564725877</v>
      </c>
      <c r="AS39" s="271">
        <f t="shared" si="1"/>
        <v>18218.810568841298</v>
      </c>
    </row>
    <row r="40" spans="1:45" ht="15.75" thickBot="1" x14ac:dyDescent="0.3">
      <c r="A40" s="47" t="s">
        <v>172</v>
      </c>
      <c r="B40" s="32">
        <f>Projection!$AA$30</f>
        <v>0.82128400199999985</v>
      </c>
      <c r="C40" s="33">
        <f>Projection!$AA$28</f>
        <v>1.4286753599999999</v>
      </c>
      <c r="D40" s="33">
        <f>Projection!$AA$31</f>
        <v>3.3907104000000001</v>
      </c>
      <c r="E40" s="33">
        <f>Projection!$AA$26</f>
        <v>4.4235360000000004</v>
      </c>
      <c r="F40" s="33">
        <f>Projection!$AA$23</f>
        <v>0</v>
      </c>
      <c r="G40" s="33">
        <f>Projection!$AA$24</f>
        <v>5.9975000000000001E-2</v>
      </c>
      <c r="H40" s="34">
        <f>Projection!$AA$29</f>
        <v>3.7390305000000001</v>
      </c>
      <c r="I40" s="32">
        <f>Projection!$AA$30</f>
        <v>0.82128400199999985</v>
      </c>
      <c r="J40" s="33">
        <f>Projection!$AA$28</f>
        <v>1.4286753599999999</v>
      </c>
      <c r="K40" s="33">
        <f>Projection!$AA$26</f>
        <v>4.4235360000000004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63">
        <f>Projection!$AA$28</f>
        <v>1.4286753599999999</v>
      </c>
      <c r="T40" s="264">
        <f>Projection!$AA$28</f>
        <v>1.4286753599999999</v>
      </c>
      <c r="U40" s="262">
        <f>Projection!$AA$27</f>
        <v>0.26450000000000001</v>
      </c>
      <c r="V40" s="263">
        <f>Projection!$AA$27</f>
        <v>0.26450000000000001</v>
      </c>
      <c r="W40" s="263">
        <f>Projection!$AA$22</f>
        <v>0.85935360000000005</v>
      </c>
      <c r="X40" s="263">
        <f>Projection!$AA$22</f>
        <v>0.85935360000000005</v>
      </c>
      <c r="Y40" s="263">
        <f>Projection!$AA$31</f>
        <v>3.3907104000000001</v>
      </c>
      <c r="Z40" s="263">
        <f>Projection!$AA$31</f>
        <v>3.3907104000000001</v>
      </c>
      <c r="AA40" s="269">
        <v>0</v>
      </c>
      <c r="AB40" s="272">
        <f>Projection!$AA$27</f>
        <v>0.26450000000000001</v>
      </c>
      <c r="AC40" s="272">
        <f>Projection!$AA$30</f>
        <v>0.82128400199999985</v>
      </c>
      <c r="AD40" s="397">
        <f>SUM(AD8:AD38)</f>
        <v>208.54303943143961</v>
      </c>
      <c r="AE40" s="397">
        <f>SUM(AE8:AE38)</f>
        <v>192.76232495496288</v>
      </c>
      <c r="AF40" s="275">
        <f>SUM(AF8:AF38)</f>
        <v>384.29950572815198</v>
      </c>
      <c r="AG40" s="275">
        <f>SUM(AG8:AG38)</f>
        <v>190.98921673270218</v>
      </c>
      <c r="AH40" s="275">
        <f>SUM(AH8:AH38)</f>
        <v>188.25007003703195</v>
      </c>
      <c r="AI40" s="275">
        <f>IF(SUM(AG40:AH40)&gt;0, AG40/(AG40+AH40), 0)</f>
        <v>0.50361136990711275</v>
      </c>
      <c r="AJ40" s="310">
        <v>6.5000000000000002E-2</v>
      </c>
      <c r="AK40" s="310">
        <f t="shared" ref="AK40:AS40" si="2">$AJ$40</f>
        <v>6.5000000000000002E-2</v>
      </c>
      <c r="AL40" s="310">
        <f t="shared" si="2"/>
        <v>6.5000000000000002E-2</v>
      </c>
      <c r="AM40" s="310">
        <f t="shared" si="2"/>
        <v>6.5000000000000002E-2</v>
      </c>
      <c r="AN40" s="310">
        <f t="shared" si="2"/>
        <v>6.5000000000000002E-2</v>
      </c>
      <c r="AO40" s="310">
        <f t="shared" si="2"/>
        <v>6.5000000000000002E-2</v>
      </c>
      <c r="AP40" s="310">
        <f t="shared" si="2"/>
        <v>6.5000000000000002E-2</v>
      </c>
      <c r="AQ40" s="310">
        <f t="shared" si="2"/>
        <v>6.5000000000000002E-2</v>
      </c>
      <c r="AR40" s="310">
        <f t="shared" si="2"/>
        <v>6.5000000000000002E-2</v>
      </c>
      <c r="AS40" s="310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2910.5932111583884</v>
      </c>
      <c r="D41" s="36">
        <f t="shared" si="3"/>
        <v>99333.440988553935</v>
      </c>
      <c r="E41" s="36">
        <f t="shared" si="3"/>
        <v>2115.156798005843</v>
      </c>
      <c r="F41" s="36">
        <f t="shared" si="3"/>
        <v>0</v>
      </c>
      <c r="G41" s="36">
        <f t="shared" si="3"/>
        <v>5101.2744059884672</v>
      </c>
      <c r="H41" s="37">
        <f t="shared" si="3"/>
        <v>2893.7796085192931</v>
      </c>
      <c r="I41" s="35">
        <f t="shared" si="3"/>
        <v>1924.7703253274994</v>
      </c>
      <c r="J41" s="36">
        <f t="shared" si="3"/>
        <v>11053.935267239787</v>
      </c>
      <c r="K41" s="36">
        <f t="shared" si="3"/>
        <v>1856.7615399349497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1376.0472726633448</v>
      </c>
      <c r="V41" s="266">
        <f t="shared" si="3"/>
        <v>1358.2061447188707</v>
      </c>
      <c r="W41" s="266">
        <f t="shared" si="3"/>
        <v>640.92596371951811</v>
      </c>
      <c r="X41" s="266">
        <f t="shared" si="3"/>
        <v>631.88529235333112</v>
      </c>
      <c r="Y41" s="266">
        <f t="shared" si="3"/>
        <v>4832.9702278691257</v>
      </c>
      <c r="Z41" s="266">
        <f t="shared" si="3"/>
        <v>4743.5916396669472</v>
      </c>
      <c r="AA41" s="270">
        <f t="shared" si="3"/>
        <v>0</v>
      </c>
      <c r="AB41" s="273">
        <f t="shared" si="3"/>
        <v>431.99884170910235</v>
      </c>
      <c r="AC41" s="273">
        <f t="shared" si="3"/>
        <v>0</v>
      </c>
      <c r="AJ41" s="276">
        <f t="shared" ref="AJ41:AS41" si="4">AJ40*AJ39</f>
        <v>499.76488789852459</v>
      </c>
      <c r="AK41" s="276">
        <f t="shared" si="4"/>
        <v>1896.2969571905135</v>
      </c>
      <c r="AL41" s="276">
        <f t="shared" si="4"/>
        <v>6130.8149475237524</v>
      </c>
      <c r="AM41" s="276">
        <f t="shared" si="4"/>
        <v>1173.2480251825652</v>
      </c>
      <c r="AN41" s="276">
        <f t="shared" si="4"/>
        <v>9178.0496486231477</v>
      </c>
      <c r="AO41" s="276">
        <f t="shared" si="4"/>
        <v>4770.7383403358463</v>
      </c>
      <c r="AP41" s="276">
        <f t="shared" si="4"/>
        <v>1144.9653351147967</v>
      </c>
      <c r="AQ41" s="276">
        <f t="shared" si="4"/>
        <v>3437.1763281764984</v>
      </c>
      <c r="AR41" s="276">
        <f t="shared" si="4"/>
        <v>942.13551670718198</v>
      </c>
      <c r="AS41" s="276">
        <f t="shared" si="4"/>
        <v>1184.2226869746844</v>
      </c>
    </row>
    <row r="42" spans="1:45" ht="49.5" customHeight="1" thickTop="1" thickBot="1" x14ac:dyDescent="0.3">
      <c r="A42" s="640">
        <f>FEBRUARY!$A$42+29</f>
        <v>43891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1421.8</v>
      </c>
      <c r="AK42" s="276" t="s">
        <v>197</v>
      </c>
      <c r="AL42" s="276">
        <v>1841.43</v>
      </c>
      <c r="AM42" s="276">
        <v>562.91</v>
      </c>
      <c r="AN42" s="276">
        <v>1096.18</v>
      </c>
      <c r="AO42" s="276">
        <v>4914.92</v>
      </c>
      <c r="AP42" s="276">
        <v>2144.81</v>
      </c>
      <c r="AQ42" s="276" t="s">
        <v>197</v>
      </c>
      <c r="AR42" s="276">
        <v>220.07</v>
      </c>
      <c r="AS42" s="276">
        <v>448.66</v>
      </c>
    </row>
    <row r="43" spans="1:4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45" ht="24.75" thickTop="1" thickBot="1" x14ac:dyDescent="0.3">
      <c r="A44" s="280" t="s">
        <v>135</v>
      </c>
      <c r="B44" s="281">
        <f>SUM(B41:AC41)</f>
        <v>141205.3375274284</v>
      </c>
      <c r="C44" s="12"/>
      <c r="D44" s="280" t="s">
        <v>135</v>
      </c>
      <c r="E44" s="281">
        <f>SUM(B41:H41)+P41+R41+T41+V41+X41+Z41</f>
        <v>119087.92808896508</v>
      </c>
      <c r="F44" s="12"/>
      <c r="G44" s="280" t="s">
        <v>135</v>
      </c>
      <c r="H44" s="281">
        <f>SUM(I41:N41)+O41+Q41+S41+U41+W41+Y41</f>
        <v>21685.410596754224</v>
      </c>
      <c r="I44" s="12"/>
      <c r="J44" s="280" t="s">
        <v>198</v>
      </c>
      <c r="K44" s="281">
        <v>157597.88</v>
      </c>
      <c r="L44" s="12"/>
      <c r="M44" s="407"/>
      <c r="N44" s="12"/>
      <c r="O44" s="12"/>
      <c r="P44" s="12"/>
      <c r="Q44" s="12"/>
      <c r="R44" s="317" t="s">
        <v>135</v>
      </c>
      <c r="S44" s="318"/>
      <c r="T44" s="311" t="s">
        <v>167</v>
      </c>
      <c r="U44" s="253" t="s">
        <v>168</v>
      </c>
    </row>
    <row r="45" spans="1:45" ht="24" thickBot="1" x14ac:dyDescent="0.4">
      <c r="A45" s="282" t="s">
        <v>183</v>
      </c>
      <c r="B45" s="283">
        <f>SUM(AJ41:AS41)</f>
        <v>30357.412673727511</v>
      </c>
      <c r="C45" s="12"/>
      <c r="D45" s="282" t="s">
        <v>183</v>
      </c>
      <c r="E45" s="283">
        <f>AJ41*(1-$AI$40)+AK41+AL41*0.5+AN41+AO41*(1-$AI$40)+AP41*(1-$AI$40)+AQ41*(1-$AI$40)+AR41*0.5+AS41*0.5</f>
        <v>20093.674081912573</v>
      </c>
      <c r="F45" s="24"/>
      <c r="G45" s="282" t="s">
        <v>183</v>
      </c>
      <c r="H45" s="283">
        <f>AJ41*AI40+AL41*0.5+AM41+AO41*AI40+AP41*AI40+AQ41*AI40+AR41*0.5+AS41*0.5</f>
        <v>10263.738591814932</v>
      </c>
      <c r="I45" s="12"/>
      <c r="J45" s="12"/>
      <c r="K45" s="286"/>
      <c r="L45" s="12"/>
      <c r="M45" s="12"/>
      <c r="N45" s="12"/>
      <c r="O45" s="12"/>
      <c r="P45" s="12"/>
      <c r="Q45" s="12"/>
      <c r="R45" s="315" t="s">
        <v>141</v>
      </c>
      <c r="S45" s="316"/>
      <c r="T45" s="252">
        <f>$W$39+$X$39</f>
        <v>1481.1263443509738</v>
      </c>
      <c r="U45" s="254">
        <f>(T45*8.34*0.895)/27000</f>
        <v>0.40946560637551754</v>
      </c>
    </row>
    <row r="46" spans="1:45" ht="32.25" thickBot="1" x14ac:dyDescent="0.3">
      <c r="A46" s="284" t="s">
        <v>184</v>
      </c>
      <c r="B46" s="285">
        <f>SUM(AJ42:AS42)</f>
        <v>12650.779999999999</v>
      </c>
      <c r="C46" s="12"/>
      <c r="D46" s="284" t="s">
        <v>184</v>
      </c>
      <c r="E46" s="285">
        <f>AJ42*(1-$AI$40)+AL42*0.5+AN42+AO42*(1-$AI$40)+AP42*(1-$AI$40)+AR42*0.5+AS42*0.5</f>
        <v>6561.3950577917249</v>
      </c>
      <c r="F46" s="23"/>
      <c r="G46" s="284" t="s">
        <v>184</v>
      </c>
      <c r="H46" s="285">
        <f>AJ42*AI40+AL42*0.5+AM42+AO42*AI40+AP42*AI40+AR42*0.5+AS42*0.5</f>
        <v>6089.384942208274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15" t="s">
        <v>145</v>
      </c>
      <c r="S46" s="316"/>
      <c r="T46" s="252">
        <f>$M$39+$N$39+$F$39</f>
        <v>0</v>
      </c>
      <c r="U46" s="255">
        <f>(((T46*8.34)*0.005)/(8.34*1.055))/400</f>
        <v>0</v>
      </c>
    </row>
    <row r="47" spans="1:45" ht="24.75" thickTop="1" thickBot="1" x14ac:dyDescent="0.4">
      <c r="A47" s="284" t="s">
        <v>185</v>
      </c>
      <c r="B47" s="285">
        <f>K44</f>
        <v>157597.88</v>
      </c>
      <c r="C47" s="12"/>
      <c r="D47" s="284" t="s">
        <v>187</v>
      </c>
      <c r="E47" s="285">
        <f>K44*0.5</f>
        <v>78798.94</v>
      </c>
      <c r="F47" s="24"/>
      <c r="G47" s="284" t="s">
        <v>185</v>
      </c>
      <c r="H47" s="285">
        <f>K44*0.5</f>
        <v>78798.94</v>
      </c>
      <c r="I47" s="12"/>
      <c r="J47" s="280" t="s">
        <v>198</v>
      </c>
      <c r="K47" s="281">
        <v>48196.65</v>
      </c>
      <c r="L47" s="12"/>
      <c r="M47" s="12"/>
      <c r="N47" s="12"/>
      <c r="O47" s="12"/>
      <c r="P47" s="12"/>
      <c r="Q47" s="12"/>
      <c r="R47" s="315" t="s">
        <v>148</v>
      </c>
      <c r="S47" s="316"/>
      <c r="T47" s="252">
        <f>$G$39</f>
        <v>85056.680383300831</v>
      </c>
      <c r="U47" s="254">
        <f>T47/40000</f>
        <v>2.1264170095825206</v>
      </c>
    </row>
    <row r="48" spans="1:45" ht="24" thickBot="1" x14ac:dyDescent="0.3">
      <c r="A48" s="284" t="s">
        <v>186</v>
      </c>
      <c r="B48" s="285">
        <f>K47</f>
        <v>48196.65</v>
      </c>
      <c r="C48" s="12"/>
      <c r="D48" s="284" t="s">
        <v>186</v>
      </c>
      <c r="E48" s="285">
        <f>K47*0.5</f>
        <v>24098.325000000001</v>
      </c>
      <c r="F48" s="23"/>
      <c r="G48" s="284" t="s">
        <v>186</v>
      </c>
      <c r="H48" s="285">
        <f>K47*0.5</f>
        <v>24098.325000000001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15" t="s">
        <v>150</v>
      </c>
      <c r="S48" s="316"/>
      <c r="T48" s="252">
        <f>$L$39</f>
        <v>0</v>
      </c>
      <c r="U48" s="254">
        <f>T48*9.34*0.107</f>
        <v>0</v>
      </c>
    </row>
    <row r="49" spans="1:25" ht="48" thickTop="1" thickBot="1" x14ac:dyDescent="0.3">
      <c r="A49" s="289" t="s">
        <v>194</v>
      </c>
      <c r="B49" s="290">
        <f>AF40</f>
        <v>384.29950572815198</v>
      </c>
      <c r="C49" s="12"/>
      <c r="D49" s="289" t="s">
        <v>195</v>
      </c>
      <c r="E49" s="290">
        <f>AH40</f>
        <v>188.25007003703195</v>
      </c>
      <c r="F49" s="23"/>
      <c r="G49" s="289" t="s">
        <v>196</v>
      </c>
      <c r="H49" s="290">
        <f>AG40</f>
        <v>190.98921673270218</v>
      </c>
      <c r="I49" s="12"/>
      <c r="J49" s="12"/>
      <c r="K49" s="86"/>
      <c r="L49" s="12"/>
      <c r="M49" s="12"/>
      <c r="N49" s="12"/>
      <c r="O49" s="12"/>
      <c r="P49" s="12"/>
      <c r="Q49" s="12"/>
      <c r="R49" s="315" t="s">
        <v>152</v>
      </c>
      <c r="S49" s="316"/>
      <c r="T49" s="252">
        <f>$E$39+$K$39</f>
        <v>897.90573377062879</v>
      </c>
      <c r="U49" s="254">
        <f>(T49*8.34*1.04)/45000</f>
        <v>0.17306833716517614</v>
      </c>
    </row>
    <row r="50" spans="1:25" ht="48" customHeight="1" thickTop="1" thickBot="1" x14ac:dyDescent="0.3">
      <c r="A50" s="289" t="s">
        <v>223</v>
      </c>
      <c r="B50" s="290">
        <f>SUM(E50+H50)</f>
        <v>401.30536438640252</v>
      </c>
      <c r="C50" s="12"/>
      <c r="D50" s="289" t="s">
        <v>224</v>
      </c>
      <c r="E50" s="290">
        <f>AE40</f>
        <v>192.76232495496288</v>
      </c>
      <c r="F50" s="23"/>
      <c r="G50" s="289" t="s">
        <v>225</v>
      </c>
      <c r="H50" s="290">
        <f>AD40</f>
        <v>208.54303943143961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971.84860909467238</v>
      </c>
      <c r="C51" s="12"/>
      <c r="D51" s="289" t="s">
        <v>188</v>
      </c>
      <c r="E51" s="291">
        <f>SUM(E44:E48)/E50</f>
        <v>1289.8799715492219</v>
      </c>
      <c r="F51" s="371">
        <f>E44/E49</f>
        <v>632.60496033567733</v>
      </c>
      <c r="G51" s="289" t="s">
        <v>189</v>
      </c>
      <c r="H51" s="291">
        <f>SUM(H44:H48)/H50</f>
        <v>675.81157115105418</v>
      </c>
      <c r="I51" s="370">
        <f>H44/H50</f>
        <v>103.98530037672869</v>
      </c>
      <c r="J51" s="12"/>
      <c r="K51" s="86"/>
      <c r="L51" s="12"/>
      <c r="M51" s="12"/>
      <c r="N51" s="12"/>
      <c r="O51" s="12"/>
      <c r="P51" s="12"/>
      <c r="Q51" s="12"/>
      <c r="R51" s="315" t="s">
        <v>153</v>
      </c>
      <c r="S51" s="316"/>
      <c r="T51" s="252">
        <f>$U$39+$V$39+$AB$39</f>
        <v>11970.707973880219</v>
      </c>
      <c r="U51" s="254">
        <f>T51/2000/8</f>
        <v>0.74816924836751364</v>
      </c>
    </row>
    <row r="52" spans="1:25" ht="47.25" customHeight="1" thickTop="1" thickBot="1" x14ac:dyDescent="0.3">
      <c r="A52" s="279" t="s">
        <v>191</v>
      </c>
      <c r="B52" s="292">
        <f>B51/1000</f>
        <v>0.97184860909467241</v>
      </c>
      <c r="C52" s="12"/>
      <c r="D52" s="279" t="s">
        <v>192</v>
      </c>
      <c r="E52" s="292">
        <f>E51/1000</f>
        <v>1.289879971549222</v>
      </c>
      <c r="F52" s="12"/>
      <c r="G52" s="279" t="s">
        <v>193</v>
      </c>
      <c r="H52" s="292">
        <f>H51/1000</f>
        <v>0.67581157115105417</v>
      </c>
      <c r="I52" s="12"/>
      <c r="J52" s="12"/>
      <c r="K52" s="86"/>
      <c r="L52" s="12"/>
      <c r="M52" s="12"/>
      <c r="N52" s="12"/>
      <c r="O52" s="12"/>
      <c r="P52" s="12"/>
      <c r="Q52" s="12"/>
      <c r="R52" s="315" t="s">
        <v>154</v>
      </c>
      <c r="S52" s="316"/>
      <c r="T52" s="252">
        <f>$C$39+$J$39+$S$39+$T$39</f>
        <v>9774.4588234504008</v>
      </c>
      <c r="U52" s="254">
        <f>(T52*8.34*1.4)/45000</f>
        <v>2.5361462493912637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5" t="s">
        <v>155</v>
      </c>
      <c r="S53" s="316"/>
      <c r="T53" s="252">
        <f>$H$39</f>
        <v>773.93848713437694</v>
      </c>
      <c r="U53" s="254">
        <f>(T53*8.34*1.135)/45000</f>
        <v>0.1628005405636733</v>
      </c>
    </row>
    <row r="54" spans="1:25" ht="48" customHeight="1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5" t="s">
        <v>156</v>
      </c>
      <c r="S54" s="316"/>
      <c r="T54" s="252">
        <f>$B$39+$I$39+$AC$39</f>
        <v>2343.6111267725628</v>
      </c>
      <c r="U54" s="254">
        <f>(T54*8.34*1.029*0.03)/3300</f>
        <v>0.18284129622185805</v>
      </c>
    </row>
    <row r="55" spans="1:25" ht="45.75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32120.113488928459</v>
      </c>
      <c r="U55" s="257">
        <f>(T55*1.54*8.34)/45000</f>
        <v>9.1675086579200347</v>
      </c>
    </row>
    <row r="56" spans="1:25" ht="24" thickTop="1" x14ac:dyDescent="0.25">
      <c r="A56" s="668"/>
      <c r="B56" s="66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.75" customHeight="1" x14ac:dyDescent="0.25">
      <c r="A57" s="670"/>
      <c r="B57" s="67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6"/>
      <c r="B58" s="66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7"/>
      <c r="B59" s="66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6"/>
      <c r="B60" s="66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7"/>
      <c r="B61" s="667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nae0VH1XAxStJBb64SuMpYzxy7wE8Vpey4rNlxmqQ27sHGmaNrzV8TQEpiLrwKLjrYf7brLyPJd1rGFc/TOhdg==" saltValue="RvRpoK50myT1YUW0F8Cu+A==" spinCount="100000" sheet="1" selectLockedCells="1" selectUnlockedCells="1"/>
  <mergeCells count="36"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O4:AO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D4:AD5"/>
    <mergeCell ref="AE4:AE5"/>
    <mergeCell ref="R43:U43"/>
    <mergeCell ref="A54:E54"/>
    <mergeCell ref="A55:E55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64"/>
  <sheetViews>
    <sheetView topLeftCell="A4" zoomScale="75" zoomScaleNormal="75" workbookViewId="0">
      <selection activeCell="K51" sqref="K51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425781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  <c r="AV4" t="s">
        <v>169</v>
      </c>
      <c r="AW4" s="335" t="s">
        <v>207</v>
      </c>
    </row>
    <row r="5" spans="1:49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4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43922</v>
      </c>
      <c r="B8" s="49"/>
      <c r="C8" s="50">
        <v>65.482189885775284</v>
      </c>
      <c r="D8" s="50">
        <v>962.51234455108727</v>
      </c>
      <c r="E8" s="50">
        <v>15.318517185250938</v>
      </c>
      <c r="F8" s="50">
        <v>0</v>
      </c>
      <c r="G8" s="50">
        <v>2589.5574564615936</v>
      </c>
      <c r="H8" s="51">
        <v>25.123785177866619</v>
      </c>
      <c r="I8" s="49">
        <v>70.670773327350616</v>
      </c>
      <c r="J8" s="50">
        <v>238.18802898724834</v>
      </c>
      <c r="K8" s="50">
        <v>12.946146025260303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162.33287986517192</v>
      </c>
      <c r="V8" s="54">
        <v>169.11220273573966</v>
      </c>
      <c r="W8" s="54">
        <v>22.912737737103889</v>
      </c>
      <c r="X8" s="54">
        <v>23.869616264100287</v>
      </c>
      <c r="Y8" s="54">
        <v>36.040276044298594</v>
      </c>
      <c r="Z8" s="54">
        <v>37.545384977569654</v>
      </c>
      <c r="AA8" s="55">
        <v>0</v>
      </c>
      <c r="AB8" s="56">
        <v>51.749540570046605</v>
      </c>
      <c r="AC8" s="57">
        <v>0</v>
      </c>
      <c r="AD8" s="405">
        <v>6.4184369977347</v>
      </c>
      <c r="AE8" s="405">
        <v>6.2341279867747277</v>
      </c>
      <c r="AF8" s="57">
        <v>12.114866223269019</v>
      </c>
      <c r="AG8" s="58">
        <v>5.8592205730336149</v>
      </c>
      <c r="AH8" s="58">
        <v>6.1039125175580953</v>
      </c>
      <c r="AI8" s="58">
        <v>0.48977308274214071</v>
      </c>
      <c r="AJ8" s="57">
        <v>241.36112791697184</v>
      </c>
      <c r="AK8" s="57">
        <v>943.70446949005111</v>
      </c>
      <c r="AL8" s="57">
        <v>3017.2851094563803</v>
      </c>
      <c r="AM8" s="57">
        <v>985.43426513671875</v>
      </c>
      <c r="AN8" s="57">
        <v>4755.460693359375</v>
      </c>
      <c r="AO8" s="57">
        <v>2564.7673234303793</v>
      </c>
      <c r="AP8" s="57">
        <v>491.34898277918495</v>
      </c>
      <c r="AQ8" s="57">
        <v>1625.5454439798993</v>
      </c>
      <c r="AR8" s="57">
        <v>413.68995809555054</v>
      </c>
      <c r="AS8" s="57">
        <v>706.33447939554856</v>
      </c>
    </row>
    <row r="9" spans="1:49" x14ac:dyDescent="0.25">
      <c r="A9" s="11">
        <v>43923</v>
      </c>
      <c r="B9" s="59"/>
      <c r="C9" s="60">
        <v>65.505055268605886</v>
      </c>
      <c r="D9" s="60">
        <v>962.78427136738912</v>
      </c>
      <c r="E9" s="60">
        <v>15.172426365315925</v>
      </c>
      <c r="F9" s="60">
        <v>0</v>
      </c>
      <c r="G9" s="60">
        <v>2654.2251350402898</v>
      </c>
      <c r="H9" s="61">
        <v>25.158546993136419</v>
      </c>
      <c r="I9" s="59">
        <v>70.410773575305939</v>
      </c>
      <c r="J9" s="60">
        <v>237.70775163968358</v>
      </c>
      <c r="K9" s="60">
        <v>12.894310594598434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165.30147730322611</v>
      </c>
      <c r="V9" s="62">
        <v>172.19894068163083</v>
      </c>
      <c r="W9" s="62">
        <v>23.749593811065541</v>
      </c>
      <c r="X9" s="62">
        <v>24.740582858691038</v>
      </c>
      <c r="Y9" s="66">
        <v>36.885719625564477</v>
      </c>
      <c r="Z9" s="66">
        <v>38.424834123838053</v>
      </c>
      <c r="AA9" s="67">
        <v>0</v>
      </c>
      <c r="AB9" s="68">
        <v>51.741522510846906</v>
      </c>
      <c r="AC9" s="69">
        <v>0</v>
      </c>
      <c r="AD9" s="406">
        <v>6.4073136030954565</v>
      </c>
      <c r="AE9" s="406">
        <v>6.2372877822871926</v>
      </c>
      <c r="AF9" s="69">
        <v>12.409662678506599</v>
      </c>
      <c r="AG9" s="68">
        <v>5.9997145595344126</v>
      </c>
      <c r="AH9" s="68">
        <v>6.2500620587243825</v>
      </c>
      <c r="AI9" s="68">
        <v>0.48978154839097976</v>
      </c>
      <c r="AJ9" s="69">
        <v>250.77832905451453</v>
      </c>
      <c r="AK9" s="69">
        <v>953.91124699910483</v>
      </c>
      <c r="AL9" s="69">
        <v>2830.0989926656089</v>
      </c>
      <c r="AM9" s="69">
        <v>985.43426513671875</v>
      </c>
      <c r="AN9" s="69">
        <v>4755.460693359375</v>
      </c>
      <c r="AO9" s="69">
        <v>2667.4293425242104</v>
      </c>
      <c r="AP9" s="69">
        <v>577.84127383232124</v>
      </c>
      <c r="AQ9" s="69">
        <v>1662.3027231852211</v>
      </c>
      <c r="AR9" s="69">
        <v>480.00577211380011</v>
      </c>
      <c r="AS9" s="69">
        <v>568.16210101445517</v>
      </c>
    </row>
    <row r="10" spans="1:49" x14ac:dyDescent="0.25">
      <c r="A10" s="11">
        <v>43924</v>
      </c>
      <c r="B10" s="59"/>
      <c r="C10" s="60">
        <v>65.486321838696497</v>
      </c>
      <c r="D10" s="60">
        <v>963.33125343322865</v>
      </c>
      <c r="E10" s="60">
        <v>15.406881691515416</v>
      </c>
      <c r="F10" s="60">
        <v>0</v>
      </c>
      <c r="G10" s="60">
        <v>2693.8401365915979</v>
      </c>
      <c r="H10" s="61">
        <v>25.251452077428468</v>
      </c>
      <c r="I10" s="59">
        <v>70.465266466140747</v>
      </c>
      <c r="J10" s="60">
        <v>237.92447614669737</v>
      </c>
      <c r="K10" s="60">
        <v>12.864127492904661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155.99705421717667</v>
      </c>
      <c r="V10" s="62">
        <v>157.78134649006842</v>
      </c>
      <c r="W10" s="62">
        <v>22.342714555826436</v>
      </c>
      <c r="X10" s="62">
        <v>22.598270233704085</v>
      </c>
      <c r="Y10" s="66">
        <v>35.137004923599036</v>
      </c>
      <c r="Z10" s="66">
        <v>35.538901527944233</v>
      </c>
      <c r="AA10" s="67">
        <v>0</v>
      </c>
      <c r="AB10" s="68">
        <v>51.732293934292812</v>
      </c>
      <c r="AC10" s="69">
        <v>0</v>
      </c>
      <c r="AD10" s="406">
        <v>6.4118577958706187</v>
      </c>
      <c r="AE10" s="406">
        <v>6.2406694619547762</v>
      </c>
      <c r="AF10" s="69">
        <v>11.624077514145091</v>
      </c>
      <c r="AG10" s="68">
        <v>5.6980141995604825</v>
      </c>
      <c r="AH10" s="68">
        <v>5.7631880117079133</v>
      </c>
      <c r="AI10" s="68">
        <v>0.49715676370828904</v>
      </c>
      <c r="AJ10" s="69">
        <v>261.79071586926784</v>
      </c>
      <c r="AK10" s="69">
        <v>979.57516473134353</v>
      </c>
      <c r="AL10" s="69">
        <v>2806.7923772176109</v>
      </c>
      <c r="AM10" s="69">
        <v>985.43426513671875</v>
      </c>
      <c r="AN10" s="69">
        <v>4755.460693359375</v>
      </c>
      <c r="AO10" s="69">
        <v>2741.6493967692054</v>
      </c>
      <c r="AP10" s="69">
        <v>632.55912489891057</v>
      </c>
      <c r="AQ10" s="69">
        <v>1731.5847401301066</v>
      </c>
      <c r="AR10" s="69">
        <v>492.90369014739986</v>
      </c>
      <c r="AS10" s="69">
        <v>574.25663830439248</v>
      </c>
    </row>
    <row r="11" spans="1:49" x14ac:dyDescent="0.25">
      <c r="A11" s="11">
        <v>43925</v>
      </c>
      <c r="B11" s="59"/>
      <c r="C11" s="60">
        <v>66.112984633446388</v>
      </c>
      <c r="D11" s="60">
        <v>961.34630152384386</v>
      </c>
      <c r="E11" s="60">
        <v>15.60413917352756</v>
      </c>
      <c r="F11" s="60">
        <v>0</v>
      </c>
      <c r="G11" s="60">
        <v>2674.2188735961936</v>
      </c>
      <c r="H11" s="61">
        <v>24.91726753711697</v>
      </c>
      <c r="I11" s="59">
        <v>70.893744969367987</v>
      </c>
      <c r="J11" s="60">
        <v>239.43704307874012</v>
      </c>
      <c r="K11" s="60">
        <v>13.076004793246616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158.96833060410364</v>
      </c>
      <c r="V11" s="62">
        <v>165.36763958573391</v>
      </c>
      <c r="W11" s="62">
        <v>22.575026558436715</v>
      </c>
      <c r="X11" s="62">
        <v>23.483789767227794</v>
      </c>
      <c r="Y11" s="66">
        <v>35.433560015959749</v>
      </c>
      <c r="Z11" s="66">
        <v>36.859946630196568</v>
      </c>
      <c r="AA11" s="67">
        <v>0</v>
      </c>
      <c r="AB11" s="68">
        <v>51.752042171690945</v>
      </c>
      <c r="AC11" s="69">
        <v>0</v>
      </c>
      <c r="AD11" s="406">
        <v>6.4538527736438773</v>
      </c>
      <c r="AE11" s="406">
        <v>6.2273917665851641</v>
      </c>
      <c r="AF11" s="69">
        <v>11.998343551158905</v>
      </c>
      <c r="AG11" s="68">
        <v>5.7983095707536689</v>
      </c>
      <c r="AH11" s="68">
        <v>6.0317219389492172</v>
      </c>
      <c r="AI11" s="68">
        <v>0.49013475289545483</v>
      </c>
      <c r="AJ11" s="69">
        <v>242.46985623041792</v>
      </c>
      <c r="AK11" s="69">
        <v>939.69914712905893</v>
      </c>
      <c r="AL11" s="69">
        <v>2896.8197792053224</v>
      </c>
      <c r="AM11" s="69">
        <v>985.43426513671875</v>
      </c>
      <c r="AN11" s="69">
        <v>4755.460693359375</v>
      </c>
      <c r="AO11" s="69">
        <v>2703.3710789998377</v>
      </c>
      <c r="AP11" s="69">
        <v>545.91244888305653</v>
      </c>
      <c r="AQ11" s="69">
        <v>1706.6918908437092</v>
      </c>
      <c r="AR11" s="69">
        <v>446.20974117914835</v>
      </c>
      <c r="AS11" s="69">
        <v>530.06647761662805</v>
      </c>
    </row>
    <row r="12" spans="1:49" x14ac:dyDescent="0.25">
      <c r="A12" s="11">
        <v>43926</v>
      </c>
      <c r="B12" s="59"/>
      <c r="C12" s="60">
        <v>66.328945958615066</v>
      </c>
      <c r="D12" s="60">
        <v>967.43689359029156</v>
      </c>
      <c r="E12" s="60">
        <v>15.697643726567412</v>
      </c>
      <c r="F12" s="60">
        <v>0</v>
      </c>
      <c r="G12" s="60">
        <v>2656.8255653381366</v>
      </c>
      <c r="H12" s="61">
        <v>25.044756309191371</v>
      </c>
      <c r="I12" s="59">
        <v>68.587285935878754</v>
      </c>
      <c r="J12" s="60">
        <v>238.96464441617283</v>
      </c>
      <c r="K12" s="60">
        <v>13.503358490268415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165.172129803677</v>
      </c>
      <c r="V12" s="62">
        <v>172.05095275993833</v>
      </c>
      <c r="W12" s="62">
        <v>23.485420301808205</v>
      </c>
      <c r="X12" s="62">
        <v>24.463503278043625</v>
      </c>
      <c r="Y12" s="66">
        <v>36.44549473846368</v>
      </c>
      <c r="Z12" s="66">
        <v>37.963318030790475</v>
      </c>
      <c r="AA12" s="67">
        <v>0</v>
      </c>
      <c r="AB12" s="68">
        <v>51.099573336707813</v>
      </c>
      <c r="AC12" s="69">
        <v>0</v>
      </c>
      <c r="AD12" s="406">
        <v>6.4414996706996739</v>
      </c>
      <c r="AE12" s="406">
        <v>6.2186772822210514</v>
      </c>
      <c r="AF12" s="69">
        <v>12.411727590031106</v>
      </c>
      <c r="AG12" s="68">
        <v>5.9996755396034533</v>
      </c>
      <c r="AH12" s="68">
        <v>6.249540367773907</v>
      </c>
      <c r="AI12" s="68">
        <v>0.48980078275785932</v>
      </c>
      <c r="AJ12" s="69">
        <v>243.43796950976056</v>
      </c>
      <c r="AK12" s="69">
        <v>942.77647857666034</v>
      </c>
      <c r="AL12" s="69">
        <v>2949.6991210937499</v>
      </c>
      <c r="AM12" s="69">
        <v>985.43426513671875</v>
      </c>
      <c r="AN12" s="69">
        <v>4755.460693359375</v>
      </c>
      <c r="AO12" s="69">
        <v>2595.7904619852702</v>
      </c>
      <c r="AP12" s="69">
        <v>486.48510073026023</v>
      </c>
      <c r="AQ12" s="69">
        <v>1634.1854757308963</v>
      </c>
      <c r="AR12" s="69">
        <v>418.5938004175822</v>
      </c>
      <c r="AS12" s="69">
        <v>656.6980460166933</v>
      </c>
    </row>
    <row r="13" spans="1:49" x14ac:dyDescent="0.25">
      <c r="A13" s="11">
        <v>43927</v>
      </c>
      <c r="B13" s="59"/>
      <c r="C13" s="60">
        <v>66.838933046658681</v>
      </c>
      <c r="D13" s="60">
        <v>968.17699019113979</v>
      </c>
      <c r="E13" s="60">
        <v>15.769558311998836</v>
      </c>
      <c r="F13" s="60">
        <v>0</v>
      </c>
      <c r="G13" s="60">
        <v>2617.0147015889456</v>
      </c>
      <c r="H13" s="61">
        <v>24.827322821815773</v>
      </c>
      <c r="I13" s="59">
        <v>70.653436422348022</v>
      </c>
      <c r="J13" s="60">
        <v>238.3589925765983</v>
      </c>
      <c r="K13" s="60">
        <v>13.511179443200456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166.049532839942</v>
      </c>
      <c r="V13" s="62">
        <v>171.28948892756458</v>
      </c>
      <c r="W13" s="62">
        <v>23.323909827940867</v>
      </c>
      <c r="X13" s="62">
        <v>24.059932755556598</v>
      </c>
      <c r="Y13" s="66">
        <v>37.221541445803311</v>
      </c>
      <c r="Z13" s="66">
        <v>38.396126157689459</v>
      </c>
      <c r="AA13" s="67">
        <v>0</v>
      </c>
      <c r="AB13" s="68">
        <v>51.103340000577035</v>
      </c>
      <c r="AC13" s="69">
        <v>0</v>
      </c>
      <c r="AD13" s="406">
        <v>6.4234739930951577</v>
      </c>
      <c r="AE13" s="406">
        <v>6.2183752051655272</v>
      </c>
      <c r="AF13" s="69">
        <v>12.361705455515111</v>
      </c>
      <c r="AG13" s="68">
        <v>5.9996949507251962</v>
      </c>
      <c r="AH13" s="68">
        <v>6.1890248304499087</v>
      </c>
      <c r="AI13" s="68">
        <v>0.49223339763634882</v>
      </c>
      <c r="AJ13" s="69">
        <v>231.77614134947461</v>
      </c>
      <c r="AK13" s="69">
        <v>944.75478610992423</v>
      </c>
      <c r="AL13" s="69">
        <v>2896.0365306854246</v>
      </c>
      <c r="AM13" s="69">
        <v>985.43426513671875</v>
      </c>
      <c r="AN13" s="69">
        <v>4755.460693359375</v>
      </c>
      <c r="AO13" s="69">
        <v>2599.5562604268393</v>
      </c>
      <c r="AP13" s="69">
        <v>457.74150438308709</v>
      </c>
      <c r="AQ13" s="69">
        <v>1622.7647909164432</v>
      </c>
      <c r="AR13" s="69">
        <v>412.93119459152223</v>
      </c>
      <c r="AS13" s="69">
        <v>676.67055578231805</v>
      </c>
    </row>
    <row r="14" spans="1:49" x14ac:dyDescent="0.25">
      <c r="A14" s="11">
        <v>43928</v>
      </c>
      <c r="B14" s="59"/>
      <c r="C14" s="60">
        <v>66.770943220456829</v>
      </c>
      <c r="D14" s="60">
        <v>967.71750729878465</v>
      </c>
      <c r="E14" s="60">
        <v>15.81578270296254</v>
      </c>
      <c r="F14" s="60">
        <v>0</v>
      </c>
      <c r="G14" s="60">
        <v>2543.0272622426437</v>
      </c>
      <c r="H14" s="61">
        <v>24.809505432844123</v>
      </c>
      <c r="I14" s="59">
        <v>70.761563181877136</v>
      </c>
      <c r="J14" s="60">
        <v>238.94045885403935</v>
      </c>
      <c r="K14" s="60">
        <v>13.429471298058818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164.93353077474632</v>
      </c>
      <c r="V14" s="62">
        <v>171.70565207895498</v>
      </c>
      <c r="W14" s="62">
        <v>23.376254189757713</v>
      </c>
      <c r="X14" s="62">
        <v>24.336076175423312</v>
      </c>
      <c r="Y14" s="66">
        <v>36.035664883496914</v>
      </c>
      <c r="Z14" s="66">
        <v>37.515278475242198</v>
      </c>
      <c r="AA14" s="67">
        <v>0</v>
      </c>
      <c r="AB14" s="68">
        <v>51.168618800905215</v>
      </c>
      <c r="AC14" s="69">
        <v>0</v>
      </c>
      <c r="AD14" s="406">
        <v>6.4403804996599963</v>
      </c>
      <c r="AE14" s="406">
        <v>6.2159570075527908</v>
      </c>
      <c r="AF14" s="69">
        <v>12.136820834543979</v>
      </c>
      <c r="AG14" s="68">
        <v>5.8583588013898904</v>
      </c>
      <c r="AH14" s="68">
        <v>6.0989012566458438</v>
      </c>
      <c r="AI14" s="68">
        <v>0.48994157298208546</v>
      </c>
      <c r="AJ14" s="69">
        <v>233.66260940233866</v>
      </c>
      <c r="AK14" s="69">
        <v>949.04754657745366</v>
      </c>
      <c r="AL14" s="69">
        <v>2943.7577106475824</v>
      </c>
      <c r="AM14" s="69">
        <v>985.43426513671875</v>
      </c>
      <c r="AN14" s="69">
        <v>4755.460693359375</v>
      </c>
      <c r="AO14" s="69">
        <v>2631.8162923177078</v>
      </c>
      <c r="AP14" s="69">
        <v>481.61226889292402</v>
      </c>
      <c r="AQ14" s="69">
        <v>1621.047989018758</v>
      </c>
      <c r="AR14" s="69">
        <v>411.95470587412512</v>
      </c>
      <c r="AS14" s="69">
        <v>687.2114104270936</v>
      </c>
    </row>
    <row r="15" spans="1:49" x14ac:dyDescent="0.25">
      <c r="A15" s="11">
        <v>43929</v>
      </c>
      <c r="B15" s="59"/>
      <c r="C15" s="60">
        <v>66.155553102493315</v>
      </c>
      <c r="D15" s="60">
        <v>968.5982898712117</v>
      </c>
      <c r="E15" s="60">
        <v>15.860467797517783</v>
      </c>
      <c r="F15" s="60">
        <v>0</v>
      </c>
      <c r="G15" s="60">
        <v>2490.6078564961776</v>
      </c>
      <c r="H15" s="61">
        <v>25.009173988302539</v>
      </c>
      <c r="I15" s="59">
        <v>71.337208688259125</v>
      </c>
      <c r="J15" s="60">
        <v>240.84080001513115</v>
      </c>
      <c r="K15" s="60">
        <v>13.362744974096644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164.54932534449068</v>
      </c>
      <c r="V15" s="62">
        <v>171.39429203120335</v>
      </c>
      <c r="W15" s="62">
        <v>23.02110482049072</v>
      </c>
      <c r="X15" s="62">
        <v>23.978742873747287</v>
      </c>
      <c r="Y15" s="66">
        <v>38.222531416577269</v>
      </c>
      <c r="Z15" s="66">
        <v>39.812522464432149</v>
      </c>
      <c r="AA15" s="67">
        <v>0</v>
      </c>
      <c r="AB15" s="68">
        <v>51.730308707554968</v>
      </c>
      <c r="AC15" s="69">
        <v>0</v>
      </c>
      <c r="AD15" s="406">
        <v>6.4919789570666344</v>
      </c>
      <c r="AE15" s="406">
        <v>6.2212136449546378</v>
      </c>
      <c r="AF15" s="69">
        <v>12.288291616903432</v>
      </c>
      <c r="AG15" s="68">
        <v>5.9093937489334127</v>
      </c>
      <c r="AH15" s="68">
        <v>6.1552142849060418</v>
      </c>
      <c r="AI15" s="68">
        <v>0.48981232812192743</v>
      </c>
      <c r="AJ15" s="69">
        <v>241.43153738975525</v>
      </c>
      <c r="AK15" s="69">
        <v>969.90847123463959</v>
      </c>
      <c r="AL15" s="69">
        <v>2879.6029543558757</v>
      </c>
      <c r="AM15" s="69">
        <v>985.43426513671875</v>
      </c>
      <c r="AN15" s="69">
        <v>4755.460693359375</v>
      </c>
      <c r="AO15" s="69">
        <v>2677.6346499125161</v>
      </c>
      <c r="AP15" s="69">
        <v>474.15690070788077</v>
      </c>
      <c r="AQ15" s="69">
        <v>1625.7818486531573</v>
      </c>
      <c r="AR15" s="69">
        <v>408.51451702117924</v>
      </c>
      <c r="AS15" s="69">
        <v>673.0503326416017</v>
      </c>
    </row>
    <row r="16" spans="1:49" x14ac:dyDescent="0.25">
      <c r="A16" s="11">
        <v>43930</v>
      </c>
      <c r="B16" s="59"/>
      <c r="C16" s="60">
        <v>65.530279405912182</v>
      </c>
      <c r="D16" s="60">
        <v>968.9705842335984</v>
      </c>
      <c r="E16" s="60">
        <v>15.879608915249527</v>
      </c>
      <c r="F16" s="60">
        <v>0</v>
      </c>
      <c r="G16" s="60">
        <v>2516.641638437904</v>
      </c>
      <c r="H16" s="61">
        <v>25.00032800932728</v>
      </c>
      <c r="I16" s="59">
        <v>71.201130926609039</v>
      </c>
      <c r="J16" s="60">
        <v>240.19670877456622</v>
      </c>
      <c r="K16" s="60">
        <v>13.679826956987412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164.03474943486447</v>
      </c>
      <c r="V16" s="62">
        <v>166.32130836797134</v>
      </c>
      <c r="W16" s="62">
        <v>24.176929810296276</v>
      </c>
      <c r="X16" s="62">
        <v>24.51394361391587</v>
      </c>
      <c r="Y16" s="66">
        <v>38.343240088504636</v>
      </c>
      <c r="Z16" s="66">
        <v>38.877724875726173</v>
      </c>
      <c r="AA16" s="67">
        <v>0</v>
      </c>
      <c r="AB16" s="68">
        <v>51.741878856552731</v>
      </c>
      <c r="AC16" s="69">
        <v>0</v>
      </c>
      <c r="AD16" s="406">
        <v>6.4736420721924279</v>
      </c>
      <c r="AE16" s="406">
        <v>6.224053552002057</v>
      </c>
      <c r="AF16" s="69">
        <v>12.09708153373666</v>
      </c>
      <c r="AG16" s="68">
        <v>5.898106048991151</v>
      </c>
      <c r="AH16" s="68">
        <v>5.9803225739725709</v>
      </c>
      <c r="AI16" s="68">
        <v>0.49653925078850597</v>
      </c>
      <c r="AJ16" s="69">
        <v>228.8537390391032</v>
      </c>
      <c r="AK16" s="69">
        <v>936.62231365839625</v>
      </c>
      <c r="AL16" s="69">
        <v>2927.4101050058998</v>
      </c>
      <c r="AM16" s="69">
        <v>985.43426513671875</v>
      </c>
      <c r="AN16" s="69">
        <v>4755.460693359375</v>
      </c>
      <c r="AO16" s="69">
        <v>2582.3984092712399</v>
      </c>
      <c r="AP16" s="69">
        <v>454.23574547767623</v>
      </c>
      <c r="AQ16" s="69">
        <v>1635.966498819987</v>
      </c>
      <c r="AR16" s="69">
        <v>406.46414972941085</v>
      </c>
      <c r="AS16" s="69">
        <v>557.93358405431104</v>
      </c>
    </row>
    <row r="17" spans="1:45" x14ac:dyDescent="0.25">
      <c r="A17" s="11">
        <v>43931</v>
      </c>
      <c r="B17" s="49"/>
      <c r="C17" s="50">
        <v>65.401001230875522</v>
      </c>
      <c r="D17" s="50">
        <v>969.39442685444942</v>
      </c>
      <c r="E17" s="50">
        <v>15.853394224743035</v>
      </c>
      <c r="F17" s="50">
        <v>0</v>
      </c>
      <c r="G17" s="50">
        <v>2530.5381518046111</v>
      </c>
      <c r="H17" s="51">
        <v>24.929199771086314</v>
      </c>
      <c r="I17" s="49">
        <v>71.107086777687073</v>
      </c>
      <c r="J17" s="50">
        <v>239.81300319035779</v>
      </c>
      <c r="K17" s="50">
        <v>13.660521859924046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159.14361782915319</v>
      </c>
      <c r="V17" s="66">
        <v>165.74277192440454</v>
      </c>
      <c r="W17" s="62">
        <v>22.902059839115903</v>
      </c>
      <c r="X17" s="62">
        <v>23.851731739494856</v>
      </c>
      <c r="Y17" s="66">
        <v>37.469630344056547</v>
      </c>
      <c r="Z17" s="66">
        <v>39.023370719608316</v>
      </c>
      <c r="AA17" s="67">
        <v>0</v>
      </c>
      <c r="AB17" s="68">
        <v>51.742941506703133</v>
      </c>
      <c r="AC17" s="69">
        <v>0</v>
      </c>
      <c r="AD17" s="406">
        <v>6.463843293229897</v>
      </c>
      <c r="AE17" s="406">
        <v>6.2272434880659402</v>
      </c>
      <c r="AF17" s="69">
        <v>12.117410173349928</v>
      </c>
      <c r="AG17" s="68">
        <v>5.8311661310063929</v>
      </c>
      <c r="AH17" s="68">
        <v>6.0729651071666098</v>
      </c>
      <c r="AI17" s="68">
        <v>0.48984390497204705</v>
      </c>
      <c r="AJ17" s="69">
        <v>228.82918985684711</v>
      </c>
      <c r="AK17" s="69">
        <v>944.10460627873715</v>
      </c>
      <c r="AL17" s="69">
        <v>3029.3002166748051</v>
      </c>
      <c r="AM17" s="69">
        <v>985.43426513671875</v>
      </c>
      <c r="AN17" s="69">
        <v>4755.460693359375</v>
      </c>
      <c r="AO17" s="69">
        <v>2694.5273671468099</v>
      </c>
      <c r="AP17" s="69">
        <v>482.99344954490658</v>
      </c>
      <c r="AQ17" s="69">
        <v>1650.2469204584759</v>
      </c>
      <c r="AR17" s="69">
        <v>408.93655735651652</v>
      </c>
      <c r="AS17" s="69">
        <v>690.82288824717193</v>
      </c>
    </row>
    <row r="18" spans="1:45" x14ac:dyDescent="0.25">
      <c r="A18" s="11">
        <v>43932</v>
      </c>
      <c r="B18" s="59"/>
      <c r="C18" s="60">
        <v>65.164113545417905</v>
      </c>
      <c r="D18" s="60">
        <v>976.44293588002358</v>
      </c>
      <c r="E18" s="60">
        <v>15.828060632447359</v>
      </c>
      <c r="F18" s="60">
        <v>0</v>
      </c>
      <c r="G18" s="60">
        <v>2562.5856215159192</v>
      </c>
      <c r="H18" s="61">
        <v>24.92978820502756</v>
      </c>
      <c r="I18" s="59">
        <v>70.07394015789032</v>
      </c>
      <c r="J18" s="60">
        <v>239.84515199661183</v>
      </c>
      <c r="K18" s="60">
        <v>13.673306318124181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163.35910825845434</v>
      </c>
      <c r="V18" s="66">
        <v>170.16046917057423</v>
      </c>
      <c r="W18" s="62">
        <v>23.681264887801888</v>
      </c>
      <c r="X18" s="62">
        <v>24.667220498569719</v>
      </c>
      <c r="Y18" s="66">
        <v>38.625514796800587</v>
      </c>
      <c r="Z18" s="66">
        <v>40.233665510587755</v>
      </c>
      <c r="AA18" s="67">
        <v>0</v>
      </c>
      <c r="AB18" s="68">
        <v>51.744843779669587</v>
      </c>
      <c r="AC18" s="69">
        <v>0</v>
      </c>
      <c r="AD18" s="406">
        <v>6.4641170711745959</v>
      </c>
      <c r="AE18" s="406">
        <v>6.22169631266281</v>
      </c>
      <c r="AF18" s="69">
        <v>12.466518803437561</v>
      </c>
      <c r="AG18" s="68">
        <v>5.9995270632311701</v>
      </c>
      <c r="AH18" s="68">
        <v>6.249313862963862</v>
      </c>
      <c r="AI18" s="68">
        <v>0.48980365565861395</v>
      </c>
      <c r="AJ18" s="69">
        <v>242.45508108139038</v>
      </c>
      <c r="AK18" s="69">
        <v>963.1352431615195</v>
      </c>
      <c r="AL18" s="69">
        <v>2871.9391778310141</v>
      </c>
      <c r="AM18" s="69">
        <v>985.43426513671875</v>
      </c>
      <c r="AN18" s="69">
        <v>4755.460693359375</v>
      </c>
      <c r="AO18" s="69">
        <v>2638.9469032287598</v>
      </c>
      <c r="AP18" s="69">
        <v>468.47352849642436</v>
      </c>
      <c r="AQ18" s="69">
        <v>1625.5450094223022</v>
      </c>
      <c r="AR18" s="69">
        <v>406.67522754669187</v>
      </c>
      <c r="AS18" s="69">
        <v>671.00562175114942</v>
      </c>
    </row>
    <row r="19" spans="1:45" x14ac:dyDescent="0.25">
      <c r="A19" s="11">
        <v>43933</v>
      </c>
      <c r="B19" s="59"/>
      <c r="C19" s="60">
        <v>65.442808266481123</v>
      </c>
      <c r="D19" s="60">
        <v>969.8889817555721</v>
      </c>
      <c r="E19" s="60">
        <v>15.450580500562968</v>
      </c>
      <c r="F19" s="60">
        <v>0</v>
      </c>
      <c r="G19" s="60">
        <v>2619.0385195414215</v>
      </c>
      <c r="H19" s="61">
        <v>25.072240736087174</v>
      </c>
      <c r="I19" s="59">
        <v>69.521150946617126</v>
      </c>
      <c r="J19" s="60">
        <v>242.56165788968386</v>
      </c>
      <c r="K19" s="60">
        <v>13.441854473948471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160.24579492891596</v>
      </c>
      <c r="V19" s="66">
        <v>166.6754298559363</v>
      </c>
      <c r="W19" s="62">
        <v>23.651752892547378</v>
      </c>
      <c r="X19" s="62">
        <v>24.600745885159981</v>
      </c>
      <c r="Y19" s="66">
        <v>38.054476086910327</v>
      </c>
      <c r="Z19" s="66">
        <v>39.581357891742698</v>
      </c>
      <c r="AA19" s="67">
        <v>0</v>
      </c>
      <c r="AB19" s="68">
        <v>51.744133983717674</v>
      </c>
      <c r="AC19" s="69">
        <v>0</v>
      </c>
      <c r="AD19" s="406">
        <v>6.5368074137330527</v>
      </c>
      <c r="AE19" s="406">
        <v>6.2293324741134377</v>
      </c>
      <c r="AF19" s="69">
        <v>12.204652175307288</v>
      </c>
      <c r="AG19" s="68">
        <v>5.8708242669883388</v>
      </c>
      <c r="AH19" s="68">
        <v>6.1063827524647998</v>
      </c>
      <c r="AI19" s="68">
        <v>0.49016638498884291</v>
      </c>
      <c r="AJ19" s="69">
        <v>264.82909892400107</v>
      </c>
      <c r="AK19" s="69">
        <v>961.1426000595095</v>
      </c>
      <c r="AL19" s="69">
        <v>2862.1079850514734</v>
      </c>
      <c r="AM19" s="69">
        <v>985.43426513671875</v>
      </c>
      <c r="AN19" s="69">
        <v>4755.460693359375</v>
      </c>
      <c r="AO19" s="69">
        <v>2738.7826730092365</v>
      </c>
      <c r="AP19" s="69">
        <v>573.31559232076006</v>
      </c>
      <c r="AQ19" s="69">
        <v>1708.4813713073731</v>
      </c>
      <c r="AR19" s="69">
        <v>479.36442311604804</v>
      </c>
      <c r="AS19" s="69">
        <v>532.95380751291918</v>
      </c>
    </row>
    <row r="20" spans="1:45" x14ac:dyDescent="0.25">
      <c r="A20" s="11">
        <v>43934</v>
      </c>
      <c r="B20" s="59"/>
      <c r="C20" s="60">
        <v>66.39568733771668</v>
      </c>
      <c r="D20" s="60">
        <v>980.93118737538714</v>
      </c>
      <c r="E20" s="60">
        <v>15.297690659264743</v>
      </c>
      <c r="F20" s="60">
        <v>0</v>
      </c>
      <c r="G20" s="60">
        <v>2777.6507483164473</v>
      </c>
      <c r="H20" s="61">
        <v>25.051034496227913</v>
      </c>
      <c r="I20" s="59">
        <v>70.211172938346863</v>
      </c>
      <c r="J20" s="60">
        <v>244.51657861073767</v>
      </c>
      <c r="K20" s="60">
        <v>13.500811549027791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158.64876646710258</v>
      </c>
      <c r="V20" s="62">
        <v>144.95724466927004</v>
      </c>
      <c r="W20" s="62">
        <v>22.800210510839104</v>
      </c>
      <c r="X20" s="62">
        <v>20.832533193479971</v>
      </c>
      <c r="Y20" s="66">
        <v>38.674272345002862</v>
      </c>
      <c r="Z20" s="66">
        <v>35.336650158468458</v>
      </c>
      <c r="AA20" s="67">
        <v>0</v>
      </c>
      <c r="AB20" s="68">
        <v>53.568161794874328</v>
      </c>
      <c r="AC20" s="69">
        <v>0</v>
      </c>
      <c r="AD20" s="406">
        <v>6.5891748817023776</v>
      </c>
      <c r="AE20" s="406">
        <v>6.2353991076251249</v>
      </c>
      <c r="AF20" s="69">
        <v>11.328092467784883</v>
      </c>
      <c r="AG20" s="68">
        <v>5.8069169934258005</v>
      </c>
      <c r="AH20" s="68">
        <v>5.3057751795675756</v>
      </c>
      <c r="AI20" s="68">
        <v>0.52254817311848711</v>
      </c>
      <c r="AJ20" s="69">
        <v>284.11094873746231</v>
      </c>
      <c r="AK20" s="69">
        <v>1007.7221370061239</v>
      </c>
      <c r="AL20" s="69">
        <v>2850.9049031575519</v>
      </c>
      <c r="AM20" s="69">
        <v>985.43426513671875</v>
      </c>
      <c r="AN20" s="69">
        <v>4755.460693359375</v>
      </c>
      <c r="AO20" s="69">
        <v>2874.2003740946457</v>
      </c>
      <c r="AP20" s="69">
        <v>985.38181695938101</v>
      </c>
      <c r="AQ20" s="69">
        <v>1730.6285223642985</v>
      </c>
      <c r="AR20" s="69">
        <v>524.71077702840171</v>
      </c>
      <c r="AS20" s="69">
        <v>583.09890286127734</v>
      </c>
    </row>
    <row r="21" spans="1:45" x14ac:dyDescent="0.25">
      <c r="A21" s="11">
        <v>43935</v>
      </c>
      <c r="B21" s="59"/>
      <c r="C21" s="60">
        <v>65.760459220409359</v>
      </c>
      <c r="D21" s="60">
        <v>987.9976672490435</v>
      </c>
      <c r="E21" s="60">
        <v>15.268813241024814</v>
      </c>
      <c r="F21" s="60">
        <v>0</v>
      </c>
      <c r="G21" s="60">
        <v>2814.7982666015578</v>
      </c>
      <c r="H21" s="61">
        <v>25.048180183768284</v>
      </c>
      <c r="I21" s="59">
        <v>72.287016212940216</v>
      </c>
      <c r="J21" s="60">
        <v>239.72606552441874</v>
      </c>
      <c r="K21" s="60">
        <v>13.463611988226585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161.03969812747434</v>
      </c>
      <c r="V21" s="62">
        <v>167.76341099914387</v>
      </c>
      <c r="W21" s="62">
        <v>23.986141963721167</v>
      </c>
      <c r="X21" s="62">
        <v>24.98760888981726</v>
      </c>
      <c r="Y21" s="66">
        <v>35.697517721850268</v>
      </c>
      <c r="Z21" s="66">
        <v>37.187956801058313</v>
      </c>
      <c r="AA21" s="67">
        <v>0</v>
      </c>
      <c r="AB21" s="68">
        <v>54.368724364705244</v>
      </c>
      <c r="AC21" s="69">
        <v>0</v>
      </c>
      <c r="AD21" s="406">
        <v>6.4618941856396805</v>
      </c>
      <c r="AE21" s="406">
        <v>6.2471890653504181</v>
      </c>
      <c r="AF21" s="69">
        <v>12.466375764873288</v>
      </c>
      <c r="AG21" s="68">
        <v>5.9996684066287989</v>
      </c>
      <c r="AH21" s="68">
        <v>6.2501659433260359</v>
      </c>
      <c r="AI21" s="68">
        <v>0.48977547248636222</v>
      </c>
      <c r="AJ21" s="69">
        <v>276.83546977043159</v>
      </c>
      <c r="AK21" s="69">
        <v>1002.4779264450074</v>
      </c>
      <c r="AL21" s="69">
        <v>2874.8113733927407</v>
      </c>
      <c r="AM21" s="69">
        <v>985.43426513671875</v>
      </c>
      <c r="AN21" s="69">
        <v>4755.460693359375</v>
      </c>
      <c r="AO21" s="69">
        <v>2818.256899642945</v>
      </c>
      <c r="AP21" s="69">
        <v>1006.4748371442159</v>
      </c>
      <c r="AQ21" s="69">
        <v>1728.257946141561</v>
      </c>
      <c r="AR21" s="69">
        <v>501.23522453308107</v>
      </c>
      <c r="AS21" s="69">
        <v>589.65304238001511</v>
      </c>
    </row>
    <row r="22" spans="1:45" x14ac:dyDescent="0.25">
      <c r="A22" s="11">
        <v>43936</v>
      </c>
      <c r="B22" s="59"/>
      <c r="C22" s="60">
        <v>65.972164424260427</v>
      </c>
      <c r="D22" s="60">
        <v>974.77319679260142</v>
      </c>
      <c r="E22" s="60">
        <v>15.383208554983138</v>
      </c>
      <c r="F22" s="60">
        <v>0</v>
      </c>
      <c r="G22" s="60">
        <v>2585.3897225697801</v>
      </c>
      <c r="H22" s="61">
        <v>24.93405056993171</v>
      </c>
      <c r="I22" s="59">
        <v>72.95435106754303</v>
      </c>
      <c r="J22" s="60">
        <v>240.26964942614185</v>
      </c>
      <c r="K22" s="60">
        <v>13.52598825196424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158.94663935915449</v>
      </c>
      <c r="V22" s="62">
        <v>165.55484515148075</v>
      </c>
      <c r="W22" s="62">
        <v>23.886532712543094</v>
      </c>
      <c r="X22" s="62">
        <v>24.879615199005407</v>
      </c>
      <c r="Y22" s="66">
        <v>35.192661268153387</v>
      </c>
      <c r="Z22" s="66">
        <v>36.655795996746768</v>
      </c>
      <c r="AA22" s="67">
        <v>0</v>
      </c>
      <c r="AB22" s="68">
        <v>54.359688756201123</v>
      </c>
      <c r="AC22" s="69">
        <v>0</v>
      </c>
      <c r="AD22" s="406">
        <v>6.4763625677275982</v>
      </c>
      <c r="AE22" s="406">
        <v>6.234861072854514</v>
      </c>
      <c r="AF22" s="69">
        <v>12.297715334428682</v>
      </c>
      <c r="AG22" s="68">
        <v>5.9167932618288388</v>
      </c>
      <c r="AH22" s="68">
        <v>6.1627839141789362</v>
      </c>
      <c r="AI22" s="68">
        <v>0.48981791130741398</v>
      </c>
      <c r="AJ22" s="69">
        <v>255.59185530344644</v>
      </c>
      <c r="AK22" s="69">
        <v>954.40451920827218</v>
      </c>
      <c r="AL22" s="69">
        <v>2876.7911022186277</v>
      </c>
      <c r="AM22" s="69">
        <v>985.43426513671875</v>
      </c>
      <c r="AN22" s="69">
        <v>4755.460693359375</v>
      </c>
      <c r="AO22" s="69">
        <v>2808.1054974873859</v>
      </c>
      <c r="AP22" s="69">
        <v>548.58988477389016</v>
      </c>
      <c r="AQ22" s="69">
        <v>1708.2312267939249</v>
      </c>
      <c r="AR22" s="69">
        <v>459.64523394902551</v>
      </c>
      <c r="AS22" s="69">
        <v>546.12715730667105</v>
      </c>
    </row>
    <row r="23" spans="1:45" x14ac:dyDescent="0.25">
      <c r="A23" s="11">
        <v>43937</v>
      </c>
      <c r="B23" s="59"/>
      <c r="C23" s="60">
        <v>65.300732111930913</v>
      </c>
      <c r="D23" s="60">
        <v>976.29955685933203</v>
      </c>
      <c r="E23" s="60">
        <v>15.32238577206927</v>
      </c>
      <c r="F23" s="60">
        <v>0</v>
      </c>
      <c r="G23" s="60">
        <v>2664.3879875183138</v>
      </c>
      <c r="H23" s="61">
        <v>25.129635558525678</v>
      </c>
      <c r="I23" s="59">
        <v>73.078015740712488</v>
      </c>
      <c r="J23" s="60">
        <v>240.38419628143268</v>
      </c>
      <c r="K23" s="60">
        <v>13.067804000775011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158.46891426836444</v>
      </c>
      <c r="V23" s="62">
        <v>164.8034846167273</v>
      </c>
      <c r="W23" s="62">
        <v>23.778990069104939</v>
      </c>
      <c r="X23" s="62">
        <v>24.72952150993174</v>
      </c>
      <c r="Y23" s="66">
        <v>35.673937426358059</v>
      </c>
      <c r="Z23" s="66">
        <v>37.099952536474028</v>
      </c>
      <c r="AA23" s="67">
        <v>0</v>
      </c>
      <c r="AB23" s="68">
        <v>53.986770547761502</v>
      </c>
      <c r="AC23" s="69">
        <v>0</v>
      </c>
      <c r="AD23" s="406">
        <v>6.4795913768641649</v>
      </c>
      <c r="AE23" s="406">
        <v>6.2452884622195741</v>
      </c>
      <c r="AF23" s="69">
        <v>12.213398215505801</v>
      </c>
      <c r="AG23" s="68">
        <v>5.8997904575922346</v>
      </c>
      <c r="AH23" s="68">
        <v>6.1356262230277707</v>
      </c>
      <c r="AI23" s="68">
        <v>0.49020242623525906</v>
      </c>
      <c r="AJ23" s="69">
        <v>267.28413381576536</v>
      </c>
      <c r="AK23" s="69">
        <v>987.71131232579557</v>
      </c>
      <c r="AL23" s="69">
        <v>2905.4426503499353</v>
      </c>
      <c r="AM23" s="69">
        <v>985.43426513671875</v>
      </c>
      <c r="AN23" s="69">
        <v>4755.460693359375</v>
      </c>
      <c r="AO23" s="69">
        <v>2911.4838223775223</v>
      </c>
      <c r="AP23" s="69">
        <v>615.67990085283895</v>
      </c>
      <c r="AQ23" s="69">
        <v>1723.2021076202395</v>
      </c>
      <c r="AR23" s="69">
        <v>501.16796668370569</v>
      </c>
      <c r="AS23" s="69">
        <v>504.21466747919715</v>
      </c>
    </row>
    <row r="24" spans="1:45" x14ac:dyDescent="0.25">
      <c r="A24" s="11">
        <v>43938</v>
      </c>
      <c r="B24" s="59"/>
      <c r="C24" s="60">
        <v>66.189580448468703</v>
      </c>
      <c r="D24" s="60">
        <v>977.24745362599595</v>
      </c>
      <c r="E24" s="60">
        <v>15.881877706448208</v>
      </c>
      <c r="F24" s="60">
        <v>0</v>
      </c>
      <c r="G24" s="60">
        <v>2683.5681529998838</v>
      </c>
      <c r="H24" s="61">
        <v>25.279935913284625</v>
      </c>
      <c r="I24" s="59">
        <v>72.299730181694031</v>
      </c>
      <c r="J24" s="60">
        <v>237.29301145871426</v>
      </c>
      <c r="K24" s="60">
        <v>12.591261512041088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159.19207246055097</v>
      </c>
      <c r="V24" s="62">
        <v>165.81984072245118</v>
      </c>
      <c r="W24" s="62">
        <v>23.478100041855321</v>
      </c>
      <c r="X24" s="62">
        <v>24.455582173358366</v>
      </c>
      <c r="Y24" s="66">
        <v>34.682756497677644</v>
      </c>
      <c r="Z24" s="66">
        <v>36.126730868998706</v>
      </c>
      <c r="AA24" s="67">
        <v>0</v>
      </c>
      <c r="AB24" s="68">
        <v>53.723518260320532</v>
      </c>
      <c r="AC24" s="69">
        <v>0</v>
      </c>
      <c r="AD24" s="406">
        <v>6.3955000324789815</v>
      </c>
      <c r="AE24" s="406">
        <v>6.2507223266068097</v>
      </c>
      <c r="AF24" s="69">
        <v>12.115552068087796</v>
      </c>
      <c r="AG24" s="68">
        <v>5.855928228042762</v>
      </c>
      <c r="AH24" s="68">
        <v>6.0997326754244323</v>
      </c>
      <c r="AI24" s="68">
        <v>0.48980380719434063</v>
      </c>
      <c r="AJ24" s="69">
        <v>263.41506937344866</v>
      </c>
      <c r="AK24" s="69">
        <v>980.4627031326296</v>
      </c>
      <c r="AL24" s="69">
        <v>2823.798561859131</v>
      </c>
      <c r="AM24" s="69">
        <v>985.43426513671875</v>
      </c>
      <c r="AN24" s="69">
        <v>4755.460693359375</v>
      </c>
      <c r="AO24" s="69">
        <v>2797.8483346303301</v>
      </c>
      <c r="AP24" s="69">
        <v>1070.0617416381838</v>
      </c>
      <c r="AQ24" s="69">
        <v>1737.852990023295</v>
      </c>
      <c r="AR24" s="69">
        <v>482.2151332537332</v>
      </c>
      <c r="AS24" s="69">
        <v>540.28700300852461</v>
      </c>
    </row>
    <row r="25" spans="1:45" x14ac:dyDescent="0.25">
      <c r="A25" s="11">
        <v>43939</v>
      </c>
      <c r="B25" s="59"/>
      <c r="C25" s="60">
        <v>65.824312158426054</v>
      </c>
      <c r="D25" s="60">
        <v>977.55487785339096</v>
      </c>
      <c r="E25" s="60">
        <v>15.752463119228679</v>
      </c>
      <c r="F25" s="60">
        <v>0</v>
      </c>
      <c r="G25" s="60">
        <v>2586.093442408247</v>
      </c>
      <c r="H25" s="61">
        <v>25.062145505348841</v>
      </c>
      <c r="I25" s="59">
        <v>72.234064817428589</v>
      </c>
      <c r="J25" s="60">
        <v>237.75685040155972</v>
      </c>
      <c r="K25" s="60">
        <v>12.601688208182649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163.15063820269575</v>
      </c>
      <c r="V25" s="62">
        <v>169.97067150155394</v>
      </c>
      <c r="W25" s="62">
        <v>23.888807191095854</v>
      </c>
      <c r="X25" s="62">
        <v>24.887408620474663</v>
      </c>
      <c r="Y25" s="66">
        <v>34.826853198156833</v>
      </c>
      <c r="Z25" s="66">
        <v>36.282687518650171</v>
      </c>
      <c r="AA25" s="67">
        <v>0</v>
      </c>
      <c r="AB25" s="68">
        <v>53.72361498143966</v>
      </c>
      <c r="AC25" s="69">
        <v>0</v>
      </c>
      <c r="AD25" s="406">
        <v>6.4077898249336682</v>
      </c>
      <c r="AE25" s="406">
        <v>6.2525478651218567</v>
      </c>
      <c r="AF25" s="69">
        <v>12.412828695774072</v>
      </c>
      <c r="AG25" s="68">
        <v>5.999422949484245</v>
      </c>
      <c r="AH25" s="68">
        <v>6.2502112071347176</v>
      </c>
      <c r="AI25" s="68">
        <v>0.48976343887319435</v>
      </c>
      <c r="AJ25" s="69">
        <v>237.2055297533671</v>
      </c>
      <c r="AK25" s="69">
        <v>932.34261840184524</v>
      </c>
      <c r="AL25" s="69">
        <v>3241.1985769907628</v>
      </c>
      <c r="AM25" s="69">
        <v>985.43426513671875</v>
      </c>
      <c r="AN25" s="69">
        <v>4755.460693359375</v>
      </c>
      <c r="AO25" s="69">
        <v>2644.5387756347654</v>
      </c>
      <c r="AP25" s="69">
        <v>838.32972359657288</v>
      </c>
      <c r="AQ25" s="69">
        <v>1648.6551983515421</v>
      </c>
      <c r="AR25" s="69">
        <v>445.25185254414879</v>
      </c>
      <c r="AS25" s="69">
        <v>536.4170244852703</v>
      </c>
    </row>
    <row r="26" spans="1:45" x14ac:dyDescent="0.25">
      <c r="A26" s="11">
        <v>43940</v>
      </c>
      <c r="B26" s="59"/>
      <c r="C26" s="60">
        <v>65.444809007644494</v>
      </c>
      <c r="D26" s="60">
        <v>977.80403804779053</v>
      </c>
      <c r="E26" s="60">
        <v>15.773223587870572</v>
      </c>
      <c r="F26" s="60">
        <v>0</v>
      </c>
      <c r="G26" s="60">
        <v>2586.4600577036576</v>
      </c>
      <c r="H26" s="61">
        <v>25.357430754105287</v>
      </c>
      <c r="I26" s="59">
        <v>74.231746673583984</v>
      </c>
      <c r="J26" s="60">
        <v>237.87649124463326</v>
      </c>
      <c r="K26" s="60">
        <v>12.603355882565186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162.01238148663285</v>
      </c>
      <c r="V26" s="62">
        <v>168.73508035155683</v>
      </c>
      <c r="W26" s="62">
        <v>23.397174822278728</v>
      </c>
      <c r="X26" s="62">
        <v>24.36803988318853</v>
      </c>
      <c r="Y26" s="66">
        <v>34.455239503671542</v>
      </c>
      <c r="Z26" s="66">
        <v>35.884958623756994</v>
      </c>
      <c r="AA26" s="67">
        <v>0</v>
      </c>
      <c r="AB26" s="68">
        <v>54.012862767114576</v>
      </c>
      <c r="AC26" s="69">
        <v>0</v>
      </c>
      <c r="AD26" s="406">
        <v>6.4107103813507624</v>
      </c>
      <c r="AE26" s="406">
        <v>6.2543964373733054</v>
      </c>
      <c r="AF26" s="69">
        <v>12.278217253751214</v>
      </c>
      <c r="AG26" s="68">
        <v>5.9421118814825418</v>
      </c>
      <c r="AH26" s="68">
        <v>6.1886796341094605</v>
      </c>
      <c r="AI26" s="68">
        <v>0.48983711193494672</v>
      </c>
      <c r="AJ26" s="69">
        <v>235.06973797480265</v>
      </c>
      <c r="AK26" s="69">
        <v>929.46300783157346</v>
      </c>
      <c r="AL26" s="69">
        <v>2964.5918510437009</v>
      </c>
      <c r="AM26" s="69">
        <v>985.43426513671875</v>
      </c>
      <c r="AN26" s="69">
        <v>4755.460693359375</v>
      </c>
      <c r="AO26" s="69">
        <v>2645.0282351175942</v>
      </c>
      <c r="AP26" s="69">
        <v>513.94111235936498</v>
      </c>
      <c r="AQ26" s="69">
        <v>1660.9652500152588</v>
      </c>
      <c r="AR26" s="69">
        <v>441.95520156224569</v>
      </c>
      <c r="AS26" s="69">
        <v>527.70759611129756</v>
      </c>
    </row>
    <row r="27" spans="1:45" x14ac:dyDescent="0.25">
      <c r="A27" s="11">
        <v>43941</v>
      </c>
      <c r="B27" s="59"/>
      <c r="C27" s="60">
        <v>66.091986290614045</v>
      </c>
      <c r="D27" s="60">
        <v>978.88557236989323</v>
      </c>
      <c r="E27" s="60">
        <v>15.834167594710971</v>
      </c>
      <c r="F27" s="60">
        <v>0</v>
      </c>
      <c r="G27" s="60">
        <v>2578.3769526163737</v>
      </c>
      <c r="H27" s="61">
        <v>25.451388759414364</v>
      </c>
      <c r="I27" s="59">
        <v>78.575755417346954</v>
      </c>
      <c r="J27" s="60">
        <v>261.82716018358872</v>
      </c>
      <c r="K27" s="60">
        <v>13.908196581403379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171.0439349097303</v>
      </c>
      <c r="V27" s="62">
        <v>157.51665817608824</v>
      </c>
      <c r="W27" s="62">
        <v>25.197855677066368</v>
      </c>
      <c r="X27" s="62">
        <v>23.205043906114415</v>
      </c>
      <c r="Y27" s="62">
        <v>36.815863523338585</v>
      </c>
      <c r="Z27" s="62">
        <v>33.904223456527497</v>
      </c>
      <c r="AA27" s="72">
        <v>0</v>
      </c>
      <c r="AB27" s="69">
        <v>56.524388021892854</v>
      </c>
      <c r="AC27" s="69">
        <v>0</v>
      </c>
      <c r="AD27" s="406">
        <v>7.0581801969766342</v>
      </c>
      <c r="AE27" s="406">
        <v>6.2615279980714398</v>
      </c>
      <c r="AF27" s="69">
        <v>12.346748370925576</v>
      </c>
      <c r="AG27" s="69">
        <v>6.3227479926954082</v>
      </c>
      <c r="AH27" s="69">
        <v>5.8227035926445714</v>
      </c>
      <c r="AI27" s="69">
        <v>0.52058566519891325</v>
      </c>
      <c r="AJ27" s="69">
        <v>222.62347483634946</v>
      </c>
      <c r="AK27" s="69">
        <v>918.65421635309849</v>
      </c>
      <c r="AL27" s="69">
        <v>2954.9629890441893</v>
      </c>
      <c r="AM27" s="69">
        <v>985.43426513671875</v>
      </c>
      <c r="AN27" s="69">
        <v>4755.460693359375</v>
      </c>
      <c r="AO27" s="69">
        <v>2607.0622286478683</v>
      </c>
      <c r="AP27" s="69">
        <v>489.36317512194313</v>
      </c>
      <c r="AQ27" s="69">
        <v>1717.0320939381913</v>
      </c>
      <c r="AR27" s="69">
        <v>432.24964332580566</v>
      </c>
      <c r="AS27" s="69">
        <v>564.21293204625454</v>
      </c>
    </row>
    <row r="28" spans="1:45" x14ac:dyDescent="0.25">
      <c r="A28" s="11">
        <v>43942</v>
      </c>
      <c r="B28" s="59"/>
      <c r="C28" s="60">
        <v>66.459318856398639</v>
      </c>
      <c r="D28" s="60">
        <v>980.15289688110329</v>
      </c>
      <c r="E28" s="60">
        <v>15.900383629401517</v>
      </c>
      <c r="F28" s="60">
        <v>0</v>
      </c>
      <c r="G28" s="60">
        <v>2539.5914764404356</v>
      </c>
      <c r="H28" s="61">
        <v>25.469027893741924</v>
      </c>
      <c r="I28" s="59">
        <v>87.095547676086426</v>
      </c>
      <c r="J28" s="60">
        <v>312.0822816054029</v>
      </c>
      <c r="K28" s="60">
        <v>16.800737261772113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199.69032434600851</v>
      </c>
      <c r="V28" s="62">
        <v>156.0175472182232</v>
      </c>
      <c r="W28" s="62">
        <v>31.300988095390917</v>
      </c>
      <c r="X28" s="62">
        <v>24.455383124562029</v>
      </c>
      <c r="Y28" s="66">
        <v>52.07698307214752</v>
      </c>
      <c r="Z28" s="66">
        <v>40.687615647131331</v>
      </c>
      <c r="AA28" s="67">
        <v>0</v>
      </c>
      <c r="AB28" s="68">
        <v>61.812855084737436</v>
      </c>
      <c r="AC28" s="69">
        <v>0</v>
      </c>
      <c r="AD28" s="406">
        <v>8.4107107090241975</v>
      </c>
      <c r="AE28" s="406">
        <v>6.2694157014340703</v>
      </c>
      <c r="AF28" s="69">
        <v>14.062762385606785</v>
      </c>
      <c r="AG28" s="68">
        <v>7.8041479048371238</v>
      </c>
      <c r="AH28" s="68">
        <v>6.0973610926245199</v>
      </c>
      <c r="AI28" s="68">
        <v>0.56138854467253352</v>
      </c>
      <c r="AJ28" s="69">
        <v>217.20753388404844</v>
      </c>
      <c r="AK28" s="69">
        <v>926.93401689529423</v>
      </c>
      <c r="AL28" s="69">
        <v>3145.6853097279868</v>
      </c>
      <c r="AM28" s="69">
        <v>985.43426513671875</v>
      </c>
      <c r="AN28" s="69">
        <v>4755.460693359375</v>
      </c>
      <c r="AO28" s="69">
        <v>2593.3112840016684</v>
      </c>
      <c r="AP28" s="69">
        <v>490.55359590848286</v>
      </c>
      <c r="AQ28" s="69">
        <v>1824.6002192815142</v>
      </c>
      <c r="AR28" s="69">
        <v>423.9001288414002</v>
      </c>
      <c r="AS28" s="69">
        <v>617.73001699447627</v>
      </c>
    </row>
    <row r="29" spans="1:45" x14ac:dyDescent="0.25">
      <c r="A29" s="11">
        <v>43943</v>
      </c>
      <c r="B29" s="59"/>
      <c r="C29" s="60">
        <v>66.097046788533447</v>
      </c>
      <c r="D29" s="60">
        <v>976.75499801635692</v>
      </c>
      <c r="E29" s="60">
        <v>15.904512645800882</v>
      </c>
      <c r="F29" s="60">
        <v>0</v>
      </c>
      <c r="G29" s="60">
        <v>2537.0963638305666</v>
      </c>
      <c r="H29" s="61">
        <v>24.802985067168848</v>
      </c>
      <c r="I29" s="59">
        <v>89.773963212966919</v>
      </c>
      <c r="J29" s="60">
        <v>312.26052389144905</v>
      </c>
      <c r="K29" s="60">
        <v>16.791694678862868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202.27469454543899</v>
      </c>
      <c r="V29" s="62">
        <v>157.99610534571474</v>
      </c>
      <c r="W29" s="62">
        <v>30.809262339631744</v>
      </c>
      <c r="X29" s="62">
        <v>24.0650145050286</v>
      </c>
      <c r="Y29" s="66">
        <v>54.391953097593039</v>
      </c>
      <c r="Z29" s="66">
        <v>42.48537747580675</v>
      </c>
      <c r="AA29" s="67">
        <v>0</v>
      </c>
      <c r="AB29" s="68">
        <v>61.812914464209086</v>
      </c>
      <c r="AC29" s="69">
        <v>0</v>
      </c>
      <c r="AD29" s="406">
        <v>8.4147117726854823</v>
      </c>
      <c r="AE29" s="406">
        <v>6.2481376685254615</v>
      </c>
      <c r="AF29" s="69">
        <v>14.196596440341761</v>
      </c>
      <c r="AG29" s="68">
        <v>7.872192828501607</v>
      </c>
      <c r="AH29" s="68">
        <v>6.1489441881437017</v>
      </c>
      <c r="AI29" s="68">
        <v>0.56145181515279874</v>
      </c>
      <c r="AJ29" s="69">
        <v>221.29837005933123</v>
      </c>
      <c r="AK29" s="69">
        <v>929.31730391184499</v>
      </c>
      <c r="AL29" s="69">
        <v>2898.8511880238848</v>
      </c>
      <c r="AM29" s="69">
        <v>985.43426513671875</v>
      </c>
      <c r="AN29" s="69">
        <v>4755.460693359375</v>
      </c>
      <c r="AO29" s="69">
        <v>2574.2851108551026</v>
      </c>
      <c r="AP29" s="69">
        <v>489.1074655532837</v>
      </c>
      <c r="AQ29" s="69">
        <v>1824.4511555989584</v>
      </c>
      <c r="AR29" s="69">
        <v>402.2194901784261</v>
      </c>
      <c r="AS29" s="69">
        <v>650.26370782852166</v>
      </c>
    </row>
    <row r="30" spans="1:45" x14ac:dyDescent="0.25">
      <c r="A30" s="11">
        <v>43944</v>
      </c>
      <c r="B30" s="59"/>
      <c r="C30" s="60">
        <v>65.856669183572535</v>
      </c>
      <c r="D30" s="60">
        <v>974.21812858581359</v>
      </c>
      <c r="E30" s="60">
        <v>15.85514922738076</v>
      </c>
      <c r="F30" s="60">
        <v>0</v>
      </c>
      <c r="G30" s="60">
        <v>2556.4441493988115</v>
      </c>
      <c r="H30" s="61">
        <v>24.906405527393002</v>
      </c>
      <c r="I30" s="59">
        <v>89.763944923877716</v>
      </c>
      <c r="J30" s="60">
        <v>312.20864597956364</v>
      </c>
      <c r="K30" s="60">
        <v>16.802779447038958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204.76769794288006</v>
      </c>
      <c r="V30" s="62">
        <v>160.00514368021183</v>
      </c>
      <c r="W30" s="62">
        <v>30.450926441578694</v>
      </c>
      <c r="X30" s="62">
        <v>23.794304030509196</v>
      </c>
      <c r="Y30" s="66">
        <v>54.617705893945079</v>
      </c>
      <c r="Z30" s="66">
        <v>42.678185899623735</v>
      </c>
      <c r="AA30" s="67">
        <v>0</v>
      </c>
      <c r="AB30" s="68">
        <v>61.813419646687336</v>
      </c>
      <c r="AC30" s="69">
        <v>0</v>
      </c>
      <c r="AD30" s="406">
        <v>8.4151122086963035</v>
      </c>
      <c r="AE30" s="406">
        <v>6.2318078828783134</v>
      </c>
      <c r="AF30" s="69">
        <v>14.255021297931684</v>
      </c>
      <c r="AG30" s="68">
        <v>7.9022522671747568</v>
      </c>
      <c r="AH30" s="68">
        <v>6.174806974483257</v>
      </c>
      <c r="AI30" s="68">
        <v>0.5613567529636978</v>
      </c>
      <c r="AJ30" s="69">
        <v>233.28843735059101</v>
      </c>
      <c r="AK30" s="69">
        <v>961.2540061632792</v>
      </c>
      <c r="AL30" s="69">
        <v>2896.810521825154</v>
      </c>
      <c r="AM30" s="69">
        <v>985.43426513671875</v>
      </c>
      <c r="AN30" s="69">
        <v>4755.460693359375</v>
      </c>
      <c r="AO30" s="69">
        <v>2499.9778152465819</v>
      </c>
      <c r="AP30" s="69">
        <v>485.44201943079634</v>
      </c>
      <c r="AQ30" s="69">
        <v>1819.0858200073246</v>
      </c>
      <c r="AR30" s="69">
        <v>394.96053689320888</v>
      </c>
      <c r="AS30" s="69">
        <v>694.82682485580449</v>
      </c>
    </row>
    <row r="31" spans="1:45" x14ac:dyDescent="0.25">
      <c r="A31" s="11">
        <v>43945</v>
      </c>
      <c r="B31" s="59"/>
      <c r="C31" s="60">
        <v>66.091095797221158</v>
      </c>
      <c r="D31" s="60">
        <v>982.03160489400204</v>
      </c>
      <c r="E31" s="60">
        <v>15.839523500204084</v>
      </c>
      <c r="F31" s="60">
        <v>0</v>
      </c>
      <c r="G31" s="60">
        <v>2630.8611708323201</v>
      </c>
      <c r="H31" s="61">
        <v>24.916000960270537</v>
      </c>
      <c r="I31" s="59">
        <v>103.77565484841679</v>
      </c>
      <c r="J31" s="60">
        <v>351.08659048080432</v>
      </c>
      <c r="K31" s="60">
        <v>19.004772664109847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238.00344173975782</v>
      </c>
      <c r="V31" s="62">
        <v>165.74323235285357</v>
      </c>
      <c r="W31" s="62">
        <v>35.274418999545738</v>
      </c>
      <c r="X31" s="62">
        <v>24.564754953192683</v>
      </c>
      <c r="Y31" s="66">
        <v>61.692863232369653</v>
      </c>
      <c r="Z31" s="66">
        <v>42.962297059620106</v>
      </c>
      <c r="AA31" s="67">
        <v>0</v>
      </c>
      <c r="AB31" s="68">
        <v>64.784142009418446</v>
      </c>
      <c r="AC31" s="69">
        <v>0</v>
      </c>
      <c r="AD31" s="406">
        <v>9.4626184272979597</v>
      </c>
      <c r="AE31" s="406">
        <v>6.2333257120660859</v>
      </c>
      <c r="AF31" s="69">
        <v>15.220099871688433</v>
      </c>
      <c r="AG31" s="68">
        <v>8.8792235028968456</v>
      </c>
      <c r="AH31" s="68">
        <v>6.1834030356701</v>
      </c>
      <c r="AI31" s="68">
        <v>0.58948706456753275</v>
      </c>
      <c r="AJ31" s="69">
        <v>231.22065504391989</v>
      </c>
      <c r="AK31" s="69">
        <v>929.76565081278466</v>
      </c>
      <c r="AL31" s="69">
        <v>2976.3147846221927</v>
      </c>
      <c r="AM31" s="69">
        <v>985.43426513671875</v>
      </c>
      <c r="AN31" s="69">
        <v>4755.460693359375</v>
      </c>
      <c r="AO31" s="69">
        <v>2470.0138754526774</v>
      </c>
      <c r="AP31" s="69">
        <v>484.08887470563252</v>
      </c>
      <c r="AQ31" s="69">
        <v>1918.2405133565267</v>
      </c>
      <c r="AR31" s="69">
        <v>407.50264979998275</v>
      </c>
      <c r="AS31" s="69">
        <v>556.51907011667879</v>
      </c>
    </row>
    <row r="32" spans="1:45" x14ac:dyDescent="0.25">
      <c r="A32" s="11">
        <v>43946</v>
      </c>
      <c r="B32" s="59"/>
      <c r="C32" s="60">
        <v>66.389227473735815</v>
      </c>
      <c r="D32" s="60">
        <v>983.15869038899837</v>
      </c>
      <c r="E32" s="60">
        <v>15.843540065983907</v>
      </c>
      <c r="F32" s="60">
        <v>0</v>
      </c>
      <c r="G32" s="60">
        <v>2597.3690130869522</v>
      </c>
      <c r="H32" s="61">
        <v>24.979442526896786</v>
      </c>
      <c r="I32" s="59">
        <v>114.43977781136837</v>
      </c>
      <c r="J32" s="60">
        <v>386.54661620458029</v>
      </c>
      <c r="K32" s="60">
        <v>20.67770679493746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258.28986046438132</v>
      </c>
      <c r="V32" s="62">
        <v>161.46573762504948</v>
      </c>
      <c r="W32" s="62">
        <v>38.590533031562352</v>
      </c>
      <c r="X32" s="62">
        <v>24.124248896500241</v>
      </c>
      <c r="Y32" s="66">
        <v>70.499932431356356</v>
      </c>
      <c r="Z32" s="66">
        <v>44.071894932611521</v>
      </c>
      <c r="AA32" s="67">
        <v>0</v>
      </c>
      <c r="AB32" s="68">
        <v>67.69323319859113</v>
      </c>
      <c r="AC32" s="69">
        <v>0</v>
      </c>
      <c r="AD32" s="406">
        <v>10.416033601216153</v>
      </c>
      <c r="AE32" s="406">
        <v>6.2364499221776875</v>
      </c>
      <c r="AF32" s="69">
        <v>16.200249161322912</v>
      </c>
      <c r="AG32" s="68">
        <v>9.8553314511718302</v>
      </c>
      <c r="AH32" s="68">
        <v>6.1609013975298961</v>
      </c>
      <c r="AI32" s="68">
        <v>0.61533392678982568</v>
      </c>
      <c r="AJ32" s="69">
        <v>224.8411624590556</v>
      </c>
      <c r="AK32" s="69">
        <v>944.35197607676173</v>
      </c>
      <c r="AL32" s="69">
        <v>2943.0103731791178</v>
      </c>
      <c r="AM32" s="69">
        <v>985.43426513671875</v>
      </c>
      <c r="AN32" s="69">
        <v>4755.460693359375</v>
      </c>
      <c r="AO32" s="69">
        <v>2464.9181648254398</v>
      </c>
      <c r="AP32" s="69">
        <v>491.70404036839801</v>
      </c>
      <c r="AQ32" s="69">
        <v>2035.2581621170043</v>
      </c>
      <c r="AR32" s="69">
        <v>417.81798413594566</v>
      </c>
      <c r="AS32" s="69">
        <v>620.06689478556314</v>
      </c>
    </row>
    <row r="33" spans="1:45" x14ac:dyDescent="0.25">
      <c r="A33" s="11">
        <v>43947</v>
      </c>
      <c r="B33" s="59"/>
      <c r="C33" s="60">
        <v>66.063376065095611</v>
      </c>
      <c r="D33" s="60">
        <v>988.08322671254348</v>
      </c>
      <c r="E33" s="60">
        <v>15.833798345923414</v>
      </c>
      <c r="F33" s="60">
        <v>0</v>
      </c>
      <c r="G33" s="60">
        <v>2548.54721666972</v>
      </c>
      <c r="H33" s="61">
        <v>24.969739228486976</v>
      </c>
      <c r="I33" s="59">
        <v>114.45394487380985</v>
      </c>
      <c r="J33" s="60">
        <v>386.4473074913036</v>
      </c>
      <c r="K33" s="60">
        <v>20.674808550874392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256.17589743213938</v>
      </c>
      <c r="V33" s="62">
        <v>160.11382041166229</v>
      </c>
      <c r="W33" s="62">
        <v>38.506767301481034</v>
      </c>
      <c r="X33" s="62">
        <v>24.067313459792707</v>
      </c>
      <c r="Y33" s="66">
        <v>73.938759267560272</v>
      </c>
      <c r="Z33" s="66">
        <v>46.212845710683261</v>
      </c>
      <c r="AA33" s="67">
        <v>0</v>
      </c>
      <c r="AB33" s="68">
        <v>67.697802379397729</v>
      </c>
      <c r="AC33" s="69">
        <v>0</v>
      </c>
      <c r="AD33" s="406">
        <v>10.413201637430253</v>
      </c>
      <c r="AE33" s="406">
        <v>6.2357461488123311</v>
      </c>
      <c r="AF33" s="69">
        <v>16.428228697511901</v>
      </c>
      <c r="AG33" s="68">
        <v>9.9981052782319928</v>
      </c>
      <c r="AH33" s="68">
        <v>6.2489674049050201</v>
      </c>
      <c r="AI33" s="68">
        <v>0.61537887305749051</v>
      </c>
      <c r="AJ33" s="69">
        <v>227.71477370262147</v>
      </c>
      <c r="AK33" s="69">
        <v>960.71388762791958</v>
      </c>
      <c r="AL33" s="69">
        <v>2917.9419428507485</v>
      </c>
      <c r="AM33" s="69">
        <v>985.43426513671875</v>
      </c>
      <c r="AN33" s="69">
        <v>4755.460693359375</v>
      </c>
      <c r="AO33" s="69">
        <v>2465.5830443064378</v>
      </c>
      <c r="AP33" s="69">
        <v>482.21274917920431</v>
      </c>
      <c r="AQ33" s="69">
        <v>2006.9074960072835</v>
      </c>
      <c r="AR33" s="69">
        <v>405.42699602444969</v>
      </c>
      <c r="AS33" s="69">
        <v>717.37357053756716</v>
      </c>
    </row>
    <row r="34" spans="1:45" x14ac:dyDescent="0.25">
      <c r="A34" s="11">
        <v>43948</v>
      </c>
      <c r="B34" s="59"/>
      <c r="C34" s="60">
        <v>65.805549343427217</v>
      </c>
      <c r="D34" s="60">
        <v>1010.4693932215373</v>
      </c>
      <c r="E34" s="60">
        <v>15.879680284857736</v>
      </c>
      <c r="F34" s="60">
        <v>0</v>
      </c>
      <c r="G34" s="60">
        <v>2662.8900071462026</v>
      </c>
      <c r="H34" s="61">
        <v>24.957950554291394</v>
      </c>
      <c r="I34" s="59">
        <v>114.49983342488605</v>
      </c>
      <c r="J34" s="60">
        <v>386.42624699274774</v>
      </c>
      <c r="K34" s="60">
        <v>20.687830247481688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254.2198682334309</v>
      </c>
      <c r="V34" s="62">
        <v>158.88161551426552</v>
      </c>
      <c r="W34" s="62">
        <v>38.216803412773686</v>
      </c>
      <c r="X34" s="62">
        <v>23.884629900119243</v>
      </c>
      <c r="Y34" s="66">
        <v>76.068071281385727</v>
      </c>
      <c r="Z34" s="66">
        <v>47.540808427858103</v>
      </c>
      <c r="AA34" s="67">
        <v>0</v>
      </c>
      <c r="AB34" s="68">
        <v>67.699400186540259</v>
      </c>
      <c r="AC34" s="69">
        <v>0</v>
      </c>
      <c r="AD34" s="406">
        <v>10.414143634466107</v>
      </c>
      <c r="AE34" s="406">
        <v>6.2286684687125558</v>
      </c>
      <c r="AF34" s="69">
        <v>16.315755710336905</v>
      </c>
      <c r="AG34" s="68">
        <v>9.9276008732362264</v>
      </c>
      <c r="AH34" s="68">
        <v>6.2045239653427782</v>
      </c>
      <c r="AI34" s="68">
        <v>0.61539325864221983</v>
      </c>
      <c r="AJ34" s="69">
        <v>215.94607143402098</v>
      </c>
      <c r="AK34" s="69">
        <v>945.5422728856405</v>
      </c>
      <c r="AL34" s="69">
        <v>2924.6278733571371</v>
      </c>
      <c r="AM34" s="69">
        <v>985.43426513671875</v>
      </c>
      <c r="AN34" s="69">
        <v>4755.460693359375</v>
      </c>
      <c r="AO34" s="69">
        <v>2592.5643711090088</v>
      </c>
      <c r="AP34" s="69">
        <v>511.5785279591878</v>
      </c>
      <c r="AQ34" s="69">
        <v>2014.6271266937256</v>
      </c>
      <c r="AR34" s="69">
        <v>407.34428941408788</v>
      </c>
      <c r="AS34" s="69">
        <v>724.38462667465217</v>
      </c>
    </row>
    <row r="35" spans="1:45" x14ac:dyDescent="0.25">
      <c r="A35" s="11">
        <v>43949</v>
      </c>
      <c r="B35" s="59"/>
      <c r="C35" s="60">
        <v>66.316676433880986</v>
      </c>
      <c r="D35" s="60">
        <v>1011.4721350987754</v>
      </c>
      <c r="E35" s="60">
        <v>15.890165706475559</v>
      </c>
      <c r="F35" s="60">
        <v>0</v>
      </c>
      <c r="G35" s="60">
        <v>2662.6060644785589</v>
      </c>
      <c r="H35" s="61">
        <v>24.976285431782415</v>
      </c>
      <c r="I35" s="59">
        <v>88.193118162949958</v>
      </c>
      <c r="J35" s="60">
        <v>473.59429512023974</v>
      </c>
      <c r="K35" s="60">
        <v>25.818817995985263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303.74443017342526</v>
      </c>
      <c r="V35" s="62">
        <v>150.33969721033876</v>
      </c>
      <c r="W35" s="62">
        <v>47.626845874608797</v>
      </c>
      <c r="X35" s="62">
        <v>23.573125550924448</v>
      </c>
      <c r="Y35" s="66">
        <v>103.84944391164731</v>
      </c>
      <c r="Z35" s="66">
        <v>51.40075801299443</v>
      </c>
      <c r="AA35" s="67">
        <v>0</v>
      </c>
      <c r="AB35" s="68">
        <v>75.115648518667427</v>
      </c>
      <c r="AC35" s="69">
        <v>0</v>
      </c>
      <c r="AD35" s="406">
        <v>12.765710751223924</v>
      </c>
      <c r="AE35" s="406">
        <v>6.2354749080224421</v>
      </c>
      <c r="AF35" s="69">
        <v>18.133868245946061</v>
      </c>
      <c r="AG35" s="68">
        <v>11.98974134066391</v>
      </c>
      <c r="AH35" s="68">
        <v>5.9343774032548406</v>
      </c>
      <c r="AI35" s="68">
        <v>0.66891664309754462</v>
      </c>
      <c r="AJ35" s="69">
        <v>248.10908420880637</v>
      </c>
      <c r="AK35" s="69">
        <v>1014.7880755742391</v>
      </c>
      <c r="AL35" s="69">
        <v>2865.1852302551274</v>
      </c>
      <c r="AM35" s="69">
        <v>985.43426513671875</v>
      </c>
      <c r="AN35" s="69">
        <v>4755.460693359375</v>
      </c>
      <c r="AO35" s="69">
        <v>2596.9892236073815</v>
      </c>
      <c r="AP35" s="69">
        <v>516.52691831588731</v>
      </c>
      <c r="AQ35" s="69">
        <v>2254.6759279251096</v>
      </c>
      <c r="AR35" s="69">
        <v>407.980049610138</v>
      </c>
      <c r="AS35" s="69">
        <v>694.63050082524626</v>
      </c>
    </row>
    <row r="36" spans="1:45" x14ac:dyDescent="0.25">
      <c r="A36" s="11">
        <v>43950</v>
      </c>
      <c r="B36" s="59"/>
      <c r="C36" s="60">
        <v>66.116811303297595</v>
      </c>
      <c r="D36" s="60">
        <v>997.56419734954738</v>
      </c>
      <c r="E36" s="60">
        <v>15.906487179299219</v>
      </c>
      <c r="F36" s="60">
        <v>0</v>
      </c>
      <c r="G36" s="60">
        <v>2765.916105651856</v>
      </c>
      <c r="H36" s="61">
        <v>24.98033421039581</v>
      </c>
      <c r="I36" s="59">
        <v>133.38407265345265</v>
      </c>
      <c r="J36" s="60">
        <v>529.31265665690125</v>
      </c>
      <c r="K36" s="60">
        <v>29.336468990643692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330.66204149474493</v>
      </c>
      <c r="V36" s="62">
        <v>148.27274080896305</v>
      </c>
      <c r="W36" s="62">
        <v>53.358526914538167</v>
      </c>
      <c r="X36" s="62">
        <v>23.926589805661539</v>
      </c>
      <c r="Y36" s="66">
        <v>135.8146061256007</v>
      </c>
      <c r="Z36" s="66">
        <v>60.900863616220789</v>
      </c>
      <c r="AA36" s="67">
        <v>0</v>
      </c>
      <c r="AB36" s="68">
        <v>79.757465394336265</v>
      </c>
      <c r="AC36" s="69">
        <v>0</v>
      </c>
      <c r="AD36" s="406">
        <v>14.26482610964384</v>
      </c>
      <c r="AE36" s="406">
        <v>6.2399854083287973</v>
      </c>
      <c r="AF36" s="69">
        <v>19.781194163362201</v>
      </c>
      <c r="AG36" s="68">
        <v>13.51123007499621</v>
      </c>
      <c r="AH36" s="68">
        <v>6.0585941641929226</v>
      </c>
      <c r="AI36" s="68">
        <v>0.69041141656957683</v>
      </c>
      <c r="AJ36" s="69">
        <v>223.68411405881247</v>
      </c>
      <c r="AK36" s="69">
        <v>960.1444152196251</v>
      </c>
      <c r="AL36" s="69">
        <v>2917.7854479471844</v>
      </c>
      <c r="AM36" s="69">
        <v>985.43426513671875</v>
      </c>
      <c r="AN36" s="69">
        <v>4755.460693359375</v>
      </c>
      <c r="AO36" s="69">
        <v>2624.4440563201902</v>
      </c>
      <c r="AP36" s="69">
        <v>498.49127755165091</v>
      </c>
      <c r="AQ36" s="69">
        <v>2456.2827363967895</v>
      </c>
      <c r="AR36" s="69">
        <v>415.78146492640178</v>
      </c>
      <c r="AS36" s="69">
        <v>660.82782739003517</v>
      </c>
    </row>
    <row r="37" spans="1:45" x14ac:dyDescent="0.25">
      <c r="A37" s="11">
        <v>43951</v>
      </c>
      <c r="B37" s="59"/>
      <c r="C37" s="60">
        <v>65.855236188570657</v>
      </c>
      <c r="D37" s="60">
        <v>980.16862742106139</v>
      </c>
      <c r="E37" s="60">
        <v>15.591345670819262</v>
      </c>
      <c r="F37" s="60">
        <v>0</v>
      </c>
      <c r="G37" s="60">
        <v>2690.3099667867045</v>
      </c>
      <c r="H37" s="61">
        <v>24.971719596783359</v>
      </c>
      <c r="I37" s="59">
        <v>132.26955195268027</v>
      </c>
      <c r="J37" s="60">
        <v>566.05089629491215</v>
      </c>
      <c r="K37" s="60">
        <v>31.252093023061629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340.5861018391534</v>
      </c>
      <c r="V37" s="62">
        <v>152.05351998023917</v>
      </c>
      <c r="W37" s="62">
        <v>56.036029494148053</v>
      </c>
      <c r="X37" s="62">
        <v>25.017096952257987</v>
      </c>
      <c r="Y37" s="66">
        <v>143.26137098527997</v>
      </c>
      <c r="Z37" s="66">
        <v>63.958557374705322</v>
      </c>
      <c r="AA37" s="67">
        <v>0</v>
      </c>
      <c r="AB37" s="68">
        <v>83.196539184782011</v>
      </c>
      <c r="AC37" s="69">
        <v>0</v>
      </c>
      <c r="AD37" s="406">
        <v>15.254642205523389</v>
      </c>
      <c r="AE37" s="406">
        <v>6.2441228859495705</v>
      </c>
      <c r="AF37" s="69">
        <v>20.343783820999992</v>
      </c>
      <c r="AG37" s="68">
        <v>13.922735177914252</v>
      </c>
      <c r="AH37" s="68">
        <v>6.2157583064101303</v>
      </c>
      <c r="AI37" s="68">
        <v>0.69134938960312908</v>
      </c>
      <c r="AJ37" s="69">
        <v>222.36578725179035</v>
      </c>
      <c r="AK37" s="69">
        <v>982.1556601206463</v>
      </c>
      <c r="AL37" s="69">
        <v>2864.9467177073161</v>
      </c>
      <c r="AM37" s="69">
        <v>985.43426513671875</v>
      </c>
      <c r="AN37" s="69">
        <v>4755.460693359375</v>
      </c>
      <c r="AO37" s="69">
        <v>2594.5788997650147</v>
      </c>
      <c r="AP37" s="69">
        <v>531.67144201596568</v>
      </c>
      <c r="AQ37" s="69">
        <v>2433.8348778406776</v>
      </c>
      <c r="AR37" s="69">
        <v>424.29272232055661</v>
      </c>
      <c r="AS37" s="69">
        <v>752.79083598454781</v>
      </c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6"/>
      <c r="AE38" s="406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1978.2498678366385</v>
      </c>
      <c r="D39" s="30">
        <f t="shared" si="0"/>
        <v>29322.168229293795</v>
      </c>
      <c r="E39" s="30">
        <f t="shared" si="0"/>
        <v>470.61547771940599</v>
      </c>
      <c r="F39" s="30">
        <f t="shared" si="0"/>
        <v>0</v>
      </c>
      <c r="G39" s="30">
        <f t="shared" si="0"/>
        <v>78616.477783711816</v>
      </c>
      <c r="H39" s="31">
        <f t="shared" si="0"/>
        <v>751.31705979704839</v>
      </c>
      <c r="I39" s="29">
        <f t="shared" si="0"/>
        <v>2499.2046239654228</v>
      </c>
      <c r="J39" s="30">
        <f t="shared" si="0"/>
        <v>8828.4447814146624</v>
      </c>
      <c r="K39" s="30">
        <f t="shared" si="0"/>
        <v>483.15328034957236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59">
        <f t="shared" si="0"/>
        <v>0</v>
      </c>
      <c r="P39" s="260">
        <f t="shared" si="0"/>
        <v>0</v>
      </c>
      <c r="Q39" s="260">
        <f t="shared" si="0"/>
        <v>0</v>
      </c>
      <c r="R39" s="260">
        <f t="shared" si="0"/>
        <v>0</v>
      </c>
      <c r="S39" s="260">
        <f t="shared" si="0"/>
        <v>0</v>
      </c>
      <c r="T39" s="261">
        <f t="shared" si="0"/>
        <v>0</v>
      </c>
      <c r="U39" s="259">
        <f t="shared" si="0"/>
        <v>5831.004934696989</v>
      </c>
      <c r="V39" s="260">
        <f t="shared" si="0"/>
        <v>4895.8108909455159</v>
      </c>
      <c r="W39" s="260">
        <f t="shared" si="0"/>
        <v>869.78368412595523</v>
      </c>
      <c r="X39" s="260">
        <f t="shared" si="0"/>
        <v>722.98197049755368</v>
      </c>
      <c r="Y39" s="260">
        <f t="shared" si="0"/>
        <v>1556.1454451931299</v>
      </c>
      <c r="Z39" s="260">
        <f t="shared" si="0"/>
        <v>1231.150591503304</v>
      </c>
      <c r="AA39" s="268">
        <f t="shared" si="0"/>
        <v>0</v>
      </c>
      <c r="AB39" s="271">
        <f t="shared" si="0"/>
        <v>1744.7021877209429</v>
      </c>
      <c r="AC39" s="271">
        <f t="shared" si="0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1">SUM(AJ8:AJ38)</f>
        <v>7219.487604641914</v>
      </c>
      <c r="AK39" s="271">
        <f t="shared" si="1"/>
        <v>28696.587779998779</v>
      </c>
      <c r="AL39" s="271">
        <f t="shared" si="1"/>
        <v>87754.511457443252</v>
      </c>
      <c r="AM39" s="271">
        <f t="shared" si="1"/>
        <v>29563.027954101563</v>
      </c>
      <c r="AN39" s="271">
        <f t="shared" si="1"/>
        <v>142663.82080078125</v>
      </c>
      <c r="AO39" s="271">
        <f t="shared" si="1"/>
        <v>79419.860172144559</v>
      </c>
      <c r="AP39" s="271">
        <f t="shared" si="1"/>
        <v>17175.875024382272</v>
      </c>
      <c r="AQ39" s="271">
        <f t="shared" si="1"/>
        <v>54092.934072939563</v>
      </c>
      <c r="AR39" s="271">
        <f t="shared" si="1"/>
        <v>13081.901082213719</v>
      </c>
      <c r="AS39" s="271">
        <f t="shared" si="1"/>
        <v>18606.298144435888</v>
      </c>
    </row>
    <row r="40" spans="1:45" ht="15.75" thickBot="1" x14ac:dyDescent="0.3">
      <c r="A40" s="47" t="s">
        <v>172</v>
      </c>
      <c r="B40" s="32">
        <f>Projection!$AB$30</f>
        <v>0.66681052199999991</v>
      </c>
      <c r="C40" s="33">
        <f>Projection!$AB$28</f>
        <v>1.4286753599999999</v>
      </c>
      <c r="D40" s="33">
        <f>Projection!$AB$31</f>
        <v>1.7916822000000003</v>
      </c>
      <c r="E40" s="33">
        <f>Projection!$AB$26</f>
        <v>4.4235360000000004</v>
      </c>
      <c r="F40" s="33">
        <f>Projection!$AB$23</f>
        <v>0</v>
      </c>
      <c r="G40" s="33">
        <f>Projection!$AB$24</f>
        <v>5.9975000000000001E-2</v>
      </c>
      <c r="H40" s="34">
        <f>Projection!$AB$29</f>
        <v>3.7390305000000001</v>
      </c>
      <c r="I40" s="32">
        <f>Projection!$AB$30</f>
        <v>0.66681052199999991</v>
      </c>
      <c r="J40" s="33">
        <f>Projection!$AB$28</f>
        <v>1.4286753599999999</v>
      </c>
      <c r="K40" s="33">
        <f>Projection!$AB$26</f>
        <v>4.4235360000000004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1.4286753599999999</v>
      </c>
      <c r="T40" s="38">
        <f>Projection!$AB$28</f>
        <v>1.4286753599999999</v>
      </c>
      <c r="U40" s="26">
        <f>Projection!$AB$27</f>
        <v>0.26450000000000001</v>
      </c>
      <c r="V40" s="27">
        <f>Projection!$AB$27</f>
        <v>0.26450000000000001</v>
      </c>
      <c r="W40" s="27">
        <f>Projection!$AB$22</f>
        <v>0.85935360000000005</v>
      </c>
      <c r="X40" s="27">
        <f>Projection!$AB$22</f>
        <v>0.85935360000000005</v>
      </c>
      <c r="Y40" s="27">
        <f>Projection!$AB$31</f>
        <v>1.7916822000000003</v>
      </c>
      <c r="Z40" s="27">
        <f>Projection!$AB$31</f>
        <v>1.7916822000000003</v>
      </c>
      <c r="AA40" s="28">
        <v>0</v>
      </c>
      <c r="AB40" s="41">
        <f>Projection!$AB$27</f>
        <v>0.26450000000000001</v>
      </c>
      <c r="AC40" s="41">
        <f>Projection!$AB$30</f>
        <v>0.66681052199999991</v>
      </c>
      <c r="AD40" s="397">
        <f>SUM(AD8:AD38)</f>
        <v>237.93811864607761</v>
      </c>
      <c r="AE40" s="397">
        <f>SUM(AE8:AE38)</f>
        <v>187.10109300647045</v>
      </c>
      <c r="AF40" s="275">
        <f>SUM(AF8:AF38)</f>
        <v>408.62764611608463</v>
      </c>
      <c r="AG40" s="275">
        <f>SUM(AG8:AG38)</f>
        <v>220.12794632455658</v>
      </c>
      <c r="AH40" s="275">
        <f>SUM(AH8:AH38)</f>
        <v>182.89386586525384</v>
      </c>
      <c r="AI40" s="275">
        <f>IF(SUM(AG40:AH40)&gt;0, AG40/(AG40+AH40), 0)</f>
        <v>0.54619362939314886</v>
      </c>
      <c r="AJ40" s="310">
        <v>6.5000000000000002E-2</v>
      </c>
      <c r="AK40" s="310">
        <f t="shared" ref="AK40:AS40" si="2">$AJ$40</f>
        <v>6.5000000000000002E-2</v>
      </c>
      <c r="AL40" s="310">
        <f t="shared" si="2"/>
        <v>6.5000000000000002E-2</v>
      </c>
      <c r="AM40" s="310">
        <f t="shared" si="2"/>
        <v>6.5000000000000002E-2</v>
      </c>
      <c r="AN40" s="310">
        <f t="shared" si="2"/>
        <v>6.5000000000000002E-2</v>
      </c>
      <c r="AO40" s="310">
        <f t="shared" si="2"/>
        <v>6.5000000000000002E-2</v>
      </c>
      <c r="AP40" s="310">
        <f t="shared" si="2"/>
        <v>6.5000000000000002E-2</v>
      </c>
      <c r="AQ40" s="310">
        <f t="shared" si="2"/>
        <v>6.5000000000000002E-2</v>
      </c>
      <c r="AR40" s="310">
        <f t="shared" si="2"/>
        <v>6.5000000000000002E-2</v>
      </c>
      <c r="AS40" s="310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2826.2768421014616</v>
      </c>
      <c r="D41" s="36">
        <f t="shared" si="3"/>
        <v>52536.006881831221</v>
      </c>
      <c r="E41" s="36">
        <f t="shared" si="3"/>
        <v>2081.7845078489904</v>
      </c>
      <c r="F41" s="36">
        <f t="shared" si="3"/>
        <v>0</v>
      </c>
      <c r="G41" s="36">
        <f t="shared" si="3"/>
        <v>4715.0232550781166</v>
      </c>
      <c r="H41" s="37">
        <f t="shared" si="3"/>
        <v>2809.1974017514876</v>
      </c>
      <c r="I41" s="35">
        <f t="shared" si="3"/>
        <v>1666.4959398911969</v>
      </c>
      <c r="J41" s="36">
        <f t="shared" si="3"/>
        <v>12612.981526327714</v>
      </c>
      <c r="K41" s="36">
        <f t="shared" si="3"/>
        <v>2137.2459291444261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5">
        <f t="shared" si="3"/>
        <v>0</v>
      </c>
      <c r="P41" s="266">
        <f t="shared" si="3"/>
        <v>0</v>
      </c>
      <c r="Q41" s="266">
        <f t="shared" si="3"/>
        <v>0</v>
      </c>
      <c r="R41" s="266">
        <f t="shared" si="3"/>
        <v>0</v>
      </c>
      <c r="S41" s="266">
        <f t="shared" si="3"/>
        <v>0</v>
      </c>
      <c r="T41" s="267">
        <f t="shared" si="3"/>
        <v>0</v>
      </c>
      <c r="U41" s="265">
        <f t="shared" si="3"/>
        <v>1542.3008052273537</v>
      </c>
      <c r="V41" s="266">
        <f t="shared" si="3"/>
        <v>1294.9419806550891</v>
      </c>
      <c r="W41" s="266">
        <f t="shared" si="3"/>
        <v>747.45174017490251</v>
      </c>
      <c r="X41" s="266">
        <f t="shared" si="3"/>
        <v>621.29715908216656</v>
      </c>
      <c r="Y41" s="266">
        <f t="shared" si="3"/>
        <v>2788.1180947636071</v>
      </c>
      <c r="Z41" s="266">
        <f t="shared" si="3"/>
        <v>2205.8306003159414</v>
      </c>
      <c r="AA41" s="270">
        <f t="shared" si="3"/>
        <v>0</v>
      </c>
      <c r="AB41" s="273">
        <f t="shared" si="3"/>
        <v>461.47372865218944</v>
      </c>
      <c r="AC41" s="273">
        <f t="shared" si="3"/>
        <v>0</v>
      </c>
      <c r="AJ41" s="276">
        <f t="shared" ref="AJ41:AS41" si="4">AJ40*AJ39</f>
        <v>469.26669430172444</v>
      </c>
      <c r="AK41" s="276">
        <f t="shared" si="4"/>
        <v>1865.2782056999208</v>
      </c>
      <c r="AL41" s="276">
        <f t="shared" si="4"/>
        <v>5704.0432447338117</v>
      </c>
      <c r="AM41" s="276">
        <f t="shared" si="4"/>
        <v>1921.5968170166016</v>
      </c>
      <c r="AN41" s="276">
        <f t="shared" si="4"/>
        <v>9273.1483520507809</v>
      </c>
      <c r="AO41" s="276">
        <f t="shared" si="4"/>
        <v>5162.2909111893969</v>
      </c>
      <c r="AP41" s="276">
        <f t="shared" si="4"/>
        <v>1116.4318765848477</v>
      </c>
      <c r="AQ41" s="276">
        <f t="shared" si="4"/>
        <v>3516.0407147410715</v>
      </c>
      <c r="AR41" s="276">
        <f t="shared" si="4"/>
        <v>850.32357034389179</v>
      </c>
      <c r="AS41" s="276">
        <f t="shared" si="4"/>
        <v>1209.4093793883328</v>
      </c>
    </row>
    <row r="42" spans="1:45" ht="49.5" customHeight="1" thickTop="1" thickBot="1" x14ac:dyDescent="0.3">
      <c r="A42" s="640">
        <f>MARCH!$A$42+31</f>
        <v>43922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1006.43</v>
      </c>
      <c r="AK42" s="276" t="s">
        <v>197</v>
      </c>
      <c r="AL42" s="276">
        <v>1555.64</v>
      </c>
      <c r="AM42" s="276">
        <v>545.79999999999995</v>
      </c>
      <c r="AN42" s="276">
        <v>821.17</v>
      </c>
      <c r="AO42" s="276">
        <v>4391.51</v>
      </c>
      <c r="AP42" s="276">
        <v>992.66</v>
      </c>
      <c r="AQ42" s="276" t="s">
        <v>197</v>
      </c>
      <c r="AR42" s="276">
        <v>161.91999999999999</v>
      </c>
      <c r="AS42" s="276">
        <v>306.68</v>
      </c>
    </row>
    <row r="43" spans="1:4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45" ht="24.75" thickTop="1" thickBot="1" x14ac:dyDescent="0.3">
      <c r="A44" s="280" t="s">
        <v>135</v>
      </c>
      <c r="B44" s="281">
        <f>SUM(B41:AC41)</f>
        <v>91046.426392845853</v>
      </c>
      <c r="C44" s="12"/>
      <c r="D44" s="280" t="s">
        <v>135</v>
      </c>
      <c r="E44" s="281">
        <f>SUM(B41:H41)+P41+R41+T41+V41+X41+Z41</f>
        <v>69090.358628664471</v>
      </c>
      <c r="F44" s="12"/>
      <c r="G44" s="280" t="s">
        <v>135</v>
      </c>
      <c r="H44" s="281">
        <f>SUM(I41:N41)+O41+Q41+S41+U41+W41+Y41</f>
        <v>21494.5940355292</v>
      </c>
      <c r="I44" s="12"/>
      <c r="J44" s="280" t="s">
        <v>198</v>
      </c>
      <c r="K44" s="281">
        <v>152810.41</v>
      </c>
      <c r="L44" s="12"/>
      <c r="M44" s="12"/>
      <c r="N44" s="12"/>
      <c r="O44" s="12"/>
      <c r="P44" s="12"/>
      <c r="Q44" s="12"/>
      <c r="R44" s="317" t="s">
        <v>135</v>
      </c>
      <c r="S44" s="318"/>
      <c r="T44" s="311" t="s">
        <v>167</v>
      </c>
      <c r="U44" s="253" t="s">
        <v>168</v>
      </c>
    </row>
    <row r="45" spans="1:45" ht="24" thickBot="1" x14ac:dyDescent="0.4">
      <c r="A45" s="282" t="s">
        <v>183</v>
      </c>
      <c r="B45" s="283">
        <f>SUM(AJ41:AS41)</f>
        <v>31087.829766050378</v>
      </c>
      <c r="C45" s="12"/>
      <c r="D45" s="282" t="s">
        <v>183</v>
      </c>
      <c r="E45" s="283">
        <f>AJ41*(1-$AI$40)+AK41+AL41*0.5+AN41+AO41*(1-$AI$40)+AP41*(1-$AI$40)+AQ41*(1-$AI$40)+AR41*0.5+AS41*0.5</f>
        <v>19678.196946400385</v>
      </c>
      <c r="F45" s="24"/>
      <c r="G45" s="282" t="s">
        <v>183</v>
      </c>
      <c r="H45" s="283">
        <f>AJ41*AI40+AL41*0.5+AM41+AO41*AI40+AP41*AI40+AQ41*AI40+AR41*0.5+AS41*0.5</f>
        <v>11409.632819649994</v>
      </c>
      <c r="I45" s="12"/>
      <c r="J45" s="12"/>
      <c r="K45" s="286"/>
      <c r="L45" s="12"/>
      <c r="M45" s="12"/>
      <c r="N45" s="12"/>
      <c r="O45" s="12"/>
      <c r="P45" s="12"/>
      <c r="Q45" s="12"/>
      <c r="R45" s="315" t="s">
        <v>141</v>
      </c>
      <c r="S45" s="316"/>
      <c r="T45" s="252">
        <f>$W$39+$X$39</f>
        <v>1592.7656546235089</v>
      </c>
      <c r="U45" s="254">
        <f>(T45*8.34*0.895)/27000</f>
        <v>0.44032891391875029</v>
      </c>
    </row>
    <row r="46" spans="1:45" ht="32.25" thickBot="1" x14ac:dyDescent="0.3">
      <c r="A46" s="284" t="s">
        <v>184</v>
      </c>
      <c r="B46" s="285">
        <f>SUM(AJ42:AS42)</f>
        <v>9781.81</v>
      </c>
      <c r="C46" s="12"/>
      <c r="D46" s="284" t="s">
        <v>184</v>
      </c>
      <c r="E46" s="285">
        <f>AJ42*(1-$AI$40)+AL42*0.5+AN42+AO42*(1-$AI$40)+AP42*(1-$AI$40)+AR42*0.5+AS42*0.5</f>
        <v>4733.384992000143</v>
      </c>
      <c r="F46" s="23"/>
      <c r="G46" s="284" t="s">
        <v>184</v>
      </c>
      <c r="H46" s="285">
        <f>AJ42*AI40+AL42*0.5+AM42+AO42*AI40+AP42*AI40+AR42*0.5+AS42*0.5</f>
        <v>5048.4250079998574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15" t="s">
        <v>145</v>
      </c>
      <c r="S46" s="316"/>
      <c r="T46" s="252">
        <f>$M$39+$N$39+$F$39</f>
        <v>0</v>
      </c>
      <c r="U46" s="255">
        <f>(((T46*8.34)*0.005)/(8.34*1.055))/400</f>
        <v>0</v>
      </c>
    </row>
    <row r="47" spans="1:45" ht="24.75" thickTop="1" thickBot="1" x14ac:dyDescent="0.4">
      <c r="A47" s="284" t="s">
        <v>185</v>
      </c>
      <c r="B47" s="285">
        <f>K44</f>
        <v>152810.41</v>
      </c>
      <c r="C47" s="12"/>
      <c r="D47" s="284" t="s">
        <v>187</v>
      </c>
      <c r="E47" s="285">
        <f>K44*0.5</f>
        <v>76405.205000000002</v>
      </c>
      <c r="F47" s="24"/>
      <c r="G47" s="284" t="s">
        <v>185</v>
      </c>
      <c r="H47" s="285">
        <f>K44*0.5</f>
        <v>76405.205000000002</v>
      </c>
      <c r="I47" s="12"/>
      <c r="J47" s="280" t="s">
        <v>198</v>
      </c>
      <c r="K47" s="281">
        <v>73561.5</v>
      </c>
      <c r="L47" s="12"/>
      <c r="M47" s="12"/>
      <c r="N47" s="12"/>
      <c r="O47" s="12"/>
      <c r="P47" s="12"/>
      <c r="Q47" s="12"/>
      <c r="R47" s="315" t="s">
        <v>148</v>
      </c>
      <c r="S47" s="316"/>
      <c r="T47" s="252">
        <f>$G$39</f>
        <v>78616.477783711816</v>
      </c>
      <c r="U47" s="254">
        <f>T47/40000</f>
        <v>1.9654119445927953</v>
      </c>
    </row>
    <row r="48" spans="1:45" ht="24" thickBot="1" x14ac:dyDescent="0.3">
      <c r="A48" s="284" t="s">
        <v>186</v>
      </c>
      <c r="B48" s="285">
        <f>K47</f>
        <v>73561.5</v>
      </c>
      <c r="C48" s="12"/>
      <c r="D48" s="284" t="s">
        <v>186</v>
      </c>
      <c r="E48" s="285">
        <f>K47*0.5</f>
        <v>36780.75</v>
      </c>
      <c r="F48" s="23"/>
      <c r="G48" s="284" t="s">
        <v>186</v>
      </c>
      <c r="H48" s="285">
        <f>K47*0.5</f>
        <v>36780.75</v>
      </c>
      <c r="I48" s="12"/>
      <c r="J48" s="12"/>
      <c r="K48" s="86"/>
      <c r="L48" s="12"/>
      <c r="M48" s="12"/>
      <c r="N48" s="12"/>
      <c r="O48" s="12"/>
      <c r="P48" s="12"/>
      <c r="Q48" s="12"/>
      <c r="R48" s="315" t="s">
        <v>150</v>
      </c>
      <c r="S48" s="316"/>
      <c r="T48" s="252">
        <f>$L$39</f>
        <v>0</v>
      </c>
      <c r="U48" s="254">
        <f>T48*9.34*0.107</f>
        <v>0</v>
      </c>
    </row>
    <row r="49" spans="1:25" ht="48" thickTop="1" thickBot="1" x14ac:dyDescent="0.3">
      <c r="A49" s="289" t="s">
        <v>194</v>
      </c>
      <c r="B49" s="290">
        <f>AF40</f>
        <v>408.62764611608463</v>
      </c>
      <c r="C49" s="12"/>
      <c r="D49" s="289" t="s">
        <v>195</v>
      </c>
      <c r="E49" s="290">
        <f>AH40</f>
        <v>182.89386586525384</v>
      </c>
      <c r="F49" s="23"/>
      <c r="G49" s="289" t="s">
        <v>196</v>
      </c>
      <c r="H49" s="290">
        <f>AG40</f>
        <v>220.12794632455658</v>
      </c>
      <c r="I49" s="12"/>
      <c r="J49" s="12"/>
      <c r="K49" s="86"/>
      <c r="L49" s="12"/>
      <c r="M49" s="12"/>
      <c r="N49" s="12"/>
      <c r="O49" s="12"/>
      <c r="P49" s="12"/>
      <c r="Q49" s="12"/>
      <c r="R49" s="315" t="s">
        <v>152</v>
      </c>
      <c r="S49" s="316"/>
      <c r="T49" s="252">
        <f>$E$39+$K$39</f>
        <v>953.76875806897829</v>
      </c>
      <c r="U49" s="254">
        <f>(T49*8.34*1.04)/45000</f>
        <v>0.18383574888860199</v>
      </c>
    </row>
    <row r="50" spans="1:25" ht="48" customHeight="1" thickTop="1" thickBot="1" x14ac:dyDescent="0.3">
      <c r="A50" s="289" t="s">
        <v>223</v>
      </c>
      <c r="B50" s="290">
        <f>SUM(E50+H50)</f>
        <v>425.03921165254803</v>
      </c>
      <c r="C50" s="12"/>
      <c r="D50" s="289" t="s">
        <v>224</v>
      </c>
      <c r="E50" s="290">
        <f>AE40</f>
        <v>187.10109300647045</v>
      </c>
      <c r="F50" s="23"/>
      <c r="G50" s="289" t="s">
        <v>225</v>
      </c>
      <c r="H50" s="290">
        <f>AD40</f>
        <v>237.93811864607761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842.9527590310463</v>
      </c>
      <c r="C51" s="12"/>
      <c r="D51" s="289" t="s">
        <v>188</v>
      </c>
      <c r="E51" s="292">
        <f>SUM(E44:E48)/E50</f>
        <v>1104.6856661597224</v>
      </c>
      <c r="F51" s="23"/>
      <c r="G51" s="289" t="s">
        <v>189</v>
      </c>
      <c r="H51" s="292">
        <f>SUM(H44:H48)/H50</f>
        <v>635.20131924717384</v>
      </c>
      <c r="I51" s="12"/>
      <c r="J51" s="12"/>
      <c r="K51" s="86"/>
      <c r="L51" s="12"/>
      <c r="M51" s="12"/>
      <c r="N51" s="12"/>
      <c r="O51" s="12"/>
      <c r="P51" s="12"/>
      <c r="Q51" s="12"/>
      <c r="R51" s="315" t="s">
        <v>153</v>
      </c>
      <c r="S51" s="316"/>
      <c r="T51" s="252">
        <f>$U$39+$V$39+$AB$39</f>
        <v>12471.518013363448</v>
      </c>
      <c r="U51" s="254">
        <f>T51/2000/8</f>
        <v>0.77946987583521543</v>
      </c>
    </row>
    <row r="52" spans="1:25" ht="47.25" customHeight="1" thickTop="1" thickBot="1" x14ac:dyDescent="0.3">
      <c r="A52" s="279" t="s">
        <v>191</v>
      </c>
      <c r="B52" s="292">
        <f>B51/1000</f>
        <v>0.84295275903104627</v>
      </c>
      <c r="C52" s="12"/>
      <c r="D52" s="279" t="s">
        <v>192</v>
      </c>
      <c r="E52" s="292">
        <f>E51/1000</f>
        <v>1.1046856661597224</v>
      </c>
      <c r="F52" s="370">
        <f>E44/E49</f>
        <v>377.76203319780257</v>
      </c>
      <c r="G52" s="279" t="s">
        <v>193</v>
      </c>
      <c r="H52" s="292">
        <f>H51/1000</f>
        <v>0.63520131924717382</v>
      </c>
      <c r="I52" s="370">
        <f>H44/H49</f>
        <v>97.645911818200389</v>
      </c>
      <c r="J52" s="12"/>
      <c r="K52" s="86"/>
      <c r="L52" s="12"/>
      <c r="M52" s="12"/>
      <c r="N52" s="12"/>
      <c r="O52" s="12"/>
      <c r="P52" s="12"/>
      <c r="Q52" s="12"/>
      <c r="R52" s="315" t="s">
        <v>154</v>
      </c>
      <c r="S52" s="316"/>
      <c r="T52" s="252">
        <f>$C$39+$J$39+$S$39+$T$39</f>
        <v>10806.694649251302</v>
      </c>
      <c r="U52" s="254">
        <f>(T52*8.34*1.4)/45000</f>
        <v>2.8039770383257374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5" t="s">
        <v>155</v>
      </c>
      <c r="S53" s="316"/>
      <c r="T53" s="252">
        <f>$H$39</f>
        <v>751.31705979704839</v>
      </c>
      <c r="U53" s="254">
        <f>(T53*8.34*1.135)/45000</f>
        <v>0.15804204791850843</v>
      </c>
    </row>
    <row r="54" spans="1:25" ht="48" customHeight="1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5" t="s">
        <v>156</v>
      </c>
      <c r="S54" s="316"/>
      <c r="T54" s="252">
        <f>$B$39+$I$39+$AC$39</f>
        <v>2499.2046239654228</v>
      </c>
      <c r="U54" s="254">
        <f>(T54*8.34*1.029*0.03)/3300</f>
        <v>0.19498021994749004</v>
      </c>
    </row>
    <row r="55" spans="1:25" ht="45.75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32109.464265990231</v>
      </c>
      <c r="U55" s="257">
        <f>(T55*1.54*8.34)/45000</f>
        <v>9.1644692277038242</v>
      </c>
    </row>
    <row r="56" spans="1:25" ht="24" thickTop="1" x14ac:dyDescent="0.25">
      <c r="A56" s="668"/>
      <c r="B56" s="66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0"/>
      <c r="B57" s="67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6"/>
      <c r="B58" s="66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7"/>
      <c r="B59" s="66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6"/>
      <c r="B60" s="66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7"/>
      <c r="B61" s="667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bR/edcZ+mrtTL+HDwJno5oGAdH9YxfWUXG2hyia+hgz24CTiOaSnGh00KUK+ilcVjN7BAkOpRN8w2VumtyGqmA==" saltValue="7L/seR4ljtiFTkCF2UGcHw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65"/>
  <sheetViews>
    <sheetView topLeftCell="D1" zoomScale="80" zoomScaleNormal="80" workbookViewId="0">
      <selection activeCell="K50" sqref="K50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8.28515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44" t="s">
        <v>3</v>
      </c>
      <c r="C4" s="645"/>
      <c r="D4" s="645"/>
      <c r="E4" s="645"/>
      <c r="F4" s="645"/>
      <c r="G4" s="645"/>
      <c r="H4" s="646"/>
      <c r="I4" s="644" t="s">
        <v>4</v>
      </c>
      <c r="J4" s="645"/>
      <c r="K4" s="645"/>
      <c r="L4" s="645"/>
      <c r="M4" s="645"/>
      <c r="N4" s="646"/>
      <c r="O4" s="650" t="s">
        <v>5</v>
      </c>
      <c r="P4" s="651"/>
      <c r="Q4" s="652"/>
      <c r="R4" s="652"/>
      <c r="S4" s="652"/>
      <c r="T4" s="653"/>
      <c r="U4" s="644" t="s">
        <v>6</v>
      </c>
      <c r="V4" s="657"/>
      <c r="W4" s="657"/>
      <c r="X4" s="657"/>
      <c r="Y4" s="657"/>
      <c r="Z4" s="657"/>
      <c r="AA4" s="658"/>
      <c r="AB4" s="662" t="s">
        <v>7</v>
      </c>
      <c r="AC4" s="664" t="s">
        <v>8</v>
      </c>
      <c r="AD4" s="628" t="s">
        <v>222</v>
      </c>
      <c r="AE4" s="628" t="s">
        <v>221</v>
      </c>
      <c r="AF4" s="628" t="s">
        <v>27</v>
      </c>
      <c r="AG4" s="628" t="s">
        <v>31</v>
      </c>
      <c r="AH4" s="628" t="s">
        <v>32</v>
      </c>
      <c r="AI4" s="628" t="s">
        <v>33</v>
      </c>
      <c r="AJ4" s="662" t="s">
        <v>173</v>
      </c>
      <c r="AK4" s="662" t="s">
        <v>174</v>
      </c>
      <c r="AL4" s="662" t="s">
        <v>175</v>
      </c>
      <c r="AM4" s="662" t="s">
        <v>176</v>
      </c>
      <c r="AN4" s="662" t="s">
        <v>177</v>
      </c>
      <c r="AO4" s="662" t="s">
        <v>178</v>
      </c>
      <c r="AP4" s="662" t="s">
        <v>179</v>
      </c>
      <c r="AQ4" s="662" t="s">
        <v>182</v>
      </c>
      <c r="AR4" s="662" t="s">
        <v>180</v>
      </c>
      <c r="AS4" s="662" t="s">
        <v>181</v>
      </c>
      <c r="AV4" t="s">
        <v>169</v>
      </c>
      <c r="AW4" s="335" t="s">
        <v>207</v>
      </c>
    </row>
    <row r="5" spans="1:49" ht="30" customHeight="1" thickBot="1" x14ac:dyDescent="0.3">
      <c r="A5" s="13"/>
      <c r="B5" s="647"/>
      <c r="C5" s="648"/>
      <c r="D5" s="648"/>
      <c r="E5" s="648"/>
      <c r="F5" s="648"/>
      <c r="G5" s="648"/>
      <c r="H5" s="649"/>
      <c r="I5" s="647"/>
      <c r="J5" s="648"/>
      <c r="K5" s="648"/>
      <c r="L5" s="648"/>
      <c r="M5" s="648"/>
      <c r="N5" s="649"/>
      <c r="O5" s="654"/>
      <c r="P5" s="655"/>
      <c r="Q5" s="655"/>
      <c r="R5" s="655"/>
      <c r="S5" s="655"/>
      <c r="T5" s="656"/>
      <c r="U5" s="659"/>
      <c r="V5" s="660"/>
      <c r="W5" s="660"/>
      <c r="X5" s="660"/>
      <c r="Y5" s="660"/>
      <c r="Z5" s="660"/>
      <c r="AA5" s="661"/>
      <c r="AB5" s="663"/>
      <c r="AC5" s="665"/>
      <c r="AD5" s="629"/>
      <c r="AE5" s="629"/>
      <c r="AF5" s="643"/>
      <c r="AG5" s="643"/>
      <c r="AH5" s="643"/>
      <c r="AI5" s="643"/>
      <c r="AJ5" s="629"/>
      <c r="AK5" s="629"/>
      <c r="AL5" s="629"/>
      <c r="AM5" s="629"/>
      <c r="AN5" s="629"/>
      <c r="AO5" s="629"/>
      <c r="AP5" s="629"/>
      <c r="AQ5" s="629"/>
      <c r="AR5" s="629"/>
      <c r="AS5" s="62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4" t="s">
        <v>23</v>
      </c>
      <c r="AD7" s="395" t="s">
        <v>28</v>
      </c>
      <c r="AE7" s="395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43952</v>
      </c>
      <c r="B8" s="49"/>
      <c r="C8" s="50">
        <v>65.065051631132931</v>
      </c>
      <c r="D8" s="50">
        <v>978.71073799133194</v>
      </c>
      <c r="E8" s="50">
        <v>15.551249550282995</v>
      </c>
      <c r="F8" s="50">
        <v>0</v>
      </c>
      <c r="G8" s="50">
        <v>2644.4019791921041</v>
      </c>
      <c r="H8" s="51">
        <v>24.963194498419735</v>
      </c>
      <c r="I8" s="49">
        <v>146.84372491041813</v>
      </c>
      <c r="J8" s="50">
        <v>609.58464460372863</v>
      </c>
      <c r="K8" s="50">
        <v>33.563525213797853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382.62191836381533</v>
      </c>
      <c r="V8" s="54">
        <v>150.05294693498885</v>
      </c>
      <c r="W8" s="54">
        <v>63.369684254250046</v>
      </c>
      <c r="X8" s="54">
        <v>24.851707161346017</v>
      </c>
      <c r="Y8" s="54">
        <v>164.6268035811371</v>
      </c>
      <c r="Z8" s="54">
        <v>64.561740549187903</v>
      </c>
      <c r="AA8" s="55">
        <v>0</v>
      </c>
      <c r="AB8" s="57">
        <v>86.897960689333161</v>
      </c>
      <c r="AC8" s="57">
        <v>0</v>
      </c>
      <c r="AD8" s="405">
        <v>16.432211689755089</v>
      </c>
      <c r="AE8" s="405">
        <v>6.2342100727727505</v>
      </c>
      <c r="AF8" s="57">
        <v>22.22423446708256</v>
      </c>
      <c r="AG8" s="58">
        <v>15.810528079123445</v>
      </c>
      <c r="AH8" s="58">
        <v>6.2004193095259499</v>
      </c>
      <c r="AI8" s="58">
        <v>0.71830293353372965</v>
      </c>
      <c r="AJ8" s="57">
        <v>255.80561402638753</v>
      </c>
      <c r="AK8" s="57">
        <v>1031.9455915451049</v>
      </c>
      <c r="AL8" s="57">
        <v>2925.8497778574624</v>
      </c>
      <c r="AM8" s="57">
        <v>985.43426513671875</v>
      </c>
      <c r="AN8" s="57">
        <v>4755.460693359375</v>
      </c>
      <c r="AO8" s="57">
        <v>2381.4948825836182</v>
      </c>
      <c r="AP8" s="57">
        <v>560.19905068079629</v>
      </c>
      <c r="AQ8" s="57">
        <v>2758.0908704121903</v>
      </c>
      <c r="AR8" s="57">
        <v>419.86697994867967</v>
      </c>
      <c r="AS8" s="57">
        <v>776.83722769419364</v>
      </c>
    </row>
    <row r="9" spans="1:49" x14ac:dyDescent="0.25">
      <c r="A9" s="11">
        <v>43953</v>
      </c>
      <c r="B9" s="59"/>
      <c r="C9" s="60">
        <v>64.993419285615701</v>
      </c>
      <c r="D9" s="60">
        <v>977.81107044219902</v>
      </c>
      <c r="E9" s="60">
        <v>15.627138113975541</v>
      </c>
      <c r="F9" s="60">
        <v>0</v>
      </c>
      <c r="G9" s="60">
        <v>2699.568787892671</v>
      </c>
      <c r="H9" s="61">
        <v>24.902392890056017</v>
      </c>
      <c r="I9" s="59">
        <v>152.34112181663508</v>
      </c>
      <c r="J9" s="60">
        <v>759.45901196797661</v>
      </c>
      <c r="K9" s="60">
        <v>41.888379836082535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464.18911487244321</v>
      </c>
      <c r="V9" s="62">
        <v>145.05623348571677</v>
      </c>
      <c r="W9" s="62">
        <v>79.796981831806306</v>
      </c>
      <c r="X9" s="62">
        <v>24.93606432634845</v>
      </c>
      <c r="Y9" s="66">
        <v>224.18959661622478</v>
      </c>
      <c r="Z9" s="66">
        <v>70.057865274949663</v>
      </c>
      <c r="AA9" s="67">
        <v>0</v>
      </c>
      <c r="AB9" s="68">
        <v>101.59449289110063</v>
      </c>
      <c r="AC9" s="69">
        <v>0</v>
      </c>
      <c r="AD9" s="406">
        <v>20.466788698773151</v>
      </c>
      <c r="AE9" s="406">
        <v>6.228401317106246</v>
      </c>
      <c r="AF9" s="69">
        <v>26.481520585053467</v>
      </c>
      <c r="AG9" s="68">
        <v>19.999827353757681</v>
      </c>
      <c r="AH9" s="68">
        <v>6.2498226118419558</v>
      </c>
      <c r="AI9" s="68">
        <v>0.76190834468145685</v>
      </c>
      <c r="AJ9" s="69">
        <v>289.59302832285562</v>
      </c>
      <c r="AK9" s="69">
        <v>1053.0874165217083</v>
      </c>
      <c r="AL9" s="69">
        <v>2951.7836840311688</v>
      </c>
      <c r="AM9" s="69">
        <v>985.43426513671875</v>
      </c>
      <c r="AN9" s="69">
        <v>4755.460693359375</v>
      </c>
      <c r="AO9" s="69">
        <v>2204.0044873555503</v>
      </c>
      <c r="AP9" s="69">
        <v>551.83005588849392</v>
      </c>
      <c r="AQ9" s="69">
        <v>3452.9105804125466</v>
      </c>
      <c r="AR9" s="69">
        <v>401.55785574913023</v>
      </c>
      <c r="AS9" s="69">
        <v>573.74541759490967</v>
      </c>
    </row>
    <row r="10" spans="1:49" x14ac:dyDescent="0.25">
      <c r="A10" s="11">
        <v>43954</v>
      </c>
      <c r="B10" s="59"/>
      <c r="C10" s="60">
        <v>65.278075575828467</v>
      </c>
      <c r="D10" s="60">
        <v>978.01572430928456</v>
      </c>
      <c r="E10" s="60">
        <v>15.592301724354424</v>
      </c>
      <c r="F10" s="60">
        <v>0</v>
      </c>
      <c r="G10" s="60">
        <v>2759.3553525288985</v>
      </c>
      <c r="H10" s="61">
        <v>24.784289755423845</v>
      </c>
      <c r="I10" s="59">
        <v>152.24853277206432</v>
      </c>
      <c r="J10" s="60">
        <v>759.13925371170058</v>
      </c>
      <c r="K10" s="60">
        <v>41.900322494904309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456.9997359606802</v>
      </c>
      <c r="V10" s="62">
        <v>142.81590641738336</v>
      </c>
      <c r="W10" s="62">
        <v>77.800215497448079</v>
      </c>
      <c r="X10" s="62">
        <v>24.313161302771061</v>
      </c>
      <c r="Y10" s="66">
        <v>223.71675336530024</v>
      </c>
      <c r="Z10" s="66">
        <v>69.913193375167552</v>
      </c>
      <c r="AA10" s="67">
        <v>0</v>
      </c>
      <c r="AB10" s="68">
        <v>101.21548138194696</v>
      </c>
      <c r="AC10" s="69">
        <v>0</v>
      </c>
      <c r="AD10" s="406">
        <v>20.455247370960514</v>
      </c>
      <c r="AE10" s="406">
        <v>6.2294015481696583</v>
      </c>
      <c r="AF10" s="69">
        <v>26.507890416516208</v>
      </c>
      <c r="AG10" s="68">
        <v>19.998741177651393</v>
      </c>
      <c r="AH10" s="68">
        <v>6.2497592968821145</v>
      </c>
      <c r="AI10" s="68">
        <v>0.76190033015616732</v>
      </c>
      <c r="AJ10" s="69">
        <v>234.70940612157187</v>
      </c>
      <c r="AK10" s="69">
        <v>980.82291742960592</v>
      </c>
      <c r="AL10" s="69">
        <v>2948.8418968200681</v>
      </c>
      <c r="AM10" s="69">
        <v>985.43426513671875</v>
      </c>
      <c r="AN10" s="69">
        <v>4755.460693359375</v>
      </c>
      <c r="AO10" s="69">
        <v>2202.1790008544922</v>
      </c>
      <c r="AP10" s="69">
        <v>507.80180578231813</v>
      </c>
      <c r="AQ10" s="69">
        <v>3352.5775831858314</v>
      </c>
      <c r="AR10" s="69">
        <v>401.70806547800703</v>
      </c>
      <c r="AS10" s="69">
        <v>637.67812169392892</v>
      </c>
    </row>
    <row r="11" spans="1:49" x14ac:dyDescent="0.25">
      <c r="A11" s="11">
        <v>43955</v>
      </c>
      <c r="B11" s="59"/>
      <c r="C11" s="60">
        <v>65.758894272645122</v>
      </c>
      <c r="D11" s="60">
        <v>978.09722868601318</v>
      </c>
      <c r="E11" s="60">
        <v>15.548271107176957</v>
      </c>
      <c r="F11" s="60">
        <v>0</v>
      </c>
      <c r="G11" s="60">
        <v>2823.0329514821465</v>
      </c>
      <c r="H11" s="61">
        <v>24.911310768127414</v>
      </c>
      <c r="I11" s="59">
        <v>152.07012088298805</v>
      </c>
      <c r="J11" s="60">
        <v>758.3266370773315</v>
      </c>
      <c r="K11" s="60">
        <v>41.848895525932448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451.50606583927174</v>
      </c>
      <c r="V11" s="62">
        <v>141.07325439015338</v>
      </c>
      <c r="W11" s="62">
        <v>76.466275560909367</v>
      </c>
      <c r="X11" s="62">
        <v>23.891918981021714</v>
      </c>
      <c r="Y11" s="66">
        <v>220.67712948001466</v>
      </c>
      <c r="Z11" s="66">
        <v>68.950659095475459</v>
      </c>
      <c r="AA11" s="67">
        <v>0</v>
      </c>
      <c r="AB11" s="68">
        <v>100.26476419766793</v>
      </c>
      <c r="AC11" s="69">
        <v>0</v>
      </c>
      <c r="AD11" s="406">
        <v>20.438160149898618</v>
      </c>
      <c r="AE11" s="406">
        <v>6.2308273040028235</v>
      </c>
      <c r="AF11" s="69">
        <v>26.137163237730704</v>
      </c>
      <c r="AG11" s="68">
        <v>19.723934381776125</v>
      </c>
      <c r="AH11" s="68">
        <v>6.1627513407660901</v>
      </c>
      <c r="AI11" s="68">
        <v>0.76193355121549811</v>
      </c>
      <c r="AJ11" s="69">
        <v>235.04818763732914</v>
      </c>
      <c r="AK11" s="69">
        <v>998.57326590220134</v>
      </c>
      <c r="AL11" s="69">
        <v>2953.4380556742349</v>
      </c>
      <c r="AM11" s="69">
        <v>985.43426513671875</v>
      </c>
      <c r="AN11" s="69">
        <v>4755.460693359375</v>
      </c>
      <c r="AO11" s="69">
        <v>2253.6351188659669</v>
      </c>
      <c r="AP11" s="69">
        <v>517.48378181457508</v>
      </c>
      <c r="AQ11" s="69">
        <v>3259.6807352701821</v>
      </c>
      <c r="AR11" s="69">
        <v>398.89298241933187</v>
      </c>
      <c r="AS11" s="69">
        <v>610.48035853703811</v>
      </c>
    </row>
    <row r="12" spans="1:49" x14ac:dyDescent="0.25">
      <c r="A12" s="11">
        <v>43956</v>
      </c>
      <c r="B12" s="59"/>
      <c r="C12" s="60">
        <v>65.331332735220386</v>
      </c>
      <c r="D12" s="60">
        <v>977.55143438974721</v>
      </c>
      <c r="E12" s="60">
        <v>15.534576934079325</v>
      </c>
      <c r="F12" s="60">
        <v>0</v>
      </c>
      <c r="G12" s="60">
        <v>2854.4562905629505</v>
      </c>
      <c r="H12" s="61">
        <v>24.858285879095419</v>
      </c>
      <c r="I12" s="59">
        <v>157.8118517239887</v>
      </c>
      <c r="J12" s="60">
        <v>758.77267243067388</v>
      </c>
      <c r="K12" s="60">
        <v>41.789255233605829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454.6979628617587</v>
      </c>
      <c r="V12" s="62">
        <v>142.11524718055219</v>
      </c>
      <c r="W12" s="62">
        <v>77.284751519269179</v>
      </c>
      <c r="X12" s="62">
        <v>24.155246916704897</v>
      </c>
      <c r="Y12" s="66">
        <v>223.53320739147168</v>
      </c>
      <c r="Z12" s="66">
        <v>69.865008458722443</v>
      </c>
      <c r="AA12" s="67">
        <v>0</v>
      </c>
      <c r="AB12" s="68">
        <v>100.25681549708064</v>
      </c>
      <c r="AC12" s="69">
        <v>0</v>
      </c>
      <c r="AD12" s="406">
        <v>20.450138708096091</v>
      </c>
      <c r="AE12" s="406">
        <v>6.2262840908899513</v>
      </c>
      <c r="AF12" s="69">
        <v>26.494867457283913</v>
      </c>
      <c r="AG12" s="68">
        <v>19.999629428198492</v>
      </c>
      <c r="AH12" s="68">
        <v>6.2508577382212751</v>
      </c>
      <c r="AI12" s="68">
        <v>0.7618765054304395</v>
      </c>
      <c r="AJ12" s="69">
        <v>225.41808226903279</v>
      </c>
      <c r="AK12" s="69">
        <v>957.85887044270817</v>
      </c>
      <c r="AL12" s="69">
        <v>2883.6130963643391</v>
      </c>
      <c r="AM12" s="69">
        <v>985.43426513671875</v>
      </c>
      <c r="AN12" s="69">
        <v>4755.460693359375</v>
      </c>
      <c r="AO12" s="69">
        <v>2272.0061162312827</v>
      </c>
      <c r="AP12" s="69">
        <v>482.35776357650752</v>
      </c>
      <c r="AQ12" s="69">
        <v>3257.5064076741542</v>
      </c>
      <c r="AR12" s="69">
        <v>395.37532240549729</v>
      </c>
      <c r="AS12" s="69">
        <v>703.52011804580684</v>
      </c>
    </row>
    <row r="13" spans="1:49" x14ac:dyDescent="0.25">
      <c r="A13" s="11">
        <v>43957</v>
      </c>
      <c r="B13" s="59"/>
      <c r="C13" s="60">
        <v>65.316247129440626</v>
      </c>
      <c r="D13" s="60">
        <v>982.30547536214158</v>
      </c>
      <c r="E13" s="60">
        <v>15.780523644884443</v>
      </c>
      <c r="F13" s="60">
        <v>0</v>
      </c>
      <c r="G13" s="60">
        <v>2737.1715099334779</v>
      </c>
      <c r="H13" s="61">
        <v>24.902374902367544</v>
      </c>
      <c r="I13" s="59">
        <v>183.16581093470251</v>
      </c>
      <c r="J13" s="60">
        <v>758.7755813280744</v>
      </c>
      <c r="K13" s="60">
        <v>41.799922631184366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450.87051154725373</v>
      </c>
      <c r="V13" s="62">
        <v>140.92056636327268</v>
      </c>
      <c r="W13" s="62">
        <v>76.274769251610991</v>
      </c>
      <c r="X13" s="62">
        <v>23.839846268230467</v>
      </c>
      <c r="Y13" s="66">
        <v>221.25500381836628</v>
      </c>
      <c r="Z13" s="66">
        <v>69.153736272957531</v>
      </c>
      <c r="AA13" s="67">
        <v>0</v>
      </c>
      <c r="AB13" s="68">
        <v>100.42222429911271</v>
      </c>
      <c r="AC13" s="69">
        <v>0</v>
      </c>
      <c r="AD13" s="406">
        <v>20.449021019546933</v>
      </c>
      <c r="AE13" s="406">
        <v>6.235394644259209</v>
      </c>
      <c r="AF13" s="69">
        <v>26.208583207925152</v>
      </c>
      <c r="AG13" s="68">
        <v>19.771710662470397</v>
      </c>
      <c r="AH13" s="68">
        <v>6.1796914927182405</v>
      </c>
      <c r="AI13" s="68">
        <v>0.76187446613620857</v>
      </c>
      <c r="AJ13" s="69">
        <v>217.35337328910828</v>
      </c>
      <c r="AK13" s="69">
        <v>957.66779626210541</v>
      </c>
      <c r="AL13" s="69">
        <v>2963.0007919311524</v>
      </c>
      <c r="AM13" s="69">
        <v>985.43426513671875</v>
      </c>
      <c r="AN13" s="69">
        <v>4755.460693359375</v>
      </c>
      <c r="AO13" s="69">
        <v>2309.0380786895748</v>
      </c>
      <c r="AP13" s="69">
        <v>500.12150184313441</v>
      </c>
      <c r="AQ13" s="69">
        <v>3258.5118179321298</v>
      </c>
      <c r="AR13" s="69">
        <v>398.71471935907999</v>
      </c>
      <c r="AS13" s="69">
        <v>734.28425490061454</v>
      </c>
    </row>
    <row r="14" spans="1:49" x14ac:dyDescent="0.25">
      <c r="A14" s="11">
        <v>43958</v>
      </c>
      <c r="B14" s="59"/>
      <c r="C14" s="60">
        <v>65.661834692954386</v>
      </c>
      <c r="D14" s="60">
        <v>985.71174221039064</v>
      </c>
      <c r="E14" s="60">
        <v>15.749650349219648</v>
      </c>
      <c r="F14" s="60">
        <v>0</v>
      </c>
      <c r="G14" s="60">
        <v>2698.8037014484398</v>
      </c>
      <c r="H14" s="61">
        <v>24.890300633509931</v>
      </c>
      <c r="I14" s="59">
        <v>191.75777216752371</v>
      </c>
      <c r="J14" s="60">
        <v>758.81320428848323</v>
      </c>
      <c r="K14" s="60">
        <v>41.77404506603888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452.6868733319734</v>
      </c>
      <c r="V14" s="62">
        <v>136.22863610389075</v>
      </c>
      <c r="W14" s="62">
        <v>75.70241430738028</v>
      </c>
      <c r="X14" s="62">
        <v>22.781390975530375</v>
      </c>
      <c r="Y14" s="66">
        <v>221.65478231727766</v>
      </c>
      <c r="Z14" s="66">
        <v>66.703344982667076</v>
      </c>
      <c r="AA14" s="67">
        <v>0</v>
      </c>
      <c r="AB14" s="68">
        <v>100.91513584454771</v>
      </c>
      <c r="AC14" s="69">
        <v>0</v>
      </c>
      <c r="AD14" s="406">
        <v>20.450005805821164</v>
      </c>
      <c r="AE14" s="406">
        <v>6.2268774900739192</v>
      </c>
      <c r="AF14" s="69">
        <v>26.039388926823953</v>
      </c>
      <c r="AG14" s="68">
        <v>19.819212449433618</v>
      </c>
      <c r="AH14" s="68">
        <v>5.9642645715940956</v>
      </c>
      <c r="AI14" s="68">
        <v>0.76867881059137444</v>
      </c>
      <c r="AJ14" s="69">
        <v>220.7933036486308</v>
      </c>
      <c r="AK14" s="69">
        <v>984.14566462834671</v>
      </c>
      <c r="AL14" s="69">
        <v>2948.4299451192214</v>
      </c>
      <c r="AM14" s="69">
        <v>985.43426513671875</v>
      </c>
      <c r="AN14" s="69">
        <v>4755.460693359375</v>
      </c>
      <c r="AO14" s="69">
        <v>2226.9561040242515</v>
      </c>
      <c r="AP14" s="69">
        <v>520.27181811332707</v>
      </c>
      <c r="AQ14" s="69">
        <v>3254.4494352976481</v>
      </c>
      <c r="AR14" s="69">
        <v>396.41981705029804</v>
      </c>
      <c r="AS14" s="69">
        <v>734.85970754623395</v>
      </c>
    </row>
    <row r="15" spans="1:49" x14ac:dyDescent="0.25">
      <c r="A15" s="11">
        <v>43959</v>
      </c>
      <c r="B15" s="59"/>
      <c r="C15" s="60">
        <v>64.902891977628144</v>
      </c>
      <c r="D15" s="60">
        <v>985.15831673939999</v>
      </c>
      <c r="E15" s="60">
        <v>15.675772037108739</v>
      </c>
      <c r="F15" s="60">
        <v>0</v>
      </c>
      <c r="G15" s="60">
        <v>2388.5482692718469</v>
      </c>
      <c r="H15" s="61">
        <v>24.871269707878465</v>
      </c>
      <c r="I15" s="59">
        <v>197.95319170157126</v>
      </c>
      <c r="J15" s="60">
        <v>759.78758525848411</v>
      </c>
      <c r="K15" s="60">
        <v>41.725111434857162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447.80167809416156</v>
      </c>
      <c r="V15" s="62">
        <v>140.81606671191497</v>
      </c>
      <c r="W15" s="62">
        <v>75.461033430275961</v>
      </c>
      <c r="X15" s="62">
        <v>23.729535724145666</v>
      </c>
      <c r="Y15" s="66">
        <v>219.93051304964692</v>
      </c>
      <c r="Z15" s="66">
        <v>69.159521530583888</v>
      </c>
      <c r="AA15" s="67">
        <v>0</v>
      </c>
      <c r="AB15" s="68">
        <v>100.91011417706834</v>
      </c>
      <c r="AC15" s="69">
        <v>0</v>
      </c>
      <c r="AD15" s="406">
        <v>20.475017923637143</v>
      </c>
      <c r="AE15" s="406">
        <v>6.2238183350355012</v>
      </c>
      <c r="AF15" s="69">
        <v>26.104140174388892</v>
      </c>
      <c r="AG15" s="68">
        <v>19.648409837973233</v>
      </c>
      <c r="AH15" s="68">
        <v>6.1786543594535015</v>
      </c>
      <c r="AI15" s="68">
        <v>0.76076822699542024</v>
      </c>
      <c r="AJ15" s="69">
        <v>220.26731459299725</v>
      </c>
      <c r="AK15" s="69">
        <v>938.23609466552739</v>
      </c>
      <c r="AL15" s="69">
        <v>2993.3214579264318</v>
      </c>
      <c r="AM15" s="69">
        <v>985.43426513671875</v>
      </c>
      <c r="AN15" s="69">
        <v>4755.460693359375</v>
      </c>
      <c r="AO15" s="69">
        <v>2192.9906581878668</v>
      </c>
      <c r="AP15" s="69">
        <v>476.41432383855187</v>
      </c>
      <c r="AQ15" s="69">
        <v>3264.5478131612144</v>
      </c>
      <c r="AR15" s="69">
        <v>397.84658330281576</v>
      </c>
      <c r="AS15" s="69">
        <v>611.08906447092693</v>
      </c>
    </row>
    <row r="16" spans="1:49" x14ac:dyDescent="0.25">
      <c r="A16" s="11">
        <v>43960</v>
      </c>
      <c r="B16" s="49"/>
      <c r="C16" s="50">
        <v>65.769875395297944</v>
      </c>
      <c r="D16" s="50">
        <v>985.14646860758432</v>
      </c>
      <c r="E16" s="50">
        <v>15.485418747365493</v>
      </c>
      <c r="F16" s="50">
        <v>0</v>
      </c>
      <c r="G16" s="50">
        <v>2364.2171713511157</v>
      </c>
      <c r="H16" s="51">
        <v>24.884521930416426</v>
      </c>
      <c r="I16" s="49">
        <v>212.54290843009926</v>
      </c>
      <c r="J16" s="50">
        <v>765.53889853159603</v>
      </c>
      <c r="K16" s="50">
        <v>41.732607837518238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450.92288488682726</v>
      </c>
      <c r="V16" s="66">
        <v>140.88747311827038</v>
      </c>
      <c r="W16" s="62">
        <v>75.935294780237783</v>
      </c>
      <c r="X16" s="62">
        <v>23.725413281616341</v>
      </c>
      <c r="Y16" s="66">
        <v>226.62066594520627</v>
      </c>
      <c r="Z16" s="66">
        <v>70.80592724721231</v>
      </c>
      <c r="AA16" s="67">
        <v>0</v>
      </c>
      <c r="AB16" s="68">
        <v>101.16627796490947</v>
      </c>
      <c r="AC16" s="69">
        <v>0</v>
      </c>
      <c r="AD16" s="406">
        <v>20.632777002946149</v>
      </c>
      <c r="AE16" s="406">
        <v>6.2237065286961215</v>
      </c>
      <c r="AF16" s="69">
        <v>26.322122106287239</v>
      </c>
      <c r="AG16" s="68">
        <v>19.793989846409946</v>
      </c>
      <c r="AH16" s="68">
        <v>6.1844836575311835</v>
      </c>
      <c r="AI16" s="68">
        <v>0.76193814249351677</v>
      </c>
      <c r="AJ16" s="69">
        <v>225.80494302113851</v>
      </c>
      <c r="AK16" s="69">
        <v>965.45436204274495</v>
      </c>
      <c r="AL16" s="69">
        <v>2982.873429616292</v>
      </c>
      <c r="AM16" s="69">
        <v>985.43426513671875</v>
      </c>
      <c r="AN16" s="69">
        <v>4755.460693359375</v>
      </c>
      <c r="AO16" s="69">
        <v>2245.0339158376055</v>
      </c>
      <c r="AP16" s="69">
        <v>484.50039895375562</v>
      </c>
      <c r="AQ16" s="69">
        <v>3279.7532070159909</v>
      </c>
      <c r="AR16" s="69">
        <v>402.9823209444682</v>
      </c>
      <c r="AS16" s="69">
        <v>517.37781969706225</v>
      </c>
    </row>
    <row r="17" spans="1:45" x14ac:dyDescent="0.25">
      <c r="A17" s="11">
        <v>43961</v>
      </c>
      <c r="B17" s="59"/>
      <c r="C17" s="60">
        <v>65.488610470294887</v>
      </c>
      <c r="D17" s="60">
        <v>984.53582096099865</v>
      </c>
      <c r="E17" s="60">
        <v>15.440630063414574</v>
      </c>
      <c r="F17" s="60">
        <v>0</v>
      </c>
      <c r="G17" s="60">
        <v>2354.3657251993814</v>
      </c>
      <c r="H17" s="61">
        <v>24.919211907188064</v>
      </c>
      <c r="I17" s="59">
        <v>227.83056262334182</v>
      </c>
      <c r="J17" s="60">
        <v>768.66055631637573</v>
      </c>
      <c r="K17" s="60">
        <v>41.751386807362231</v>
      </c>
      <c r="L17" s="5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454.1508247566191</v>
      </c>
      <c r="V17" s="62">
        <v>141.90268050511671</v>
      </c>
      <c r="W17" s="62">
        <v>76.116024769410672</v>
      </c>
      <c r="X17" s="62">
        <v>23.782997531627426</v>
      </c>
      <c r="Y17" s="66">
        <v>229.02593954776344</v>
      </c>
      <c r="Z17" s="66">
        <v>71.560796447847437</v>
      </c>
      <c r="AA17" s="67">
        <v>0</v>
      </c>
      <c r="AB17" s="68">
        <v>101.57691227065203</v>
      </c>
      <c r="AC17" s="69">
        <v>0</v>
      </c>
      <c r="AD17" s="406">
        <v>20.716827069392153</v>
      </c>
      <c r="AE17" s="406">
        <v>6.2195995234238461</v>
      </c>
      <c r="AF17" s="69">
        <v>26.487877266936863</v>
      </c>
      <c r="AG17" s="68">
        <v>19.914146643485779</v>
      </c>
      <c r="AH17" s="68">
        <v>6.2223178614659531</v>
      </c>
      <c r="AI17" s="68">
        <v>0.76192962669885622</v>
      </c>
      <c r="AJ17" s="69">
        <v>219.55684642791749</v>
      </c>
      <c r="AK17" s="69">
        <v>931.89241151809688</v>
      </c>
      <c r="AL17" s="69">
        <v>2983.4932081858315</v>
      </c>
      <c r="AM17" s="69">
        <v>985.43426513671875</v>
      </c>
      <c r="AN17" s="69">
        <v>4755.460693359375</v>
      </c>
      <c r="AO17" s="69">
        <v>2269.0569839477544</v>
      </c>
      <c r="AP17" s="69">
        <v>489.96419622103372</v>
      </c>
      <c r="AQ17" s="69">
        <v>3351.3530958811439</v>
      </c>
      <c r="AR17" s="69">
        <v>393.94475293159485</v>
      </c>
      <c r="AS17" s="69">
        <v>572.08145869572957</v>
      </c>
    </row>
    <row r="18" spans="1:45" x14ac:dyDescent="0.25">
      <c r="A18" s="11">
        <v>43962</v>
      </c>
      <c r="B18" s="59"/>
      <c r="C18" s="60">
        <v>65.083998258908949</v>
      </c>
      <c r="D18" s="60">
        <v>984.73208929697773</v>
      </c>
      <c r="E18" s="60">
        <v>15.596894368529295</v>
      </c>
      <c r="F18" s="60">
        <v>0</v>
      </c>
      <c r="G18" s="60">
        <v>2287.7809346516915</v>
      </c>
      <c r="H18" s="61">
        <v>24.87071700294813</v>
      </c>
      <c r="I18" s="59">
        <v>227.76652654012057</v>
      </c>
      <c r="J18" s="60">
        <v>768.77069193522152</v>
      </c>
      <c r="K18" s="60">
        <v>41.773126558462891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454.69449575642528</v>
      </c>
      <c r="V18" s="62">
        <v>142.09948783021022</v>
      </c>
      <c r="W18" s="62">
        <v>75.557183203410773</v>
      </c>
      <c r="X18" s="62">
        <v>23.612859041182517</v>
      </c>
      <c r="Y18" s="66">
        <v>233.6861892607732</v>
      </c>
      <c r="Z18" s="66">
        <v>73.030767068572331</v>
      </c>
      <c r="AA18" s="67">
        <v>0</v>
      </c>
      <c r="AB18" s="68">
        <v>101.57565648290777</v>
      </c>
      <c r="AC18" s="69">
        <v>0</v>
      </c>
      <c r="AD18" s="406">
        <v>20.715935003509937</v>
      </c>
      <c r="AE18" s="406">
        <v>6.2206547930639466</v>
      </c>
      <c r="AF18" s="69">
        <v>26.597744209236538</v>
      </c>
      <c r="AG18" s="68">
        <v>19.999156088557537</v>
      </c>
      <c r="AH18" s="68">
        <v>6.2500643041494266</v>
      </c>
      <c r="AI18" s="68">
        <v>0.76189524067214076</v>
      </c>
      <c r="AJ18" s="69">
        <v>228.98012040456138</v>
      </c>
      <c r="AK18" s="69">
        <v>916.61558634440121</v>
      </c>
      <c r="AL18" s="69">
        <v>2954.0592697143557</v>
      </c>
      <c r="AM18" s="69">
        <v>985.43426513671875</v>
      </c>
      <c r="AN18" s="69">
        <v>4755.460693359375</v>
      </c>
      <c r="AO18" s="69">
        <v>2220.5681747436529</v>
      </c>
      <c r="AP18" s="69">
        <v>471.70516467094433</v>
      </c>
      <c r="AQ18" s="69">
        <v>3269.8569595336921</v>
      </c>
      <c r="AR18" s="69">
        <v>405.95774348576862</v>
      </c>
      <c r="AS18" s="69">
        <v>513.81994171142583</v>
      </c>
    </row>
    <row r="19" spans="1:45" x14ac:dyDescent="0.25">
      <c r="A19" s="11">
        <v>43963</v>
      </c>
      <c r="B19" s="59"/>
      <c r="C19" s="60">
        <v>64.898935214678758</v>
      </c>
      <c r="D19" s="60">
        <v>984.47843437194979</v>
      </c>
      <c r="E19" s="60">
        <v>15.562867729365848</v>
      </c>
      <c r="F19" s="60">
        <v>0</v>
      </c>
      <c r="G19" s="60">
        <v>2179.5121467590284</v>
      </c>
      <c r="H19" s="61">
        <v>24.876887910564758</v>
      </c>
      <c r="I19" s="59">
        <v>227.22803541819229</v>
      </c>
      <c r="J19" s="60">
        <v>767.07642037073845</v>
      </c>
      <c r="K19" s="60">
        <v>41.845847211281502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453.71757991085741</v>
      </c>
      <c r="V19" s="62">
        <v>142.80678369167509</v>
      </c>
      <c r="W19" s="62">
        <v>74.306940795917711</v>
      </c>
      <c r="X19" s="62">
        <v>23.387974570254901</v>
      </c>
      <c r="Y19" s="66">
        <v>234.51253457760268</v>
      </c>
      <c r="Z19" s="66">
        <v>73.812394055769261</v>
      </c>
      <c r="AA19" s="67">
        <v>0</v>
      </c>
      <c r="AB19" s="68">
        <v>101.46294238302474</v>
      </c>
      <c r="AC19" s="69">
        <v>0</v>
      </c>
      <c r="AD19" s="406">
        <v>20.675635582254522</v>
      </c>
      <c r="AE19" s="406">
        <v>6.2191710969198306</v>
      </c>
      <c r="AF19" s="69">
        <v>26.291882560650532</v>
      </c>
      <c r="AG19" s="68">
        <v>19.723015921301215</v>
      </c>
      <c r="AH19" s="68">
        <v>6.2077834166666097</v>
      </c>
      <c r="AI19" s="68">
        <v>0.76060192608188582</v>
      </c>
      <c r="AJ19" s="69">
        <v>231.97898516654968</v>
      </c>
      <c r="AK19" s="69">
        <v>955.13877716064462</v>
      </c>
      <c r="AL19" s="69">
        <v>2950.2931687672935</v>
      </c>
      <c r="AM19" s="69">
        <v>792.19901189804079</v>
      </c>
      <c r="AN19" s="69">
        <v>4755.460693359375</v>
      </c>
      <c r="AO19" s="69">
        <v>2267.4173564910889</v>
      </c>
      <c r="AP19" s="69">
        <v>483.36862535476678</v>
      </c>
      <c r="AQ19" s="69">
        <v>3320.2634502410892</v>
      </c>
      <c r="AR19" s="69">
        <v>410.48269661267597</v>
      </c>
      <c r="AS19" s="69">
        <v>652.2618208567302</v>
      </c>
    </row>
    <row r="20" spans="1:45" x14ac:dyDescent="0.25">
      <c r="A20" s="11">
        <v>43964</v>
      </c>
      <c r="B20" s="59"/>
      <c r="C20" s="60">
        <v>65.54425633748393</v>
      </c>
      <c r="D20" s="60">
        <v>984.40218245188464</v>
      </c>
      <c r="E20" s="60">
        <v>15.868222813804952</v>
      </c>
      <c r="F20" s="60">
        <v>0</v>
      </c>
      <c r="G20" s="60">
        <v>2052.4799575805632</v>
      </c>
      <c r="H20" s="61">
        <v>24.914057124654494</v>
      </c>
      <c r="I20" s="59">
        <v>228.11243577003472</v>
      </c>
      <c r="J20" s="60">
        <v>769.22203626632711</v>
      </c>
      <c r="K20" s="60">
        <v>42.089487683773072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488.02435125186605</v>
      </c>
      <c r="V20" s="62">
        <v>152.52642177535031</v>
      </c>
      <c r="W20" s="62">
        <v>76.852288382299363</v>
      </c>
      <c r="X20" s="62">
        <v>24.019302565805372</v>
      </c>
      <c r="Y20" s="66">
        <v>236.36821193859993</v>
      </c>
      <c r="Z20" s="66">
        <v>73.874177581409015</v>
      </c>
      <c r="AA20" s="67">
        <v>0</v>
      </c>
      <c r="AB20" s="68">
        <v>102.16970602671427</v>
      </c>
      <c r="AC20" s="69">
        <v>0</v>
      </c>
      <c r="AD20" s="406">
        <v>20.729123975946809</v>
      </c>
      <c r="AE20" s="406">
        <v>6.2185394453753515</v>
      </c>
      <c r="AF20" s="69">
        <v>26.272597829500878</v>
      </c>
      <c r="AG20" s="68">
        <v>19.744165201120058</v>
      </c>
      <c r="AH20" s="68">
        <v>6.1708127091265048</v>
      </c>
      <c r="AI20" s="68">
        <v>0.76188238591217872</v>
      </c>
      <c r="AJ20" s="69">
        <v>255.89468380610143</v>
      </c>
      <c r="AK20" s="69">
        <v>1015.4983782450357</v>
      </c>
      <c r="AL20" s="69">
        <v>2904.2848571777345</v>
      </c>
      <c r="AM20" s="69">
        <v>523.97694396972656</v>
      </c>
      <c r="AN20" s="69">
        <v>4755.460693359375</v>
      </c>
      <c r="AO20" s="69">
        <v>2315.6598406473795</v>
      </c>
      <c r="AP20" s="69">
        <v>478.25968084335324</v>
      </c>
      <c r="AQ20" s="69">
        <v>3270.4861450195313</v>
      </c>
      <c r="AR20" s="69">
        <v>398.78329614003496</v>
      </c>
      <c r="AS20" s="69">
        <v>698.63824437459323</v>
      </c>
    </row>
    <row r="21" spans="1:45" x14ac:dyDescent="0.25">
      <c r="A21" s="11">
        <v>43965</v>
      </c>
      <c r="B21" s="59"/>
      <c r="C21" s="60">
        <v>65.499849220117341</v>
      </c>
      <c r="D21" s="60">
        <v>986.34936625162982</v>
      </c>
      <c r="E21" s="60">
        <v>15.671899957458168</v>
      </c>
      <c r="F21" s="60">
        <v>0</v>
      </c>
      <c r="G21" s="60">
        <v>2076.9014422098753</v>
      </c>
      <c r="H21" s="61">
        <v>24.964424646894155</v>
      </c>
      <c r="I21" s="59">
        <v>235.16503496170006</v>
      </c>
      <c r="J21" s="60">
        <v>851.20311292012423</v>
      </c>
      <c r="K21" s="60">
        <v>46.643884726365471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533.26649205348144</v>
      </c>
      <c r="V21" s="62">
        <v>151.1207348141929</v>
      </c>
      <c r="W21" s="62">
        <v>85.257389486059736</v>
      </c>
      <c r="X21" s="62">
        <v>24.160826790108977</v>
      </c>
      <c r="Y21" s="66">
        <v>274.07223821153269</v>
      </c>
      <c r="Z21" s="66">
        <v>77.668480296233412</v>
      </c>
      <c r="AA21" s="67">
        <v>0</v>
      </c>
      <c r="AB21" s="68">
        <v>109.46576823658549</v>
      </c>
      <c r="AC21" s="69">
        <v>0</v>
      </c>
      <c r="AD21" s="406">
        <v>22.94365327129092</v>
      </c>
      <c r="AE21" s="406">
        <v>6.2307069179608563</v>
      </c>
      <c r="AF21" s="69">
        <v>28.252794298860763</v>
      </c>
      <c r="AG21" s="68">
        <v>21.695423648099212</v>
      </c>
      <c r="AH21" s="68">
        <v>6.1481987198947312</v>
      </c>
      <c r="AI21" s="68">
        <v>0.77918825939249747</v>
      </c>
      <c r="AJ21" s="69">
        <v>272.73698097864792</v>
      </c>
      <c r="AK21" s="69">
        <v>1041.1798343022665</v>
      </c>
      <c r="AL21" s="69">
        <v>2828.1934527079266</v>
      </c>
      <c r="AM21" s="69">
        <v>639.74594055811565</v>
      </c>
      <c r="AN21" s="69">
        <v>4142.5539591471352</v>
      </c>
      <c r="AO21" s="69">
        <v>2268.6356028238934</v>
      </c>
      <c r="AP21" s="69">
        <v>501.55077093442281</v>
      </c>
      <c r="AQ21" s="69">
        <v>3543.8679013570149</v>
      </c>
      <c r="AR21" s="69">
        <v>401.98569115002954</v>
      </c>
      <c r="AS21" s="69">
        <v>677.1187867800395</v>
      </c>
    </row>
    <row r="22" spans="1:45" x14ac:dyDescent="0.25">
      <c r="A22" s="11">
        <v>43966</v>
      </c>
      <c r="B22" s="59"/>
      <c r="C22" s="60">
        <v>66.236916025479402</v>
      </c>
      <c r="D22" s="60">
        <v>987.79182472229002</v>
      </c>
      <c r="E22" s="60">
        <v>15.814264934758317</v>
      </c>
      <c r="F22" s="60">
        <v>0</v>
      </c>
      <c r="G22" s="60">
        <v>2143.7939090728746</v>
      </c>
      <c r="H22" s="61">
        <v>25.048252095778793</v>
      </c>
      <c r="I22" s="59">
        <v>273.54785051345806</v>
      </c>
      <c r="J22" s="60">
        <v>920.20031585693323</v>
      </c>
      <c r="K22" s="60">
        <v>50.841397988796345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571.53631025963864</v>
      </c>
      <c r="V22" s="62">
        <v>144.28966757442461</v>
      </c>
      <c r="W22" s="62">
        <v>91.256461587663139</v>
      </c>
      <c r="X22" s="62">
        <v>23.03854413120396</v>
      </c>
      <c r="Y22" s="66">
        <v>308.08828275001764</v>
      </c>
      <c r="Z22" s="66">
        <v>77.779758002393152</v>
      </c>
      <c r="AA22" s="67">
        <v>0</v>
      </c>
      <c r="AB22" s="68">
        <v>115.86331588427059</v>
      </c>
      <c r="AC22" s="69">
        <v>0</v>
      </c>
      <c r="AD22" s="406">
        <v>24.799561500899372</v>
      </c>
      <c r="AE22" s="406">
        <v>6.2404253626284447</v>
      </c>
      <c r="AF22" s="69">
        <v>30.069351197613653</v>
      </c>
      <c r="AG22" s="68">
        <v>23.656278568286631</v>
      </c>
      <c r="AH22" s="68">
        <v>5.9722479733884937</v>
      </c>
      <c r="AI22" s="68">
        <v>0.79842912657205545</v>
      </c>
      <c r="AJ22" s="69">
        <v>217.40821013450622</v>
      </c>
      <c r="AK22" s="69">
        <v>974.08041636149096</v>
      </c>
      <c r="AL22" s="69">
        <v>2923.5509199778244</v>
      </c>
      <c r="AM22" s="69">
        <v>730.90589904785156</v>
      </c>
      <c r="AN22" s="69">
        <v>3586.554931640625</v>
      </c>
      <c r="AO22" s="69">
        <v>2220.5467594146726</v>
      </c>
      <c r="AP22" s="69">
        <v>483.34159070650742</v>
      </c>
      <c r="AQ22" s="69">
        <v>3821.969447199504</v>
      </c>
      <c r="AR22" s="69">
        <v>407.82183955510459</v>
      </c>
      <c r="AS22" s="69">
        <v>682.44433705012</v>
      </c>
    </row>
    <row r="23" spans="1:45" x14ac:dyDescent="0.25">
      <c r="A23" s="11">
        <v>43967</v>
      </c>
      <c r="B23" s="59"/>
      <c r="C23" s="60">
        <v>65.736026600996709</v>
      </c>
      <c r="D23" s="60">
        <v>983.4882869720451</v>
      </c>
      <c r="E23" s="60">
        <v>16.008219191928688</v>
      </c>
      <c r="F23" s="60">
        <v>0</v>
      </c>
      <c r="G23" s="60">
        <v>2082.0457455952933</v>
      </c>
      <c r="H23" s="61">
        <v>25.078715311487514</v>
      </c>
      <c r="I23" s="59">
        <v>286.3167990843454</v>
      </c>
      <c r="J23" s="60">
        <v>918.89680687586349</v>
      </c>
      <c r="K23" s="60">
        <v>50.823653511206494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577.38133315603409</v>
      </c>
      <c r="V23" s="62">
        <v>150.3602804439536</v>
      </c>
      <c r="W23" s="62">
        <v>92.072683697503976</v>
      </c>
      <c r="X23" s="62">
        <v>23.977350404300047</v>
      </c>
      <c r="Y23" s="66">
        <v>320.06718365022545</v>
      </c>
      <c r="Z23" s="66">
        <v>83.351138547370894</v>
      </c>
      <c r="AA23" s="67">
        <v>0</v>
      </c>
      <c r="AB23" s="68">
        <v>115.54753567907295</v>
      </c>
      <c r="AC23" s="69">
        <v>0</v>
      </c>
      <c r="AD23" s="406">
        <v>24.801548969296729</v>
      </c>
      <c r="AE23" s="406">
        <v>6.23907208922195</v>
      </c>
      <c r="AF23" s="69">
        <v>30.688714406225372</v>
      </c>
      <c r="AG23" s="68">
        <v>24.00034269688522</v>
      </c>
      <c r="AH23" s="68">
        <v>6.2501124498242593</v>
      </c>
      <c r="AI23" s="68">
        <v>0.79338782112492878</v>
      </c>
      <c r="AJ23" s="69">
        <v>227.01816495259604</v>
      </c>
      <c r="AK23" s="69">
        <v>960.87177495956416</v>
      </c>
      <c r="AL23" s="69">
        <v>2815.5669704437255</v>
      </c>
      <c r="AM23" s="69">
        <v>730.90589904785156</v>
      </c>
      <c r="AN23" s="69">
        <v>3586.554931640625</v>
      </c>
      <c r="AO23" s="69">
        <v>2171.1397071838378</v>
      </c>
      <c r="AP23" s="69">
        <v>461.14899690945936</v>
      </c>
      <c r="AQ23" s="69">
        <v>3995.0763618469241</v>
      </c>
      <c r="AR23" s="69">
        <v>408.56605949401865</v>
      </c>
      <c r="AS23" s="69">
        <v>619.13435039520255</v>
      </c>
    </row>
    <row r="24" spans="1:45" x14ac:dyDescent="0.25">
      <c r="A24" s="11">
        <v>43968</v>
      </c>
      <c r="B24" s="59"/>
      <c r="C24" s="60">
        <v>67.173278172810882</v>
      </c>
      <c r="D24" s="60">
        <v>957.98378397623492</v>
      </c>
      <c r="E24" s="60">
        <v>16.056683623790725</v>
      </c>
      <c r="F24" s="60">
        <v>0</v>
      </c>
      <c r="G24" s="60">
        <v>1875.378426106771</v>
      </c>
      <c r="H24" s="61">
        <v>25.076254003246607</v>
      </c>
      <c r="I24" s="59">
        <v>296.29458219210312</v>
      </c>
      <c r="J24" s="60">
        <v>918.24954859415629</v>
      </c>
      <c r="K24" s="60">
        <v>50.604734913508189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568.1480735066632</v>
      </c>
      <c r="V24" s="62">
        <v>137.45434251065691</v>
      </c>
      <c r="W24" s="62">
        <v>90.303557967480955</v>
      </c>
      <c r="X24" s="62">
        <v>21.847502025627328</v>
      </c>
      <c r="Y24" s="66">
        <v>319.0176766480821</v>
      </c>
      <c r="Z24" s="66">
        <v>77.181226229090072</v>
      </c>
      <c r="AA24" s="67">
        <v>0</v>
      </c>
      <c r="AB24" s="68">
        <v>115.54948230849139</v>
      </c>
      <c r="AC24" s="69">
        <v>0</v>
      </c>
      <c r="AD24" s="406">
        <v>24.747021079239246</v>
      </c>
      <c r="AE24" s="406">
        <v>6.2440507800231684</v>
      </c>
      <c r="AF24" s="69">
        <v>29.604925662279161</v>
      </c>
      <c r="AG24" s="68">
        <v>23.520604887151091</v>
      </c>
      <c r="AH24" s="68">
        <v>5.6904342916484101</v>
      </c>
      <c r="AI24" s="68">
        <v>0.8051957598352627</v>
      </c>
      <c r="AJ24" s="69">
        <v>223.98547638257344</v>
      </c>
      <c r="AK24" s="69">
        <v>1000.5608991940817</v>
      </c>
      <c r="AL24" s="69">
        <v>2887.983567682902</v>
      </c>
      <c r="AM24" s="69">
        <v>730.90589904785156</v>
      </c>
      <c r="AN24" s="69">
        <v>3586.554931640625</v>
      </c>
      <c r="AO24" s="69">
        <v>2210.0375438690185</v>
      </c>
      <c r="AP24" s="69">
        <v>522.2878308137258</v>
      </c>
      <c r="AQ24" s="69">
        <v>3859.7749087015791</v>
      </c>
      <c r="AR24" s="69">
        <v>418.52435827255243</v>
      </c>
      <c r="AS24" s="69">
        <v>659.54763806660969</v>
      </c>
    </row>
    <row r="25" spans="1:45" x14ac:dyDescent="0.25">
      <c r="A25" s="11">
        <v>43969</v>
      </c>
      <c r="B25" s="59"/>
      <c r="C25" s="60">
        <v>67.029485102494732</v>
      </c>
      <c r="D25" s="60">
        <v>947.51596717834377</v>
      </c>
      <c r="E25" s="60">
        <v>16.099501428008047</v>
      </c>
      <c r="F25" s="60">
        <v>0</v>
      </c>
      <c r="G25" s="60">
        <v>1785.1316005706785</v>
      </c>
      <c r="H25" s="61">
        <v>25.03910287121931</v>
      </c>
      <c r="I25" s="59">
        <v>294.81454554398857</v>
      </c>
      <c r="J25" s="60">
        <v>915.27680142720521</v>
      </c>
      <c r="K25" s="60">
        <v>50.378637099266165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568.45549380829084</v>
      </c>
      <c r="V25" s="62">
        <v>148.09712345549914</v>
      </c>
      <c r="W25" s="62">
        <v>90.155356149919285</v>
      </c>
      <c r="X25" s="62">
        <v>23.487764750870554</v>
      </c>
      <c r="Y25" s="66">
        <v>323.23288486786942</v>
      </c>
      <c r="Z25" s="66">
        <v>84.210392856714819</v>
      </c>
      <c r="AA25" s="67">
        <v>0</v>
      </c>
      <c r="AB25" s="68">
        <v>115.55858400132976</v>
      </c>
      <c r="AC25" s="69">
        <v>0</v>
      </c>
      <c r="AD25" s="406">
        <v>24.667235481932806</v>
      </c>
      <c r="AE25" s="406">
        <v>6.2442425044210541</v>
      </c>
      <c r="AF25" s="69">
        <v>30.079341414239682</v>
      </c>
      <c r="AG25" s="68">
        <v>23.621744002472006</v>
      </c>
      <c r="AH25" s="68">
        <v>6.1540654912697237</v>
      </c>
      <c r="AI25" s="68">
        <v>0.79331996019912798</v>
      </c>
      <c r="AJ25" s="69">
        <v>255.41469647089642</v>
      </c>
      <c r="AK25" s="69">
        <v>906.78654050827015</v>
      </c>
      <c r="AL25" s="69">
        <v>2978.9359254201254</v>
      </c>
      <c r="AM25" s="69">
        <v>730.90589904785156</v>
      </c>
      <c r="AN25" s="69">
        <v>3586.554931640625</v>
      </c>
      <c r="AO25" s="69">
        <v>2555.1170781453443</v>
      </c>
      <c r="AP25" s="69">
        <v>491.54029760360714</v>
      </c>
      <c r="AQ25" s="69">
        <v>3627.7703453063959</v>
      </c>
      <c r="AR25" s="69">
        <v>410.09004364013668</v>
      </c>
      <c r="AS25" s="69">
        <v>747.94083003997821</v>
      </c>
    </row>
    <row r="26" spans="1:45" x14ac:dyDescent="0.25">
      <c r="A26" s="11">
        <v>43970</v>
      </c>
      <c r="B26" s="59"/>
      <c r="C26" s="60">
        <v>66.747329123815092</v>
      </c>
      <c r="D26" s="60">
        <v>948.62687594095758</v>
      </c>
      <c r="E26" s="60">
        <v>15.824637987216308</v>
      </c>
      <c r="F26" s="60">
        <v>0</v>
      </c>
      <c r="G26" s="60">
        <v>1788.0742310841867</v>
      </c>
      <c r="H26" s="61">
        <v>25.127370713154487</v>
      </c>
      <c r="I26" s="59">
        <v>181.44234195550291</v>
      </c>
      <c r="J26" s="60">
        <v>720.52276369730453</v>
      </c>
      <c r="K26" s="60">
        <v>39.509112115701086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479.58190523301084</v>
      </c>
      <c r="V26" s="62">
        <v>159.85610032033674</v>
      </c>
      <c r="W26" s="62">
        <v>69.397155680910558</v>
      </c>
      <c r="X26" s="62">
        <v>23.131729031944438</v>
      </c>
      <c r="Y26" s="62">
        <v>252.12724076465275</v>
      </c>
      <c r="Z26" s="62">
        <v>84.040029561961447</v>
      </c>
      <c r="AA26" s="72">
        <v>0</v>
      </c>
      <c r="AB26" s="69">
        <v>97.997031021118474</v>
      </c>
      <c r="AC26" s="69">
        <v>0</v>
      </c>
      <c r="AD26" s="406">
        <v>19.416412830265628</v>
      </c>
      <c r="AE26" s="406">
        <v>6.2508048089731991</v>
      </c>
      <c r="AF26" s="69">
        <v>24.846460774872057</v>
      </c>
      <c r="AG26" s="69">
        <v>18.436256161906492</v>
      </c>
      <c r="AH26" s="69">
        <v>6.1452443939002279</v>
      </c>
      <c r="AI26" s="69">
        <v>0.75000531883930988</v>
      </c>
      <c r="AJ26" s="69">
        <v>242.62003242174785</v>
      </c>
      <c r="AK26" s="69">
        <v>796.44420474370315</v>
      </c>
      <c r="AL26" s="69">
        <v>2930.9993382771809</v>
      </c>
      <c r="AM26" s="69">
        <v>730.90589904785156</v>
      </c>
      <c r="AN26" s="69">
        <v>3586.554931640625</v>
      </c>
      <c r="AO26" s="69">
        <v>2693.1024822235104</v>
      </c>
      <c r="AP26" s="69">
        <v>449.10480024019876</v>
      </c>
      <c r="AQ26" s="69">
        <v>3108.3097293853752</v>
      </c>
      <c r="AR26" s="69">
        <v>421.59213827451066</v>
      </c>
      <c r="AS26" s="69">
        <v>888.44720970789615</v>
      </c>
    </row>
    <row r="27" spans="1:45" x14ac:dyDescent="0.25">
      <c r="A27" s="11">
        <v>43971</v>
      </c>
      <c r="B27" s="59"/>
      <c r="C27" s="60">
        <v>66.673888401190936</v>
      </c>
      <c r="D27" s="60">
        <v>932.10112578073881</v>
      </c>
      <c r="E27" s="60">
        <v>15.48703456868728</v>
      </c>
      <c r="F27" s="60">
        <v>0</v>
      </c>
      <c r="G27" s="60">
        <v>1769.2780081431038</v>
      </c>
      <c r="H27" s="61">
        <v>25.206952112913118</v>
      </c>
      <c r="I27" s="59">
        <v>161.95335018634779</v>
      </c>
      <c r="J27" s="60">
        <v>603.52028745015309</v>
      </c>
      <c r="K27" s="60">
        <v>33.034694621960384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415.31672513644901</v>
      </c>
      <c r="V27" s="62">
        <v>162.45891691948452</v>
      </c>
      <c r="W27" s="62">
        <v>62.924380215250586</v>
      </c>
      <c r="X27" s="62">
        <v>24.614050046361335</v>
      </c>
      <c r="Y27" s="66">
        <v>217.73248714932438</v>
      </c>
      <c r="Z27" s="66">
        <v>85.170141002251825</v>
      </c>
      <c r="AA27" s="67">
        <v>0</v>
      </c>
      <c r="AB27" s="68">
        <v>87.119469298255837</v>
      </c>
      <c r="AC27" s="69">
        <v>0</v>
      </c>
      <c r="AD27" s="406">
        <v>16.264931524766055</v>
      </c>
      <c r="AE27" s="406">
        <v>6.2457258313498727</v>
      </c>
      <c r="AF27" s="69">
        <v>22.463547317187004</v>
      </c>
      <c r="AG27" s="68">
        <v>15.983977965858575</v>
      </c>
      <c r="AH27" s="68">
        <v>6.252432399742994</v>
      </c>
      <c r="AI27" s="68">
        <v>0.7188200659664411</v>
      </c>
      <c r="AJ27" s="69">
        <v>246.96296194394429</v>
      </c>
      <c r="AK27" s="69">
        <v>798.73185612360635</v>
      </c>
      <c r="AL27" s="69">
        <v>2826.1940452575682</v>
      </c>
      <c r="AM27" s="69">
        <v>730.90589904785156</v>
      </c>
      <c r="AN27" s="69">
        <v>3586.554931640625</v>
      </c>
      <c r="AO27" s="69">
        <v>2632.3424283345539</v>
      </c>
      <c r="AP27" s="69">
        <v>445.9502457300822</v>
      </c>
      <c r="AQ27" s="69">
        <v>2811.107676951091</v>
      </c>
      <c r="AR27" s="69">
        <v>426.04717710812895</v>
      </c>
      <c r="AS27" s="69">
        <v>827.66580959955843</v>
      </c>
    </row>
    <row r="28" spans="1:45" x14ac:dyDescent="0.25">
      <c r="A28" s="11">
        <v>43972</v>
      </c>
      <c r="B28" s="59"/>
      <c r="C28" s="60">
        <v>65.889694666862567</v>
      </c>
      <c r="D28" s="60">
        <v>929.68605079651081</v>
      </c>
      <c r="E28" s="60">
        <v>15.48326050440471</v>
      </c>
      <c r="F28" s="60">
        <v>0</v>
      </c>
      <c r="G28" s="60">
        <v>1815.2226422627766</v>
      </c>
      <c r="H28" s="61">
        <v>25.124551966786377</v>
      </c>
      <c r="I28" s="59">
        <v>197.24690834283811</v>
      </c>
      <c r="J28" s="60">
        <v>787.74033530553072</v>
      </c>
      <c r="K28" s="60">
        <v>43.011444183190719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459.05952756434215</v>
      </c>
      <c r="V28" s="62">
        <v>150.23218104280159</v>
      </c>
      <c r="W28" s="62">
        <v>74.279213900303489</v>
      </c>
      <c r="X28" s="62">
        <v>24.308673800095143</v>
      </c>
      <c r="Y28" s="66">
        <v>250.40207951555939</v>
      </c>
      <c r="Z28" s="66">
        <v>81.946780938998998</v>
      </c>
      <c r="AA28" s="67">
        <v>0</v>
      </c>
      <c r="AB28" s="68">
        <v>103.48407354354693</v>
      </c>
      <c r="AC28" s="69">
        <v>0</v>
      </c>
      <c r="AD28" s="406">
        <v>21.237009395228306</v>
      </c>
      <c r="AE28" s="406">
        <v>6.2337069843128523</v>
      </c>
      <c r="AF28" s="69">
        <v>25.241814037826344</v>
      </c>
      <c r="AG28" s="68">
        <v>18.805764251868279</v>
      </c>
      <c r="AH28" s="68">
        <v>6.1543891589069251</v>
      </c>
      <c r="AI28" s="68">
        <v>0.75343143699388893</v>
      </c>
      <c r="AJ28" s="69">
        <v>253.17257224718733</v>
      </c>
      <c r="AK28" s="69">
        <v>789.06160589853914</v>
      </c>
      <c r="AL28" s="69">
        <v>2871.0980238596603</v>
      </c>
      <c r="AM28" s="69">
        <v>730.90589904785156</v>
      </c>
      <c r="AN28" s="69">
        <v>3586.554931640625</v>
      </c>
      <c r="AO28" s="69">
        <v>2588.943982950846</v>
      </c>
      <c r="AP28" s="69">
        <v>450.32856829961139</v>
      </c>
      <c r="AQ28" s="69">
        <v>3131.1791826883946</v>
      </c>
      <c r="AR28" s="69">
        <v>412.05214258829756</v>
      </c>
      <c r="AS28" s="69">
        <v>718.4784605979919</v>
      </c>
    </row>
    <row r="29" spans="1:45" x14ac:dyDescent="0.25">
      <c r="A29" s="11">
        <v>43973</v>
      </c>
      <c r="B29" s="59"/>
      <c r="C29" s="60">
        <v>65.585458151499523</v>
      </c>
      <c r="D29" s="60">
        <v>929.9707190831482</v>
      </c>
      <c r="E29" s="60">
        <v>15.453232635060951</v>
      </c>
      <c r="F29" s="60">
        <v>0</v>
      </c>
      <c r="G29" s="60">
        <v>1812.737149683632</v>
      </c>
      <c r="H29" s="61">
        <v>25.141370675961166</v>
      </c>
      <c r="I29" s="59">
        <v>294.12820502916952</v>
      </c>
      <c r="J29" s="60">
        <v>910.77458591461129</v>
      </c>
      <c r="K29" s="60">
        <v>50.184677728017142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546.02886614406032</v>
      </c>
      <c r="V29" s="62">
        <v>142.26889907913278</v>
      </c>
      <c r="W29" s="62">
        <v>92.66133495264863</v>
      </c>
      <c r="X29" s="62">
        <v>24.143093759878305</v>
      </c>
      <c r="Y29" s="66">
        <v>328.49445652591265</v>
      </c>
      <c r="Z29" s="66">
        <v>85.589879182705218</v>
      </c>
      <c r="AA29" s="67">
        <v>0</v>
      </c>
      <c r="AB29" s="68">
        <v>115.62144927448425</v>
      </c>
      <c r="AC29" s="69">
        <v>0</v>
      </c>
      <c r="AD29" s="406">
        <v>24.579952929926179</v>
      </c>
      <c r="AE29" s="406">
        <v>6.2358758321259469</v>
      </c>
      <c r="AF29" s="69">
        <v>30.443100537194113</v>
      </c>
      <c r="AG29" s="68">
        <v>23.911030707420487</v>
      </c>
      <c r="AH29" s="68">
        <v>6.2300662575127381</v>
      </c>
      <c r="AI29" s="68">
        <v>0.79330326747029389</v>
      </c>
      <c r="AJ29" s="69">
        <v>243.24352083206176</v>
      </c>
      <c r="AK29" s="69">
        <v>788.43155876795458</v>
      </c>
      <c r="AL29" s="69">
        <v>2919.2751424153648</v>
      </c>
      <c r="AM29" s="69">
        <v>730.90589904785156</v>
      </c>
      <c r="AN29" s="69">
        <v>3586.554931640625</v>
      </c>
      <c r="AO29" s="69">
        <v>2588.7077349344891</v>
      </c>
      <c r="AP29" s="69">
        <v>446.51481927235909</v>
      </c>
      <c r="AQ29" s="69">
        <v>3579.4836425781245</v>
      </c>
      <c r="AR29" s="69">
        <v>401.3957530498505</v>
      </c>
      <c r="AS29" s="69">
        <v>761.38599538803112</v>
      </c>
    </row>
    <row r="30" spans="1:45" x14ac:dyDescent="0.25">
      <c r="A30" s="11">
        <v>43974</v>
      </c>
      <c r="B30" s="59"/>
      <c r="C30" s="60">
        <v>66.15009185075742</v>
      </c>
      <c r="D30" s="60">
        <v>929.41354573567685</v>
      </c>
      <c r="E30" s="60">
        <v>15.456273561716097</v>
      </c>
      <c r="F30" s="60">
        <v>0</v>
      </c>
      <c r="G30" s="60">
        <v>1892.7633722941077</v>
      </c>
      <c r="H30" s="61">
        <v>25.105129263798368</v>
      </c>
      <c r="I30" s="59">
        <v>293.44845784505173</v>
      </c>
      <c r="J30" s="60">
        <v>909.70706539153923</v>
      </c>
      <c r="K30" s="60">
        <v>49.861984848975972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543.12516349562065</v>
      </c>
      <c r="V30" s="62">
        <v>141.50381120700922</v>
      </c>
      <c r="W30" s="62">
        <v>93.525297561495933</v>
      </c>
      <c r="X30" s="62">
        <v>24.366733376970465</v>
      </c>
      <c r="Y30" s="66">
        <v>326.15775336689751</v>
      </c>
      <c r="Z30" s="66">
        <v>84.975928677449104</v>
      </c>
      <c r="AA30" s="67">
        <v>0</v>
      </c>
      <c r="AB30" s="68">
        <v>115.5521192550633</v>
      </c>
      <c r="AC30" s="69">
        <v>0</v>
      </c>
      <c r="AD30" s="406">
        <v>24.513954525894363</v>
      </c>
      <c r="AE30" s="406">
        <v>6.2319851062212095</v>
      </c>
      <c r="AF30" s="69">
        <v>30.27360480361514</v>
      </c>
      <c r="AG30" s="68">
        <v>23.777452455338135</v>
      </c>
      <c r="AH30" s="68">
        <v>6.1948890778118662</v>
      </c>
      <c r="AI30" s="68">
        <v>0.79331314268655995</v>
      </c>
      <c r="AJ30" s="69">
        <v>250.64191908836364</v>
      </c>
      <c r="AK30" s="69">
        <v>793.90532662073781</v>
      </c>
      <c r="AL30" s="69">
        <v>2888.1168403625484</v>
      </c>
      <c r="AM30" s="69">
        <v>730.90589904785156</v>
      </c>
      <c r="AN30" s="69">
        <v>3586.554931640625</v>
      </c>
      <c r="AO30" s="69">
        <v>2567.8183017730712</v>
      </c>
      <c r="AP30" s="69">
        <v>441.48514459927873</v>
      </c>
      <c r="AQ30" s="69">
        <v>3679.4641178131105</v>
      </c>
      <c r="AR30" s="69">
        <v>403.7520798842113</v>
      </c>
      <c r="AS30" s="69">
        <v>724.46086037953705</v>
      </c>
    </row>
    <row r="31" spans="1:45" x14ac:dyDescent="0.25">
      <c r="A31" s="11">
        <v>43975</v>
      </c>
      <c r="B31" s="59"/>
      <c r="C31" s="60">
        <v>66.141530466079374</v>
      </c>
      <c r="D31" s="60">
        <v>915.07681973775334</v>
      </c>
      <c r="E31" s="60">
        <v>15.396644090612723</v>
      </c>
      <c r="F31" s="60">
        <v>0</v>
      </c>
      <c r="G31" s="60">
        <v>1978.9592999776157</v>
      </c>
      <c r="H31" s="61">
        <v>25.015202728907308</v>
      </c>
      <c r="I31" s="59">
        <v>275.27230343818644</v>
      </c>
      <c r="J31" s="60">
        <v>829.55925973256171</v>
      </c>
      <c r="K31" s="60">
        <v>45.435170898834805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495.44160616009663</v>
      </c>
      <c r="V31" s="62">
        <v>142.10714391196245</v>
      </c>
      <c r="W31" s="62">
        <v>84.581196594621701</v>
      </c>
      <c r="X31" s="62">
        <v>24.260361114754446</v>
      </c>
      <c r="Y31" s="66">
        <v>300.22205917624984</v>
      </c>
      <c r="Z31" s="66">
        <v>86.112467823541508</v>
      </c>
      <c r="AA31" s="67">
        <v>0</v>
      </c>
      <c r="AB31" s="68">
        <v>108.11926333639195</v>
      </c>
      <c r="AC31" s="69">
        <v>0</v>
      </c>
      <c r="AD31" s="406">
        <v>22.350344711951841</v>
      </c>
      <c r="AE31" s="406">
        <v>6.2336467806955635</v>
      </c>
      <c r="AF31" s="69">
        <v>28.003256569968308</v>
      </c>
      <c r="AG31" s="68">
        <v>21.534451861318516</v>
      </c>
      <c r="AH31" s="68">
        <v>6.1767106590816816</v>
      </c>
      <c r="AI31" s="68">
        <v>0.7771038781020263</v>
      </c>
      <c r="AJ31" s="69">
        <v>217.91554399331412</v>
      </c>
      <c r="AK31" s="69">
        <v>728.14678468704221</v>
      </c>
      <c r="AL31" s="69">
        <v>2878.5349906921388</v>
      </c>
      <c r="AM31" s="69">
        <v>730.90589904785156</v>
      </c>
      <c r="AN31" s="69">
        <v>3586.554931640625</v>
      </c>
      <c r="AO31" s="69">
        <v>2559.9762293497724</v>
      </c>
      <c r="AP31" s="69">
        <v>431.91941188176463</v>
      </c>
      <c r="AQ31" s="69">
        <v>3587.0280391693118</v>
      </c>
      <c r="AR31" s="69">
        <v>397.11714599927274</v>
      </c>
      <c r="AS31" s="69">
        <v>510.51500962575267</v>
      </c>
    </row>
    <row r="32" spans="1:45" x14ac:dyDescent="0.25">
      <c r="A32" s="11">
        <v>43976</v>
      </c>
      <c r="B32" s="59"/>
      <c r="C32" s="60">
        <v>66.019536662101814</v>
      </c>
      <c r="D32" s="60">
        <v>913.48859837849909</v>
      </c>
      <c r="E32" s="60">
        <v>15.586663899322318</v>
      </c>
      <c r="F32" s="60">
        <v>0</v>
      </c>
      <c r="G32" s="60">
        <v>1927.3900468190484</v>
      </c>
      <c r="H32" s="61">
        <v>25.058222249150287</v>
      </c>
      <c r="I32" s="59">
        <v>173.43257222970345</v>
      </c>
      <c r="J32" s="60">
        <v>587.59847536087125</v>
      </c>
      <c r="K32" s="60">
        <v>32.053229888280285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368.08932446548312</v>
      </c>
      <c r="V32" s="62">
        <v>148.11069865582039</v>
      </c>
      <c r="W32" s="62">
        <v>60.648638503252968</v>
      </c>
      <c r="X32" s="62">
        <v>24.403620600204135</v>
      </c>
      <c r="Y32" s="66">
        <v>178.29759439896051</v>
      </c>
      <c r="Z32" s="66">
        <v>71.742861093377002</v>
      </c>
      <c r="AA32" s="67">
        <v>0</v>
      </c>
      <c r="AB32" s="68">
        <v>84.887249591615713</v>
      </c>
      <c r="AC32" s="69">
        <v>0</v>
      </c>
      <c r="AD32" s="406">
        <v>15.838826889940439</v>
      </c>
      <c r="AE32" s="406">
        <v>6.2352850402973425</v>
      </c>
      <c r="AF32" s="69">
        <v>21.54635565016001</v>
      </c>
      <c r="AG32" s="68">
        <v>15.204122952282285</v>
      </c>
      <c r="AH32" s="68">
        <v>6.1177902298079019</v>
      </c>
      <c r="AI32" s="68">
        <v>0.71307498639724898</v>
      </c>
      <c r="AJ32" s="69">
        <v>221.47841936747236</v>
      </c>
      <c r="AK32" s="69">
        <v>724.79128373463959</v>
      </c>
      <c r="AL32" s="69">
        <v>3027.2921689351397</v>
      </c>
      <c r="AM32" s="69">
        <v>730.90589904785156</v>
      </c>
      <c r="AN32" s="69">
        <v>3586.554931640625</v>
      </c>
      <c r="AO32" s="69">
        <v>2712.8594731648764</v>
      </c>
      <c r="AP32" s="69">
        <v>425.56311694780987</v>
      </c>
      <c r="AQ32" s="69">
        <v>2841.8205378214516</v>
      </c>
      <c r="AR32" s="69">
        <v>392.91915884017942</v>
      </c>
      <c r="AS32" s="69">
        <v>546.78021427790327</v>
      </c>
    </row>
    <row r="33" spans="1:45" x14ac:dyDescent="0.25">
      <c r="A33" s="11">
        <v>43977</v>
      </c>
      <c r="B33" s="59"/>
      <c r="C33" s="60">
        <v>65.396040149530322</v>
      </c>
      <c r="D33" s="60">
        <v>914.88355407714857</v>
      </c>
      <c r="E33" s="60">
        <v>15.984077043831304</v>
      </c>
      <c r="F33" s="60">
        <v>0</v>
      </c>
      <c r="G33" s="60">
        <v>2043.3924767812082</v>
      </c>
      <c r="H33" s="61">
        <v>25.035642022887874</v>
      </c>
      <c r="I33" s="59">
        <v>208.22590881983476</v>
      </c>
      <c r="J33" s="60">
        <v>684.90521663030177</v>
      </c>
      <c r="K33" s="60">
        <v>38.156705922384958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403.74442487966508</v>
      </c>
      <c r="V33" s="62">
        <v>136.20200490277924</v>
      </c>
      <c r="W33" s="62">
        <v>66.585244107895818</v>
      </c>
      <c r="X33" s="62">
        <v>22.462338017768001</v>
      </c>
      <c r="Y33" s="66">
        <v>221.7546088794239</v>
      </c>
      <c r="Z33" s="66">
        <v>74.808270937267395</v>
      </c>
      <c r="AA33" s="67">
        <v>0</v>
      </c>
      <c r="AB33" s="68">
        <v>94.240405315822102</v>
      </c>
      <c r="AC33" s="69">
        <v>0</v>
      </c>
      <c r="AD33" s="406">
        <v>18.456307936423876</v>
      </c>
      <c r="AE33" s="406">
        <v>6.2429598375626005</v>
      </c>
      <c r="AF33" s="69">
        <v>23.901876770787759</v>
      </c>
      <c r="AG33" s="68">
        <v>17.72148917412521</v>
      </c>
      <c r="AH33" s="68">
        <v>5.9782927184645303</v>
      </c>
      <c r="AI33" s="68">
        <v>0.74774904066379722</v>
      </c>
      <c r="AJ33" s="69">
        <v>221.2464863141378</v>
      </c>
      <c r="AK33" s="69">
        <v>749.58262198766056</v>
      </c>
      <c r="AL33" s="69">
        <v>2852.0746223449705</v>
      </c>
      <c r="AM33" s="69">
        <v>730.90589904785156</v>
      </c>
      <c r="AN33" s="69">
        <v>3586.554931640625</v>
      </c>
      <c r="AO33" s="69">
        <v>2610.6438063303626</v>
      </c>
      <c r="AP33" s="69">
        <v>417.03135428428646</v>
      </c>
      <c r="AQ33" s="69">
        <v>2982.9687834421788</v>
      </c>
      <c r="AR33" s="69">
        <v>426.62022765477496</v>
      </c>
      <c r="AS33" s="69">
        <v>730.11757904688523</v>
      </c>
    </row>
    <row r="34" spans="1:45" x14ac:dyDescent="0.25">
      <c r="A34" s="11">
        <v>43978</v>
      </c>
      <c r="B34" s="59"/>
      <c r="C34" s="60">
        <v>66.025994471709112</v>
      </c>
      <c r="D34" s="60">
        <v>915.95819104512668</v>
      </c>
      <c r="E34" s="60">
        <v>16.322615142663299</v>
      </c>
      <c r="F34" s="60">
        <v>0</v>
      </c>
      <c r="G34" s="60">
        <v>2273.7430675506639</v>
      </c>
      <c r="H34" s="61">
        <v>25.135574424266796</v>
      </c>
      <c r="I34" s="59">
        <v>159.71869820356343</v>
      </c>
      <c r="J34" s="60">
        <v>642.50443852742421</v>
      </c>
      <c r="K34" s="60">
        <v>35.117841218908616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409.85602592366894</v>
      </c>
      <c r="V34" s="62">
        <v>142.29408016729738</v>
      </c>
      <c r="W34" s="62">
        <v>67.909197696744229</v>
      </c>
      <c r="X34" s="62">
        <v>23.576759178739046</v>
      </c>
      <c r="Y34" s="66">
        <v>239.1024561431914</v>
      </c>
      <c r="Z34" s="66">
        <v>83.011745370735042</v>
      </c>
      <c r="AA34" s="67">
        <v>0</v>
      </c>
      <c r="AB34" s="68">
        <v>94.243681467902661</v>
      </c>
      <c r="AC34" s="69">
        <v>0</v>
      </c>
      <c r="AD34" s="406">
        <v>18.445251447570204</v>
      </c>
      <c r="AE34" s="406">
        <v>6.2507033787426458</v>
      </c>
      <c r="AF34" s="69">
        <v>24.485234040684173</v>
      </c>
      <c r="AG34" s="68">
        <v>18.001359468085031</v>
      </c>
      <c r="AH34" s="68">
        <v>6.249723623068256</v>
      </c>
      <c r="AI34" s="68">
        <v>0.74229094842579901</v>
      </c>
      <c r="AJ34" s="69">
        <v>238.74621888796489</v>
      </c>
      <c r="AK34" s="69">
        <v>782.04042491912844</v>
      </c>
      <c r="AL34" s="69">
        <v>2926.6592277526856</v>
      </c>
      <c r="AM34" s="69">
        <v>730.90589904785156</v>
      </c>
      <c r="AN34" s="69">
        <v>3586.554931640625</v>
      </c>
      <c r="AO34" s="69">
        <v>2499.3109737396239</v>
      </c>
      <c r="AP34" s="69">
        <v>448.34079610506694</v>
      </c>
      <c r="AQ34" s="69">
        <v>2948.1992331186939</v>
      </c>
      <c r="AR34" s="69">
        <v>448.60164041519153</v>
      </c>
      <c r="AS34" s="69">
        <v>759.65995791753141</v>
      </c>
    </row>
    <row r="35" spans="1:45" x14ac:dyDescent="0.25">
      <c r="A35" s="11">
        <v>43979</v>
      </c>
      <c r="B35" s="59"/>
      <c r="C35" s="60">
        <v>66.473340833187493</v>
      </c>
      <c r="D35" s="60">
        <v>916.33619092305582</v>
      </c>
      <c r="E35" s="60">
        <v>16.294128305713308</v>
      </c>
      <c r="F35" s="60">
        <v>0</v>
      </c>
      <c r="G35" s="60">
        <v>2479.7105439504012</v>
      </c>
      <c r="H35" s="61">
        <v>25.082674364248927</v>
      </c>
      <c r="I35" s="59">
        <v>189.23482931454978</v>
      </c>
      <c r="J35" s="60">
        <v>618.77173102696634</v>
      </c>
      <c r="K35" s="60">
        <v>33.776380550861333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408.80867792212786</v>
      </c>
      <c r="V35" s="62">
        <v>141.93102731197436</v>
      </c>
      <c r="W35" s="62">
        <v>67.279272834123503</v>
      </c>
      <c r="X35" s="62">
        <v>23.358154623050122</v>
      </c>
      <c r="Y35" s="66">
        <v>241.00248252450243</v>
      </c>
      <c r="Z35" s="66">
        <v>83.671731488915398</v>
      </c>
      <c r="AA35" s="67">
        <v>0</v>
      </c>
      <c r="AB35" s="68">
        <v>94.240992206996594</v>
      </c>
      <c r="AC35" s="69">
        <v>0</v>
      </c>
      <c r="AD35" s="406">
        <v>18.433684311773746</v>
      </c>
      <c r="AE35" s="406">
        <v>6.2537227959498543</v>
      </c>
      <c r="AF35" s="69">
        <v>24.370766445000939</v>
      </c>
      <c r="AG35" s="68">
        <v>17.91062114783346</v>
      </c>
      <c r="AH35" s="68">
        <v>6.2182458362388422</v>
      </c>
      <c r="AI35" s="68">
        <v>0.74229018543044045</v>
      </c>
      <c r="AJ35" s="69">
        <v>246.19156333605449</v>
      </c>
      <c r="AK35" s="69">
        <v>791.05538679758695</v>
      </c>
      <c r="AL35" s="69">
        <v>2871.4021837870278</v>
      </c>
      <c r="AM35" s="69">
        <v>730.90589904785156</v>
      </c>
      <c r="AN35" s="69">
        <v>3586.554931640625</v>
      </c>
      <c r="AO35" s="69">
        <v>2515.9837795257572</v>
      </c>
      <c r="AP35" s="69">
        <v>433.7083616574605</v>
      </c>
      <c r="AQ35" s="69">
        <v>2944.3256095886231</v>
      </c>
      <c r="AR35" s="69">
        <v>449.01815388997397</v>
      </c>
      <c r="AS35" s="69">
        <v>749.49688326517742</v>
      </c>
    </row>
    <row r="36" spans="1:45" s="413" customFormat="1" x14ac:dyDescent="0.25">
      <c r="A36" s="11">
        <v>43980</v>
      </c>
      <c r="B36" s="408"/>
      <c r="C36" s="409">
        <v>65.932787172000076</v>
      </c>
      <c r="D36" s="409">
        <v>917.25173492431645</v>
      </c>
      <c r="E36" s="409">
        <v>15.783097350100668</v>
      </c>
      <c r="F36" s="409">
        <v>0</v>
      </c>
      <c r="G36" s="409">
        <v>2757.0534934997563</v>
      </c>
      <c r="H36" s="410">
        <v>25.055564240614586</v>
      </c>
      <c r="I36" s="408">
        <v>209.59619239966054</v>
      </c>
      <c r="J36" s="409">
        <v>653.92454541524341</v>
      </c>
      <c r="K36" s="409">
        <v>35.829908839861517</v>
      </c>
      <c r="L36" s="50">
        <v>0</v>
      </c>
      <c r="M36" s="409">
        <v>0</v>
      </c>
      <c r="N36" s="410">
        <v>0</v>
      </c>
      <c r="O36" s="408">
        <v>0</v>
      </c>
      <c r="P36" s="409">
        <v>0</v>
      </c>
      <c r="Q36" s="409">
        <v>0</v>
      </c>
      <c r="R36" s="409">
        <v>0</v>
      </c>
      <c r="S36" s="409">
        <v>0</v>
      </c>
      <c r="T36" s="410">
        <v>0</v>
      </c>
      <c r="U36" s="408">
        <v>425.2205809790276</v>
      </c>
      <c r="V36" s="409">
        <v>141.60048064274392</v>
      </c>
      <c r="W36" s="409">
        <v>69.832182429189942</v>
      </c>
      <c r="X36" s="409">
        <v>23.254449663603591</v>
      </c>
      <c r="Y36" s="409">
        <v>257.95496316798324</v>
      </c>
      <c r="Z36" s="409">
        <v>85.90023249737591</v>
      </c>
      <c r="AA36" s="410">
        <v>0</v>
      </c>
      <c r="AB36" s="411">
        <v>97.619302325776999</v>
      </c>
      <c r="AC36" s="56">
        <v>0</v>
      </c>
      <c r="AD36" s="412">
        <v>19.477872468324847</v>
      </c>
      <c r="AE36" s="411">
        <v>6.2601164081848459</v>
      </c>
      <c r="AF36" s="56">
        <v>25.039378502633838</v>
      </c>
      <c r="AG36" s="56">
        <v>18.555356421584388</v>
      </c>
      <c r="AH36" s="56">
        <v>6.1790221483267365</v>
      </c>
      <c r="AI36" s="56">
        <v>0.75018486391878092</v>
      </c>
      <c r="AJ36" s="56">
        <v>226.8435003121694</v>
      </c>
      <c r="AK36" s="56">
        <v>777.4575095812479</v>
      </c>
      <c r="AL36" s="56">
        <v>2984.2755905151366</v>
      </c>
      <c r="AM36" s="56">
        <v>730.90589904785156</v>
      </c>
      <c r="AN36" s="56">
        <v>3586.554931640625</v>
      </c>
      <c r="AO36" s="56">
        <v>2565.5197956085208</v>
      </c>
      <c r="AP36" s="56">
        <v>441.22835612297058</v>
      </c>
      <c r="AQ36" s="56">
        <v>3081.1290227254231</v>
      </c>
      <c r="AR36" s="56">
        <v>462.61063906351728</v>
      </c>
      <c r="AS36" s="56">
        <v>836.43345746993998</v>
      </c>
    </row>
    <row r="37" spans="1:45" x14ac:dyDescent="0.25">
      <c r="A37" s="11">
        <v>43981</v>
      </c>
      <c r="B37" s="65"/>
      <c r="C37" s="66">
        <v>66.179306932290558</v>
      </c>
      <c r="D37" s="66">
        <v>918.47215366363571</v>
      </c>
      <c r="E37" s="66">
        <v>15.722096274793151</v>
      </c>
      <c r="F37" s="66">
        <v>0</v>
      </c>
      <c r="G37" s="66">
        <v>2932.4567432403587</v>
      </c>
      <c r="H37" s="67">
        <v>25.159884926676757</v>
      </c>
      <c r="I37" s="71">
        <v>254.81527131398474</v>
      </c>
      <c r="J37" s="66">
        <v>690.58431927363142</v>
      </c>
      <c r="K37" s="66">
        <v>37.842768709858277</v>
      </c>
      <c r="L37" s="50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87">
        <v>0</v>
      </c>
      <c r="S37" s="66">
        <v>0</v>
      </c>
      <c r="T37" s="67">
        <v>0</v>
      </c>
      <c r="U37" s="71">
        <v>464.05981690116721</v>
      </c>
      <c r="V37" s="66">
        <v>145.04782164864005</v>
      </c>
      <c r="W37" s="62">
        <v>77.221669824207737</v>
      </c>
      <c r="X37" s="62">
        <v>24.136618996376807</v>
      </c>
      <c r="Y37" s="66">
        <v>310.52559418284028</v>
      </c>
      <c r="Z37" s="66">
        <v>97.058739761480339</v>
      </c>
      <c r="AA37" s="67">
        <v>0</v>
      </c>
      <c r="AB37" s="68">
        <v>100.92841246922616</v>
      </c>
      <c r="AC37" s="388">
        <v>0</v>
      </c>
      <c r="AD37" s="406">
        <v>20.571123505994109</v>
      </c>
      <c r="AE37" s="406">
        <v>6.2685072079546069</v>
      </c>
      <c r="AF37" s="388">
        <v>26.642564021216533</v>
      </c>
      <c r="AG37" s="68">
        <v>19.99732408860924</v>
      </c>
      <c r="AH37" s="68">
        <v>6.2504190024976731</v>
      </c>
      <c r="AI37" s="68">
        <v>0.76186832594321607</v>
      </c>
      <c r="AJ37" s="388">
        <v>229.95123613675435</v>
      </c>
      <c r="AK37" s="388">
        <v>782.18055505752557</v>
      </c>
      <c r="AL37" s="388">
        <v>3155.1676654815669</v>
      </c>
      <c r="AM37" s="388">
        <v>707.05068257649737</v>
      </c>
      <c r="AN37" s="388">
        <v>3586.554931640625</v>
      </c>
      <c r="AO37" s="388">
        <v>2468.5289503733311</v>
      </c>
      <c r="AP37" s="388">
        <v>457.92215956052149</v>
      </c>
      <c r="AQ37" s="388">
        <v>3259.0526473999021</v>
      </c>
      <c r="AR37" s="388">
        <v>469.37978858947747</v>
      </c>
      <c r="AS37" s="388">
        <v>794.26786874135337</v>
      </c>
    </row>
    <row r="38" spans="1:45" ht="15.75" thickBot="1" x14ac:dyDescent="0.3">
      <c r="A38" s="11">
        <v>43982</v>
      </c>
      <c r="B38" s="379"/>
      <c r="C38" s="381">
        <v>66.232313688596406</v>
      </c>
      <c r="D38" s="381">
        <v>918.61507746378481</v>
      </c>
      <c r="E38" s="381">
        <v>15.747850752373513</v>
      </c>
      <c r="F38" s="381">
        <v>0</v>
      </c>
      <c r="G38" s="381">
        <v>2943.5826861063656</v>
      </c>
      <c r="H38" s="382">
        <v>25.145990393559138</v>
      </c>
      <c r="I38" s="383">
        <v>274.04426312446583</v>
      </c>
      <c r="J38" s="381">
        <v>690.80322669347277</v>
      </c>
      <c r="K38" s="381">
        <v>37.818137835462899</v>
      </c>
      <c r="L38" s="50">
        <v>0</v>
      </c>
      <c r="M38" s="381">
        <v>0</v>
      </c>
      <c r="N38" s="382">
        <v>0</v>
      </c>
      <c r="O38" s="383">
        <v>0</v>
      </c>
      <c r="P38" s="381">
        <v>0</v>
      </c>
      <c r="Q38" s="381">
        <v>0</v>
      </c>
      <c r="R38" s="384">
        <v>0</v>
      </c>
      <c r="S38" s="381">
        <v>0</v>
      </c>
      <c r="T38" s="385">
        <v>0</v>
      </c>
      <c r="U38" s="383">
        <v>459.61541851234875</v>
      </c>
      <c r="V38" s="381">
        <v>143.62268800332168</v>
      </c>
      <c r="W38" s="380">
        <v>75.980220982292394</v>
      </c>
      <c r="X38" s="380">
        <v>23.742640331527575</v>
      </c>
      <c r="Y38" s="381">
        <v>321.41259001962862</v>
      </c>
      <c r="Z38" s="381">
        <v>100.43644812035043</v>
      </c>
      <c r="AA38" s="382">
        <v>0</v>
      </c>
      <c r="AB38" s="386">
        <v>100.93404520882311</v>
      </c>
      <c r="AC38" s="85">
        <v>0</v>
      </c>
      <c r="AD38" s="406">
        <v>20.578060556788436</v>
      </c>
      <c r="AE38" s="406">
        <v>6.2695004242584744</v>
      </c>
      <c r="AF38" s="85">
        <v>26.361771461698705</v>
      </c>
      <c r="AG38" s="386">
        <v>19.789047576239192</v>
      </c>
      <c r="AH38" s="386">
        <v>6.1837703685493919</v>
      </c>
      <c r="AI38" s="386">
        <v>0.76191376762835394</v>
      </c>
      <c r="AJ38" s="85">
        <v>230.07671038309732</v>
      </c>
      <c r="AK38" s="85">
        <v>787.39623177846272</v>
      </c>
      <c r="AL38" s="85">
        <v>2918.0055586496992</v>
      </c>
      <c r="AM38" s="85">
        <v>462.53471374511719</v>
      </c>
      <c r="AN38" s="85">
        <v>3586.554931640625</v>
      </c>
      <c r="AO38" s="85">
        <v>2469.8602255503333</v>
      </c>
      <c r="AP38" s="85">
        <v>465.75919872919718</v>
      </c>
      <c r="AQ38" s="85">
        <v>3249.7491186777752</v>
      </c>
      <c r="AR38" s="85">
        <v>471.45228347778328</v>
      </c>
      <c r="AS38" s="85">
        <v>816.7755992889405</v>
      </c>
    </row>
    <row r="39" spans="1:45" ht="15.75" thickTop="1" x14ac:dyDescent="0.25">
      <c r="A39" s="46" t="s">
        <v>171</v>
      </c>
      <c r="B39" s="29">
        <f t="shared" ref="B39" si="0">SUM(B8:B36)</f>
        <v>0</v>
      </c>
      <c r="C39" s="30">
        <f t="shared" ref="C39:AC39" si="1">SUM(C8:C38)</f>
        <v>2040.2162906686499</v>
      </c>
      <c r="D39" s="30">
        <f t="shared" si="1"/>
        <v>29629.6665924708</v>
      </c>
      <c r="E39" s="30">
        <f t="shared" si="1"/>
        <v>487.20569843600185</v>
      </c>
      <c r="F39" s="30">
        <f t="shared" si="1"/>
        <v>0</v>
      </c>
      <c r="G39" s="30">
        <f t="shared" si="1"/>
        <v>71221.309662803047</v>
      </c>
      <c r="H39" s="31">
        <f t="shared" si="1"/>
        <v>775.14969392220178</v>
      </c>
      <c r="I39" s="29">
        <f t="shared" si="1"/>
        <v>6716.3707101901327</v>
      </c>
      <c r="J39" s="30">
        <f t="shared" si="1"/>
        <v>23616.670030180609</v>
      </c>
      <c r="K39" s="30">
        <f t="shared" si="1"/>
        <v>1296.4062791362423</v>
      </c>
      <c r="L39" s="30">
        <f t="shared" si="1"/>
        <v>0</v>
      </c>
      <c r="M39" s="30">
        <f t="shared" si="1"/>
        <v>0</v>
      </c>
      <c r="N39" s="31">
        <f t="shared" si="1"/>
        <v>0</v>
      </c>
      <c r="O39" s="259">
        <f t="shared" si="1"/>
        <v>0</v>
      </c>
      <c r="P39" s="260">
        <f t="shared" si="1"/>
        <v>0</v>
      </c>
      <c r="Q39" s="260">
        <f t="shared" si="1"/>
        <v>0</v>
      </c>
      <c r="R39" s="260">
        <f t="shared" si="1"/>
        <v>0</v>
      </c>
      <c r="S39" s="260">
        <f t="shared" si="1"/>
        <v>0</v>
      </c>
      <c r="T39" s="261">
        <f t="shared" si="1"/>
        <v>0</v>
      </c>
      <c r="U39" s="259">
        <f t="shared" si="1"/>
        <v>14559.619763535135</v>
      </c>
      <c r="V39" s="260">
        <f t="shared" si="1"/>
        <v>4487.8597071205277</v>
      </c>
      <c r="W39" s="260">
        <f t="shared" si="1"/>
        <v>2392.7943117557907</v>
      </c>
      <c r="X39" s="260">
        <f t="shared" si="1"/>
        <v>737.29862928996965</v>
      </c>
      <c r="Y39" s="260">
        <f t="shared" si="1"/>
        <v>7869.4619628322407</v>
      </c>
      <c r="Z39" s="260">
        <f t="shared" si="1"/>
        <v>2416.1053843287341</v>
      </c>
      <c r="AA39" s="268">
        <f t="shared" si="1"/>
        <v>0</v>
      </c>
      <c r="AB39" s="271">
        <f t="shared" si="1"/>
        <v>3167.4006645308409</v>
      </c>
      <c r="AC39" s="271">
        <f t="shared" si="1"/>
        <v>0</v>
      </c>
      <c r="AD39" s="274" t="s">
        <v>29</v>
      </c>
      <c r="AE39" s="274" t="s">
        <v>29</v>
      </c>
      <c r="AF39" s="274" t="s">
        <v>29</v>
      </c>
      <c r="AG39" s="274" t="s">
        <v>29</v>
      </c>
      <c r="AH39" s="274" t="s">
        <v>29</v>
      </c>
      <c r="AI39" s="274" t="s">
        <v>159</v>
      </c>
      <c r="AJ39" s="271">
        <f t="shared" ref="AJ39:AS39" si="2">SUM(AJ8:AJ38)</f>
        <v>7326.8581029176712</v>
      </c>
      <c r="AK39" s="271">
        <f t="shared" si="2"/>
        <v>27659.641948731743</v>
      </c>
      <c r="AL39" s="271">
        <f t="shared" si="2"/>
        <v>90826.608873748759</v>
      </c>
      <c r="AM39" s="271">
        <f t="shared" si="2"/>
        <v>24928.872694969177</v>
      </c>
      <c r="AN39" s="271">
        <f t="shared" si="2"/>
        <v>126934.97681070963</v>
      </c>
      <c r="AO39" s="271">
        <f t="shared" si="2"/>
        <v>74259.115573755917</v>
      </c>
      <c r="AP39" s="271">
        <f t="shared" si="2"/>
        <v>14739.00398797989</v>
      </c>
      <c r="AQ39" s="271">
        <f t="shared" si="2"/>
        <v>102402.26440680822</v>
      </c>
      <c r="AR39" s="271">
        <f t="shared" si="2"/>
        <v>12852.079456774396</v>
      </c>
      <c r="AS39" s="271">
        <f t="shared" si="2"/>
        <v>21387.344403457639</v>
      </c>
    </row>
    <row r="40" spans="1:45" ht="15.75" thickBot="1" x14ac:dyDescent="0.3">
      <c r="A40" s="47" t="s">
        <v>172</v>
      </c>
      <c r="B40" s="32">
        <f>Projection!$AB$30</f>
        <v>0.66681052199999991</v>
      </c>
      <c r="C40" s="33">
        <f>Projection!$AB$28</f>
        <v>1.4286753599999999</v>
      </c>
      <c r="D40" s="33">
        <f>Projection!$AB$31</f>
        <v>1.7916822000000003</v>
      </c>
      <c r="E40" s="33">
        <f>Projection!$AB$26</f>
        <v>4.4235360000000004</v>
      </c>
      <c r="F40" s="33">
        <f>Projection!$AB$23</f>
        <v>0</v>
      </c>
      <c r="G40" s="33">
        <f>Projection!$AB$24</f>
        <v>5.9975000000000001E-2</v>
      </c>
      <c r="H40" s="34">
        <f>Projection!$AB$29</f>
        <v>3.7390305000000001</v>
      </c>
      <c r="I40" s="32">
        <f>Projection!$AB$30</f>
        <v>0.66681052199999991</v>
      </c>
      <c r="J40" s="33">
        <f>Projection!$AB$28</f>
        <v>1.4286753599999999</v>
      </c>
      <c r="K40" s="33">
        <f>Projection!$AB$26</f>
        <v>4.4235360000000004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1.4286753599999999</v>
      </c>
      <c r="T40" s="38">
        <f>Projection!$AB$28</f>
        <v>1.4286753599999999</v>
      </c>
      <c r="U40" s="26">
        <f>Projection!$AB$27</f>
        <v>0.26450000000000001</v>
      </c>
      <c r="V40" s="27">
        <f>Projection!$AB$27</f>
        <v>0.26450000000000001</v>
      </c>
      <c r="W40" s="27">
        <f>Projection!$AB$22</f>
        <v>0.85935360000000005</v>
      </c>
      <c r="X40" s="27">
        <f>Projection!$AB$22</f>
        <v>0.85935360000000005</v>
      </c>
      <c r="Y40" s="27">
        <f>Projection!$AB$31</f>
        <v>1.7916822000000003</v>
      </c>
      <c r="Z40" s="27">
        <f>Projection!$AB$31</f>
        <v>1.7916822000000003</v>
      </c>
      <c r="AA40" s="28">
        <v>0</v>
      </c>
      <c r="AB40" s="41">
        <f>Projection!$AB$27</f>
        <v>0.26450000000000001</v>
      </c>
      <c r="AC40" s="41">
        <f>Projection!$AB$30</f>
        <v>0.66681052199999991</v>
      </c>
      <c r="AD40" s="397">
        <f>SUM(AD8:AD38)</f>
        <v>645.20964333804545</v>
      </c>
      <c r="AE40" s="397">
        <f>SUM(AE8:AE38)</f>
        <v>193.34792428067362</v>
      </c>
      <c r="AF40" s="275">
        <f>SUM(AF9:AF38)</f>
        <v>798.26063589039825</v>
      </c>
      <c r="AG40" s="275">
        <f>SUM(AG8:AG38)</f>
        <v>620.06911510662246</v>
      </c>
      <c r="AH40" s="275">
        <f>SUM(AH8:AH38)</f>
        <v>191.01773746987831</v>
      </c>
      <c r="AI40" s="275">
        <f>IF(SUM(AG40:AH40)&gt;0, AG40/(AG40+AH40), 0)</f>
        <v>0.76449163629876282</v>
      </c>
      <c r="AJ40" s="310">
        <v>6.3E-2</v>
      </c>
      <c r="AK40" s="310">
        <f t="shared" ref="AK40:AS40" si="3">$AJ$40</f>
        <v>6.3E-2</v>
      </c>
      <c r="AL40" s="310">
        <f t="shared" si="3"/>
        <v>6.3E-2</v>
      </c>
      <c r="AM40" s="310">
        <f t="shared" si="3"/>
        <v>6.3E-2</v>
      </c>
      <c r="AN40" s="310">
        <f t="shared" si="3"/>
        <v>6.3E-2</v>
      </c>
      <c r="AO40" s="310">
        <f t="shared" si="3"/>
        <v>6.3E-2</v>
      </c>
      <c r="AP40" s="310">
        <f t="shared" si="3"/>
        <v>6.3E-2</v>
      </c>
      <c r="AQ40" s="310">
        <f t="shared" si="3"/>
        <v>6.3E-2</v>
      </c>
      <c r="AR40" s="310">
        <f t="shared" si="3"/>
        <v>6.3E-2</v>
      </c>
      <c r="AS40" s="310">
        <f t="shared" si="3"/>
        <v>6.3E-2</v>
      </c>
    </row>
    <row r="41" spans="1:45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2914.8067435488979</v>
      </c>
      <c r="D41" s="36">
        <f t="shared" si="4"/>
        <v>53086.946225664593</v>
      </c>
      <c r="E41" s="36">
        <f t="shared" si="4"/>
        <v>2155.171946436798</v>
      </c>
      <c r="F41" s="36">
        <f t="shared" si="4"/>
        <v>0</v>
      </c>
      <c r="G41" s="36">
        <f t="shared" si="4"/>
        <v>4271.4980470266128</v>
      </c>
      <c r="H41" s="37">
        <f t="shared" si="4"/>
        <v>2898.3083476407774</v>
      </c>
      <c r="I41" s="35">
        <f t="shared" si="4"/>
        <v>4478.5466592073926</v>
      </c>
      <c r="J41" s="36">
        <f t="shared" si="4"/>
        <v>33740.554557369491</v>
      </c>
      <c r="K41" s="36">
        <f t="shared" si="4"/>
        <v>5734.6998463852178</v>
      </c>
      <c r="L41" s="36">
        <f t="shared" si="4"/>
        <v>0</v>
      </c>
      <c r="M41" s="36">
        <f t="shared" si="4"/>
        <v>0</v>
      </c>
      <c r="N41" s="37">
        <f t="shared" si="4"/>
        <v>0</v>
      </c>
      <c r="O41" s="265">
        <f t="shared" si="4"/>
        <v>0</v>
      </c>
      <c r="P41" s="266">
        <f t="shared" si="4"/>
        <v>0</v>
      </c>
      <c r="Q41" s="266">
        <f t="shared" si="4"/>
        <v>0</v>
      </c>
      <c r="R41" s="266">
        <f t="shared" si="4"/>
        <v>0</v>
      </c>
      <c r="S41" s="266">
        <f t="shared" si="4"/>
        <v>0</v>
      </c>
      <c r="T41" s="267">
        <f t="shared" si="4"/>
        <v>0</v>
      </c>
      <c r="U41" s="265">
        <f t="shared" si="4"/>
        <v>3851.0194274550431</v>
      </c>
      <c r="V41" s="266">
        <f t="shared" si="4"/>
        <v>1187.0388925333796</v>
      </c>
      <c r="W41" s="266">
        <f t="shared" si="4"/>
        <v>2056.2564058668613</v>
      </c>
      <c r="X41" s="266">
        <f t="shared" si="4"/>
        <v>633.60023135540087</v>
      </c>
      <c r="Y41" s="266">
        <f t="shared" si="4"/>
        <v>14099.57492238359</v>
      </c>
      <c r="Z41" s="266">
        <f t="shared" si="4"/>
        <v>4328.8930104259525</v>
      </c>
      <c r="AA41" s="270">
        <f t="shared" si="4"/>
        <v>0</v>
      </c>
      <c r="AB41" s="273">
        <f t="shared" si="4"/>
        <v>837.7774757684075</v>
      </c>
      <c r="AC41" s="273">
        <f t="shared" si="4"/>
        <v>0</v>
      </c>
      <c r="AJ41" s="276">
        <f t="shared" ref="AJ41:AS41" si="5">AJ40*AJ39</f>
        <v>461.59206048381327</v>
      </c>
      <c r="AK41" s="276">
        <f t="shared" si="5"/>
        <v>1742.5574427700999</v>
      </c>
      <c r="AL41" s="276">
        <f t="shared" si="5"/>
        <v>5722.076359046172</v>
      </c>
      <c r="AM41" s="276">
        <f t="shared" si="5"/>
        <v>1570.5189797830583</v>
      </c>
      <c r="AN41" s="276">
        <f t="shared" si="5"/>
        <v>7996.9035390747067</v>
      </c>
      <c r="AO41" s="276">
        <f t="shared" si="5"/>
        <v>4678.3242811466225</v>
      </c>
      <c r="AP41" s="276">
        <f t="shared" si="5"/>
        <v>928.55725124273306</v>
      </c>
      <c r="AQ41" s="276">
        <f t="shared" si="5"/>
        <v>6451.3426576289176</v>
      </c>
      <c r="AR41" s="276">
        <f t="shared" si="5"/>
        <v>809.68100577678695</v>
      </c>
      <c r="AS41" s="276">
        <f t="shared" si="5"/>
        <v>1347.4026974178312</v>
      </c>
    </row>
    <row r="42" spans="1:45" ht="49.5" customHeight="1" thickTop="1" thickBot="1" x14ac:dyDescent="0.3">
      <c r="A42" s="640">
        <f>APRIL!$A$42+30</f>
        <v>43952</v>
      </c>
      <c r="B42" s="641"/>
      <c r="C42" s="641"/>
      <c r="D42" s="641"/>
      <c r="E42" s="641"/>
      <c r="F42" s="641"/>
      <c r="G42" s="641"/>
      <c r="H42" s="641"/>
      <c r="I42" s="641"/>
      <c r="J42" s="641"/>
      <c r="K42" s="642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4" t="s">
        <v>184</v>
      </c>
      <c r="AJ42" s="293">
        <v>675.91</v>
      </c>
      <c r="AK42" s="276" t="s">
        <v>197</v>
      </c>
      <c r="AL42" s="276">
        <v>659.96</v>
      </c>
      <c r="AM42" s="276">
        <v>450.15</v>
      </c>
      <c r="AN42" s="276">
        <v>310.27999999999997</v>
      </c>
      <c r="AO42" s="276">
        <v>2142.7800000000002</v>
      </c>
      <c r="AP42" s="276">
        <v>642.55999999999995</v>
      </c>
      <c r="AQ42" s="276" t="s">
        <v>197</v>
      </c>
      <c r="AR42" s="276">
        <v>123.18</v>
      </c>
      <c r="AS42" s="276">
        <v>222.24</v>
      </c>
    </row>
    <row r="43" spans="1:45" ht="38.25" customHeight="1" thickTop="1" thickBot="1" x14ac:dyDescent="0.3">
      <c r="A43" s="637" t="s">
        <v>49</v>
      </c>
      <c r="B43" s="633"/>
      <c r="C43" s="287"/>
      <c r="D43" s="633" t="s">
        <v>47</v>
      </c>
      <c r="E43" s="633"/>
      <c r="F43" s="287"/>
      <c r="G43" s="633" t="s">
        <v>48</v>
      </c>
      <c r="H43" s="633"/>
      <c r="I43" s="288"/>
      <c r="J43" s="633" t="s">
        <v>50</v>
      </c>
      <c r="K43" s="634"/>
      <c r="L43" s="44"/>
      <c r="M43" s="44"/>
      <c r="N43" s="44"/>
      <c r="O43" s="45"/>
      <c r="P43" s="45"/>
      <c r="Q43" s="45"/>
      <c r="R43" s="622" t="s">
        <v>166</v>
      </c>
      <c r="S43" s="623"/>
      <c r="T43" s="623"/>
      <c r="U43" s="624"/>
      <c r="AC43" s="45"/>
      <c r="AD43" s="45"/>
      <c r="AE43" s="45"/>
    </row>
    <row r="44" spans="1:45" ht="24.75" thickTop="1" thickBot="1" x14ac:dyDescent="0.3">
      <c r="A44" s="280" t="s">
        <v>135</v>
      </c>
      <c r="B44" s="281">
        <f>SUM(B41:AC41)</f>
        <v>136274.69273906847</v>
      </c>
      <c r="C44" s="12"/>
      <c r="D44" s="280" t="s">
        <v>135</v>
      </c>
      <c r="E44" s="281">
        <f>SUM(B41:H41)+P41+R41+T41+V41+X41+Z41</f>
        <v>71476.263444632423</v>
      </c>
      <c r="F44" s="12"/>
      <c r="G44" s="280" t="s">
        <v>135</v>
      </c>
      <c r="H44" s="281">
        <f>SUM(I41:N41)+O41+Q41+S41+U41+W41+Y41</f>
        <v>63960.651818667597</v>
      </c>
      <c r="I44" s="12"/>
      <c r="J44" s="280" t="s">
        <v>198</v>
      </c>
      <c r="K44" s="281">
        <v>138344.37999999998</v>
      </c>
      <c r="L44" s="12"/>
      <c r="M44" s="12"/>
      <c r="N44" s="12"/>
      <c r="O44" s="12"/>
      <c r="P44" s="12"/>
      <c r="Q44" s="12"/>
      <c r="R44" s="317" t="s">
        <v>135</v>
      </c>
      <c r="S44" s="318"/>
      <c r="T44" s="311" t="s">
        <v>167</v>
      </c>
      <c r="U44" s="253" t="s">
        <v>168</v>
      </c>
    </row>
    <row r="45" spans="1:45" ht="24" thickBot="1" x14ac:dyDescent="0.4">
      <c r="A45" s="282" t="s">
        <v>183</v>
      </c>
      <c r="B45" s="283">
        <f>SUM(AJ41:AS41)</f>
        <v>31708.956274370739</v>
      </c>
      <c r="C45" s="12"/>
      <c r="D45" s="282" t="s">
        <v>183</v>
      </c>
      <c r="E45" s="283">
        <f>AJ41*(1-$AI$40)+AK41+AL41*0.5+AN41+AO41*(1-$AI$40)+AP41*(1-$AI$40)+AQ41*(1-$AI$40)+AR41*0.5+AS41*0.5</f>
        <v>16627.562451961108</v>
      </c>
      <c r="F45" s="24"/>
      <c r="G45" s="282" t="s">
        <v>183</v>
      </c>
      <c r="H45" s="283">
        <f>AJ41*AI40+AL41*0.5+AM41+AO41*AI40+AP41*AI40+AQ41*AI40+AR41*0.5+AS41*0.5</f>
        <v>15081.393822409635</v>
      </c>
      <c r="I45" s="12"/>
      <c r="J45" s="12"/>
      <c r="K45" s="286"/>
      <c r="L45" s="12"/>
      <c r="M45" s="12"/>
      <c r="N45" s="12"/>
      <c r="O45" s="12"/>
      <c r="P45" s="12"/>
      <c r="Q45" s="12"/>
      <c r="R45" s="315" t="s">
        <v>141</v>
      </c>
      <c r="S45" s="316"/>
      <c r="T45" s="252">
        <f>$W$39+$X$39</f>
        <v>3130.0929410457602</v>
      </c>
      <c r="U45" s="254">
        <f>(T45*8.34*0.895)/27000</f>
        <v>0.86533158295732848</v>
      </c>
    </row>
    <row r="46" spans="1:45" ht="32.25" thickBot="1" x14ac:dyDescent="0.3">
      <c r="A46" s="284" t="s">
        <v>184</v>
      </c>
      <c r="B46" s="285">
        <f>SUM(AJ42:AS42)</f>
        <v>5227.0599999999995</v>
      </c>
      <c r="C46" s="12"/>
      <c r="D46" s="284" t="s">
        <v>184</v>
      </c>
      <c r="E46" s="285">
        <f>AJ42*(1-$AI$40)+AL42*0.5+AN42+AO42*(1-$AI$40)+AP42*(1-$AI$40)+AR42*0.5+AS42*0.5</f>
        <v>1628.123323860907</v>
      </c>
      <c r="F46" s="23"/>
      <c r="G46" s="284" t="s">
        <v>184</v>
      </c>
      <c r="H46" s="285">
        <f>AJ42*AI40+AL42*0.5+AM42+AO42*AI40+AP42*AI40+AR42*0.5+AS42*0.5</f>
        <v>3598.9366761390925</v>
      </c>
      <c r="I46" s="12"/>
      <c r="J46" s="635" t="s">
        <v>199</v>
      </c>
      <c r="K46" s="636"/>
      <c r="L46" s="12"/>
      <c r="M46" s="12"/>
      <c r="N46" s="12"/>
      <c r="O46" s="12"/>
      <c r="P46" s="12"/>
      <c r="Q46" s="12"/>
      <c r="R46" s="315" t="s">
        <v>145</v>
      </c>
      <c r="S46" s="316"/>
      <c r="T46" s="252">
        <f>$M$39+$N$39+$F$39</f>
        <v>0</v>
      </c>
      <c r="U46" s="255">
        <f>(((T46*8.34)*0.005)/(8.34*1.055))/400</f>
        <v>0</v>
      </c>
    </row>
    <row r="47" spans="1:45" ht="24.75" thickTop="1" thickBot="1" x14ac:dyDescent="0.4">
      <c r="A47" s="284" t="s">
        <v>185</v>
      </c>
      <c r="B47" s="285">
        <f>K44</f>
        <v>138344.37999999998</v>
      </c>
      <c r="C47" s="12"/>
      <c r="D47" s="284" t="s">
        <v>187</v>
      </c>
      <c r="E47" s="285">
        <f>K44*0.5</f>
        <v>69172.189999999988</v>
      </c>
      <c r="F47" s="24"/>
      <c r="G47" s="284" t="s">
        <v>185</v>
      </c>
      <c r="H47" s="285">
        <f>K44*0.5</f>
        <v>69172.189999999988</v>
      </c>
      <c r="I47" s="12"/>
      <c r="J47" s="280" t="s">
        <v>198</v>
      </c>
      <c r="K47" s="281">
        <v>45879.85</v>
      </c>
      <c r="L47" s="12"/>
      <c r="M47" s="12"/>
      <c r="N47" s="12"/>
      <c r="O47" s="12"/>
      <c r="P47" s="12"/>
      <c r="Q47" s="12"/>
      <c r="R47" s="315" t="s">
        <v>148</v>
      </c>
      <c r="S47" s="316"/>
      <c r="T47" s="252">
        <f>$G$39</f>
        <v>71221.309662803047</v>
      </c>
      <c r="U47" s="254">
        <f>T47/40000</f>
        <v>1.7805327415700762</v>
      </c>
    </row>
    <row r="48" spans="1:45" ht="24" thickBot="1" x14ac:dyDescent="0.3">
      <c r="A48" s="284" t="s">
        <v>186</v>
      </c>
      <c r="B48" s="285">
        <f>K47</f>
        <v>45879.85</v>
      </c>
      <c r="C48" s="12"/>
      <c r="D48" s="284" t="s">
        <v>186</v>
      </c>
      <c r="E48" s="285">
        <f>K47*0.5</f>
        <v>22939.924999999999</v>
      </c>
      <c r="F48" s="23"/>
      <c r="G48" s="284" t="s">
        <v>186</v>
      </c>
      <c r="H48" s="285">
        <f>K47*0.5</f>
        <v>22939.924999999999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15" t="s">
        <v>150</v>
      </c>
      <c r="S48" s="316"/>
      <c r="T48" s="252">
        <f>$L$39</f>
        <v>0</v>
      </c>
      <c r="U48" s="254">
        <f>T48*9.34*0.107</f>
        <v>0</v>
      </c>
    </row>
    <row r="49" spans="1:25" ht="48" thickTop="1" thickBot="1" x14ac:dyDescent="0.3">
      <c r="A49" s="289" t="s">
        <v>194</v>
      </c>
      <c r="B49" s="290">
        <f>AF40</f>
        <v>798.26063589039825</v>
      </c>
      <c r="C49" s="12"/>
      <c r="D49" s="289" t="s">
        <v>195</v>
      </c>
      <c r="E49" s="290">
        <f>AH40</f>
        <v>191.01773746987831</v>
      </c>
      <c r="F49" s="23"/>
      <c r="G49" s="289" t="s">
        <v>196</v>
      </c>
      <c r="H49" s="290">
        <f>AG40</f>
        <v>620.06911510662246</v>
      </c>
      <c r="I49" s="12"/>
      <c r="J49" s="12"/>
      <c r="K49" s="86"/>
      <c r="L49" s="12"/>
      <c r="M49" s="12"/>
      <c r="N49" s="12"/>
      <c r="O49" s="12"/>
      <c r="P49" s="12"/>
      <c r="Q49" s="12"/>
      <c r="R49" s="315" t="s">
        <v>152</v>
      </c>
      <c r="S49" s="316"/>
      <c r="T49" s="252">
        <f>$E$39+$K$39</f>
        <v>1783.6119775722441</v>
      </c>
      <c r="U49" s="254">
        <f>(T49*8.34*1.04)/45000</f>
        <v>0.3437852633037915</v>
      </c>
    </row>
    <row r="50" spans="1:25" ht="48" customHeight="1" thickTop="1" thickBot="1" x14ac:dyDescent="0.3">
      <c r="A50" s="289" t="s">
        <v>223</v>
      </c>
      <c r="B50" s="290">
        <f>SUM(E50+H50)</f>
        <v>838.55756761871908</v>
      </c>
      <c r="C50" s="12"/>
      <c r="D50" s="289" t="s">
        <v>226</v>
      </c>
      <c r="E50" s="290">
        <f>AE40</f>
        <v>193.34792428067362</v>
      </c>
      <c r="F50" s="23"/>
      <c r="G50" s="289" t="s">
        <v>227</v>
      </c>
      <c r="H50" s="290">
        <f>AD40</f>
        <v>645.20964333804545</v>
      </c>
      <c r="I50" s="12"/>
      <c r="J50" s="12"/>
      <c r="K50" s="86"/>
      <c r="L50" s="12"/>
      <c r="M50" s="12"/>
      <c r="N50" s="12"/>
      <c r="O50" s="12"/>
      <c r="P50" s="12"/>
      <c r="Q50" s="12"/>
      <c r="R50" s="315"/>
      <c r="S50" s="316"/>
      <c r="T50" s="252"/>
      <c r="U50" s="254"/>
    </row>
    <row r="51" spans="1:25" ht="48" thickTop="1" thickBot="1" x14ac:dyDescent="0.3">
      <c r="A51" s="289" t="s">
        <v>190</v>
      </c>
      <c r="B51" s="291">
        <f>(SUM(B44:B48)/B50)</f>
        <v>426.24973265515871</v>
      </c>
      <c r="C51" s="12"/>
      <c r="D51" s="289" t="s">
        <v>188</v>
      </c>
      <c r="E51" s="292">
        <f>SUM(E44:E48)/E50</f>
        <v>940.50176590714466</v>
      </c>
      <c r="F51" s="371">
        <f>E44/E49</f>
        <v>374.18652524823017</v>
      </c>
      <c r="G51" s="289" t="s">
        <v>189</v>
      </c>
      <c r="H51" s="292">
        <f>SUM(H44:H48)/H50</f>
        <v>270.84700162433518</v>
      </c>
      <c r="I51" s="361">
        <f>H44/H49</f>
        <v>103.15084280188572</v>
      </c>
      <c r="J51" s="12"/>
      <c r="K51" s="86"/>
      <c r="L51" s="12"/>
      <c r="M51" s="12"/>
      <c r="N51" s="12"/>
      <c r="O51" s="12"/>
      <c r="P51" s="12"/>
      <c r="Q51" s="12"/>
      <c r="R51" s="315" t="s">
        <v>153</v>
      </c>
      <c r="S51" s="316"/>
      <c r="T51" s="252">
        <f>$U$39+$V$39+$AB$39</f>
        <v>22214.880135186504</v>
      </c>
      <c r="U51" s="254">
        <f>T51/2000/8</f>
        <v>1.3884300084491565</v>
      </c>
    </row>
    <row r="52" spans="1:25" ht="57" customHeight="1" thickTop="1" thickBot="1" x14ac:dyDescent="0.3">
      <c r="A52" s="279" t="s">
        <v>191</v>
      </c>
      <c r="B52" s="292">
        <f>B51/1000</f>
        <v>0.4262497326551587</v>
      </c>
      <c r="C52" s="12"/>
      <c r="D52" s="279" t="s">
        <v>192</v>
      </c>
      <c r="E52" s="292">
        <f>E51/1000</f>
        <v>0.94050176590714463</v>
      </c>
      <c r="F52" s="12"/>
      <c r="G52" s="279" t="s">
        <v>193</v>
      </c>
      <c r="H52" s="292">
        <f>H51/1000</f>
        <v>0.27084700162433517</v>
      </c>
      <c r="I52" s="12"/>
      <c r="J52" s="12"/>
      <c r="K52" s="86"/>
      <c r="L52" s="12"/>
      <c r="M52" s="12"/>
      <c r="N52" s="12"/>
      <c r="O52" s="12"/>
      <c r="P52" s="12"/>
      <c r="Q52" s="12"/>
      <c r="R52" s="315" t="s">
        <v>154</v>
      </c>
      <c r="S52" s="316"/>
      <c r="T52" s="252">
        <f>$C$39+$J$39+$S$39+$T$39</f>
        <v>25656.886320849258</v>
      </c>
      <c r="U52" s="254">
        <f>(T52*8.34*1.4)/45000</f>
        <v>6.6571067707163527</v>
      </c>
    </row>
    <row r="53" spans="1:25" ht="16.5" thickTop="1" thickBot="1" x14ac:dyDescent="0.3">
      <c r="A53" s="300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5" t="s">
        <v>155</v>
      </c>
      <c r="S53" s="316"/>
      <c r="T53" s="252">
        <f>$H$39</f>
        <v>775.14969392220178</v>
      </c>
      <c r="U53" s="254">
        <f>(T53*8.34*1.135)/45000</f>
        <v>0.16305532194884823</v>
      </c>
    </row>
    <row r="54" spans="1:25" ht="48" customHeight="1" thickTop="1" thickBot="1" x14ac:dyDescent="0.3">
      <c r="A54" s="625" t="s">
        <v>51</v>
      </c>
      <c r="B54" s="626"/>
      <c r="C54" s="626"/>
      <c r="D54" s="626"/>
      <c r="E54" s="62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5" t="s">
        <v>156</v>
      </c>
      <c r="S54" s="316"/>
      <c r="T54" s="252">
        <f>$B$39+$I$39+$AC$39</f>
        <v>6716.3707101901327</v>
      </c>
      <c r="U54" s="254">
        <f>(T54*8.34*1.029*0.03)/3300</f>
        <v>0.52399048311774798</v>
      </c>
    </row>
    <row r="55" spans="1:25" ht="45.75" customHeight="1" thickBot="1" x14ac:dyDescent="0.3">
      <c r="A55" s="630" t="s">
        <v>200</v>
      </c>
      <c r="B55" s="631"/>
      <c r="C55" s="631"/>
      <c r="D55" s="631"/>
      <c r="E55" s="63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8" t="s">
        <v>158</v>
      </c>
      <c r="S55" s="639"/>
      <c r="T55" s="256">
        <f>$D$39+$Y$39+$Z$39</f>
        <v>39915.233939631777</v>
      </c>
      <c r="U55" s="257">
        <f>(T55*1.54*8.34)/45000</f>
        <v>11.392339969490106</v>
      </c>
    </row>
    <row r="56" spans="1:25" ht="24" thickTop="1" x14ac:dyDescent="0.25">
      <c r="A56" s="668"/>
      <c r="B56" s="66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70"/>
      <c r="B57" s="67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66"/>
      <c r="B58" s="66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7"/>
      <c r="B59" s="66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66"/>
      <c r="B60" s="66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7"/>
      <c r="B61" s="667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  <row r="65" spans="1:3" x14ac:dyDescent="0.25">
      <c r="A65" s="12"/>
      <c r="B65" s="12"/>
      <c r="C65" s="12"/>
    </row>
  </sheetData>
  <sheetProtection algorithmName="SHA-512" hashValue="5PRyi4dHIeGucZ1ZLKdKWuRW496Qct6JxehkgB0nNPucIAZFOOk5VZSef4TDw4s2zT0gEIWancM2HImtUOGfPg==" saltValue="ZyaermIbveeang430Na8+g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Linder, Kevin</cp:lastModifiedBy>
  <cp:lastPrinted>2017-01-18T15:43:36Z</cp:lastPrinted>
  <dcterms:created xsi:type="dcterms:W3CDTF">2010-10-11T23:47:50Z</dcterms:created>
  <dcterms:modified xsi:type="dcterms:W3CDTF">2021-01-28T20:09:50Z</dcterms:modified>
</cp:coreProperties>
</file>