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"/>
    </mc:Choice>
  </mc:AlternateContent>
  <xr:revisionPtr revIDLastSave="0" documentId="13_ncr:1_{F259C482-F759-4168-B494-D6078639FCBA}" xr6:coauthVersionLast="41" xr6:coauthVersionMax="45" xr10:uidLastSave="{00000000-0000-0000-0000-000000000000}"/>
  <bookViews>
    <workbookView xWindow="-120" yWindow="-120" windowWidth="20760" windowHeight="11175" tabRatio="928" firstSheet="3" activeTab="6" xr2:uid="{00000000-000D-0000-FFFF-FFFF00000000}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APRIL!$A$42:$K$55</definedName>
    <definedName name="_xlnm.Print_Area" localSheetId="11">AUGUST!$A$42:$K$55</definedName>
    <definedName name="_xlnm.Print_Area" localSheetId="15">DECEMBER!$A$42:$K$55</definedName>
    <definedName name="_xlnm.Print_Area" localSheetId="5">FEBRUARY!$A$42:$K$55</definedName>
    <definedName name="_xlnm.Print_Area" localSheetId="4">JANUARY!$A$42:$K$55</definedName>
    <definedName name="_xlnm.Print_Area" localSheetId="10">JULY!$A$42:$K$55</definedName>
    <definedName name="_xlnm.Print_Area" localSheetId="9">JUNE!$A$42:$K$55</definedName>
    <definedName name="_xlnm.Print_Area" localSheetId="6">MARCH!$A$42:$K$55</definedName>
    <definedName name="_xlnm.Print_Area" localSheetId="8">MAY!$A$42:$K$55</definedName>
    <definedName name="_xlnm.Print_Area" localSheetId="14">NOVEMBER!$A$42:$K$55</definedName>
    <definedName name="_xlnm.Print_Area" localSheetId="13">OCTOBER!$A$42:$K$55</definedName>
    <definedName name="_xlnm.Print_Area" localSheetId="12">SEPTEMBER!$A$42:$K$55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26" l="1"/>
  <c r="AS39" i="18" l="1"/>
  <c r="AR39" i="18"/>
  <c r="AQ39" i="18"/>
  <c r="AP39" i="18"/>
  <c r="AO39" i="18"/>
  <c r="AN39" i="18"/>
  <c r="AM39" i="18"/>
  <c r="AL39" i="18"/>
  <c r="AK39" i="18"/>
  <c r="AJ39" i="18"/>
  <c r="AH40" i="18"/>
  <c r="AG40" i="18"/>
  <c r="AF40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AS39" i="17"/>
  <c r="AR39" i="17"/>
  <c r="AQ39" i="17"/>
  <c r="AP39" i="17"/>
  <c r="AO39" i="17"/>
  <c r="AN39" i="17"/>
  <c r="AM39" i="17"/>
  <c r="AL39" i="17"/>
  <c r="AK39" i="17"/>
  <c r="AJ39" i="17"/>
  <c r="AH40" i="17"/>
  <c r="AG40" i="17"/>
  <c r="AF40" i="17"/>
  <c r="AE40" i="17"/>
  <c r="AD40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A42" i="21" l="1"/>
  <c r="A42" i="20" s="1"/>
  <c r="A42" i="19" s="1"/>
  <c r="A42" i="18" s="1"/>
  <c r="A42" i="17" s="1"/>
  <c r="A42" i="24" s="1"/>
  <c r="A42" i="23" s="1"/>
  <c r="A42" i="16" s="1"/>
  <c r="A42" i="6" s="1"/>
  <c r="A42" i="25" s="1"/>
  <c r="A42" i="26" s="1"/>
  <c r="AE40" i="26" l="1"/>
  <c r="AF15" i="27" s="1"/>
  <c r="AD40" i="26"/>
  <c r="AE15" i="27" s="1"/>
  <c r="AE40" i="25"/>
  <c r="AF14" i="27" s="1"/>
  <c r="AD40" i="25"/>
  <c r="AE14" i="27" s="1"/>
  <c r="AE40" i="6"/>
  <c r="AF13" i="27" s="1"/>
  <c r="AD40" i="6"/>
  <c r="AE13" i="27" s="1"/>
  <c r="AE40" i="23"/>
  <c r="AF11" i="27" s="1"/>
  <c r="AD40" i="23"/>
  <c r="AE11" i="27" s="1"/>
  <c r="AE40" i="24"/>
  <c r="AF10" i="27" s="1"/>
  <c r="AD40" i="24"/>
  <c r="AE10" i="27" s="1"/>
  <c r="AF9" i="27"/>
  <c r="AE9" i="27"/>
  <c r="AE40" i="18"/>
  <c r="AF8" i="27" s="1"/>
  <c r="AD40" i="18"/>
  <c r="AE8" i="27" s="1"/>
  <c r="AE40" i="19"/>
  <c r="AF7" i="27" s="1"/>
  <c r="AD40" i="19"/>
  <c r="AE7" i="27" s="1"/>
  <c r="AE40" i="20"/>
  <c r="AF6" i="27" s="1"/>
  <c r="AD40" i="20"/>
  <c r="AE6" i="27" s="1"/>
  <c r="AE40" i="22"/>
  <c r="AF4" i="27" s="1"/>
  <c r="AD40" i="22"/>
  <c r="AE4" i="27" s="1"/>
  <c r="AE40" i="21"/>
  <c r="AF5" i="27" s="1"/>
  <c r="AD40" i="21"/>
  <c r="AE5" i="27" s="1"/>
  <c r="AG10" i="27" l="1"/>
  <c r="AG11" i="27"/>
  <c r="AG13" i="27"/>
  <c r="AG15" i="27"/>
  <c r="AG9" i="27"/>
  <c r="AG8" i="27"/>
  <c r="AG7" i="27"/>
  <c r="AG4" i="27"/>
  <c r="AG5" i="27"/>
  <c r="AG6" i="27"/>
  <c r="AG14" i="27"/>
  <c r="H50" i="26"/>
  <c r="E50" i="26"/>
  <c r="H50" i="25"/>
  <c r="E50" i="25"/>
  <c r="H50" i="6"/>
  <c r="E50" i="6"/>
  <c r="H50" i="23"/>
  <c r="E50" i="23"/>
  <c r="H50" i="24"/>
  <c r="E50" i="24"/>
  <c r="H50" i="17"/>
  <c r="E50" i="17"/>
  <c r="H50" i="18"/>
  <c r="E50" i="18"/>
  <c r="H50" i="19"/>
  <c r="E50" i="19"/>
  <c r="B50" i="19" l="1"/>
  <c r="B50" i="17"/>
  <c r="B50" i="26"/>
  <c r="B50" i="25"/>
  <c r="B50" i="6"/>
  <c r="B50" i="23"/>
  <c r="B50" i="24"/>
  <c r="B50" i="18"/>
  <c r="H50" i="20"/>
  <c r="E50" i="20"/>
  <c r="B50" i="20" l="1"/>
  <c r="H50" i="21"/>
  <c r="E50" i="21"/>
  <c r="B50" i="21" l="1"/>
  <c r="H50" i="22"/>
  <c r="E50" i="22"/>
  <c r="B50" i="22" l="1"/>
  <c r="C39" i="21" l="1"/>
  <c r="AB22" i="28" l="1"/>
  <c r="AC22" i="28"/>
  <c r="AD22" i="28"/>
  <c r="AA22" i="28"/>
  <c r="AI22" i="28" l="1"/>
  <c r="AH22" i="28"/>
  <c r="AG22" i="28"/>
  <c r="AF22" i="28"/>
  <c r="AB28" i="28" l="1"/>
  <c r="S40" i="17" s="1"/>
  <c r="J40" i="19" l="1"/>
  <c r="T40" i="19"/>
  <c r="J40" i="18"/>
  <c r="T40" i="18"/>
  <c r="J40" i="17"/>
  <c r="T40" i="17"/>
  <c r="C40" i="19"/>
  <c r="S40" i="19"/>
  <c r="C40" i="18"/>
  <c r="S40" i="18"/>
  <c r="C40" i="17"/>
  <c r="AH19" i="28"/>
  <c r="AF19" i="28"/>
  <c r="AI10" i="28"/>
  <c r="AG10" i="28"/>
  <c r="AH40" i="24" l="1"/>
  <c r="E49" i="24" s="1"/>
  <c r="AG40" i="24"/>
  <c r="AF40" i="24"/>
  <c r="B49" i="24" s="1"/>
  <c r="H48" i="26"/>
  <c r="E48" i="26"/>
  <c r="B48" i="26"/>
  <c r="H47" i="26"/>
  <c r="E47" i="26"/>
  <c r="B47" i="26"/>
  <c r="B46" i="26"/>
  <c r="AS40" i="26"/>
  <c r="AR40" i="26"/>
  <c r="AQ40" i="26"/>
  <c r="AP40" i="26"/>
  <c r="AO40" i="26"/>
  <c r="AN40" i="26"/>
  <c r="AM40" i="26"/>
  <c r="AL40" i="26"/>
  <c r="AK40" i="26"/>
  <c r="L39" i="26"/>
  <c r="B39" i="26"/>
  <c r="H48" i="25"/>
  <c r="E48" i="25"/>
  <c r="B48" i="25"/>
  <c r="H47" i="25"/>
  <c r="E47" i="25"/>
  <c r="B47" i="25"/>
  <c r="B46" i="25"/>
  <c r="AS40" i="25"/>
  <c r="AR40" i="25"/>
  <c r="AQ40" i="25"/>
  <c r="AP40" i="25"/>
  <c r="AO40" i="25"/>
  <c r="AN40" i="25"/>
  <c r="AM40" i="25"/>
  <c r="AL40" i="25"/>
  <c r="AK40" i="25"/>
  <c r="AH40" i="25"/>
  <c r="E49" i="25" s="1"/>
  <c r="AG40" i="25"/>
  <c r="AF40" i="25"/>
  <c r="B49" i="25" s="1"/>
  <c r="AS39" i="25"/>
  <c r="AR39" i="25"/>
  <c r="AQ39" i="25"/>
  <c r="AP39" i="25"/>
  <c r="AO39" i="25"/>
  <c r="AN39" i="25"/>
  <c r="AM39" i="25"/>
  <c r="AL39" i="25"/>
  <c r="AK39" i="25"/>
  <c r="AJ39" i="25"/>
  <c r="AJ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3" i="25" s="1"/>
  <c r="U53" i="25" s="1"/>
  <c r="G39" i="25"/>
  <c r="T47" i="25" s="1"/>
  <c r="U47" i="25" s="1"/>
  <c r="F39" i="25"/>
  <c r="E39" i="25"/>
  <c r="D39" i="25"/>
  <c r="C39" i="25"/>
  <c r="B39" i="25"/>
  <c r="H48" i="6"/>
  <c r="E48" i="6"/>
  <c r="B48" i="6"/>
  <c r="H47" i="6"/>
  <c r="E47" i="6"/>
  <c r="B47" i="6"/>
  <c r="B46" i="6"/>
  <c r="AS40" i="6"/>
  <c r="AR40" i="6"/>
  <c r="AQ40" i="6"/>
  <c r="AP40" i="6"/>
  <c r="AO40" i="6"/>
  <c r="AN40" i="6"/>
  <c r="AM40" i="6"/>
  <c r="AL40" i="6"/>
  <c r="AK40" i="6"/>
  <c r="AH40" i="6"/>
  <c r="E49" i="6" s="1"/>
  <c r="AG40" i="6"/>
  <c r="AF40" i="6"/>
  <c r="B49" i="6" s="1"/>
  <c r="AS39" i="6"/>
  <c r="AR39" i="6"/>
  <c r="AQ39" i="6"/>
  <c r="AP39" i="6"/>
  <c r="AO39" i="6"/>
  <c r="AN39" i="6"/>
  <c r="AM39" i="6"/>
  <c r="AL39" i="6"/>
  <c r="AK39" i="6"/>
  <c r="AJ39" i="6"/>
  <c r="AJ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3" i="6" s="1"/>
  <c r="U53" i="6" s="1"/>
  <c r="G39" i="6"/>
  <c r="T47" i="6" s="1"/>
  <c r="U47" i="6" s="1"/>
  <c r="F39" i="6"/>
  <c r="E39" i="6"/>
  <c r="D39" i="6"/>
  <c r="C39" i="6"/>
  <c r="B39" i="6"/>
  <c r="AH40" i="23"/>
  <c r="E49" i="23" s="1"/>
  <c r="AG40" i="23"/>
  <c r="AF40" i="23"/>
  <c r="B49" i="23" s="1"/>
  <c r="H48" i="23"/>
  <c r="E48" i="23"/>
  <c r="B48" i="23"/>
  <c r="H47" i="23"/>
  <c r="E47" i="23"/>
  <c r="B47" i="23"/>
  <c r="B46" i="23"/>
  <c r="AS40" i="23"/>
  <c r="AR40" i="23"/>
  <c r="AQ40" i="23"/>
  <c r="AP40" i="23"/>
  <c r="AO40" i="23"/>
  <c r="AN40" i="23"/>
  <c r="AM40" i="23"/>
  <c r="AL40" i="23"/>
  <c r="AK40" i="23"/>
  <c r="AS39" i="23"/>
  <c r="AR39" i="23"/>
  <c r="AQ39" i="23"/>
  <c r="AP39" i="23"/>
  <c r="AO39" i="23"/>
  <c r="AN39" i="23"/>
  <c r="AM39" i="23"/>
  <c r="AL39" i="23"/>
  <c r="AK39" i="23"/>
  <c r="AJ39" i="23"/>
  <c r="AJ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3" i="23" s="1"/>
  <c r="U53" i="23" s="1"/>
  <c r="G39" i="23"/>
  <c r="T47" i="23" s="1"/>
  <c r="U47" i="23" s="1"/>
  <c r="F39" i="23"/>
  <c r="E39" i="23"/>
  <c r="D39" i="23"/>
  <c r="C39" i="23"/>
  <c r="B39" i="23"/>
  <c r="H48" i="24"/>
  <c r="E48" i="24"/>
  <c r="B48" i="24"/>
  <c r="H47" i="24"/>
  <c r="E47" i="24"/>
  <c r="B47" i="24"/>
  <c r="B46" i="24"/>
  <c r="AS40" i="24"/>
  <c r="AR40" i="24"/>
  <c r="AQ40" i="24"/>
  <c r="AP40" i="24"/>
  <c r="AO40" i="24"/>
  <c r="AN40" i="24"/>
  <c r="AM40" i="24"/>
  <c r="AL40" i="24"/>
  <c r="AK40" i="24"/>
  <c r="AS39" i="24"/>
  <c r="AR39" i="24"/>
  <c r="AQ39" i="24"/>
  <c r="AP39" i="24"/>
  <c r="AO39" i="24"/>
  <c r="AN39" i="24"/>
  <c r="AM39" i="24"/>
  <c r="AL39" i="24"/>
  <c r="AK39" i="24"/>
  <c r="AJ39" i="24"/>
  <c r="AJ41" i="24" s="1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3" i="24" s="1"/>
  <c r="U53" i="24" s="1"/>
  <c r="G39" i="24"/>
  <c r="T47" i="24" s="1"/>
  <c r="U47" i="24" s="1"/>
  <c r="F39" i="24"/>
  <c r="E39" i="24"/>
  <c r="D39" i="24"/>
  <c r="C39" i="24"/>
  <c r="B39" i="24"/>
  <c r="H48" i="17"/>
  <c r="E48" i="17"/>
  <c r="B48" i="17"/>
  <c r="H47" i="17"/>
  <c r="E47" i="17"/>
  <c r="B47" i="17"/>
  <c r="B46" i="17"/>
  <c r="AS40" i="17"/>
  <c r="AR40" i="17"/>
  <c r="AQ40" i="17"/>
  <c r="AP40" i="17"/>
  <c r="AO40" i="17"/>
  <c r="AN40" i="17"/>
  <c r="AM40" i="17"/>
  <c r="AL40" i="17"/>
  <c r="AK40" i="17"/>
  <c r="E49" i="17"/>
  <c r="B49" i="17"/>
  <c r="AJ41" i="17"/>
  <c r="AA41" i="17"/>
  <c r="T41" i="17"/>
  <c r="S41" i="17"/>
  <c r="R41" i="17"/>
  <c r="Q41" i="17"/>
  <c r="P41" i="17"/>
  <c r="O41" i="17"/>
  <c r="J41" i="17"/>
  <c r="T53" i="17"/>
  <c r="U53" i="17" s="1"/>
  <c r="T47" i="17"/>
  <c r="U47" i="17" s="1"/>
  <c r="B39" i="17"/>
  <c r="H48" i="18"/>
  <c r="E48" i="18"/>
  <c r="B48" i="18"/>
  <c r="H47" i="18"/>
  <c r="E47" i="18"/>
  <c r="B47" i="18"/>
  <c r="B46" i="18"/>
  <c r="AS40" i="18"/>
  <c r="AR40" i="18"/>
  <c r="AQ40" i="18"/>
  <c r="AP40" i="18"/>
  <c r="AO40" i="18"/>
  <c r="AN40" i="18"/>
  <c r="AM40" i="18"/>
  <c r="AL40" i="18"/>
  <c r="AK40" i="18"/>
  <c r="E49" i="18"/>
  <c r="B49" i="18"/>
  <c r="AJ41" i="18"/>
  <c r="AA41" i="18"/>
  <c r="T41" i="18"/>
  <c r="S41" i="18"/>
  <c r="R41" i="18"/>
  <c r="Q41" i="18"/>
  <c r="P41" i="18"/>
  <c r="O41" i="18"/>
  <c r="J41" i="18"/>
  <c r="T53" i="18"/>
  <c r="U53" i="18" s="1"/>
  <c r="T47" i="18"/>
  <c r="U47" i="18" s="1"/>
  <c r="B39" i="18"/>
  <c r="H48" i="19"/>
  <c r="E48" i="19"/>
  <c r="B48" i="19"/>
  <c r="H47" i="19"/>
  <c r="E47" i="19"/>
  <c r="B47" i="19"/>
  <c r="B46" i="19"/>
  <c r="AS40" i="19"/>
  <c r="AR40" i="19"/>
  <c r="AQ40" i="19"/>
  <c r="AP40" i="19"/>
  <c r="AO40" i="19"/>
  <c r="AN40" i="19"/>
  <c r="AM40" i="19"/>
  <c r="AL40" i="19"/>
  <c r="AK40" i="19"/>
  <c r="AH40" i="19"/>
  <c r="E49" i="19" s="1"/>
  <c r="AG40" i="19"/>
  <c r="AF40" i="19"/>
  <c r="B49" i="19" s="1"/>
  <c r="AS39" i="19"/>
  <c r="AR39" i="19"/>
  <c r="AQ39" i="19"/>
  <c r="AP39" i="19"/>
  <c r="AO39" i="19"/>
  <c r="AN39" i="19"/>
  <c r="AM39" i="19"/>
  <c r="AL39" i="19"/>
  <c r="AK39" i="19"/>
  <c r="AJ39" i="19"/>
  <c r="AJ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3" i="19" s="1"/>
  <c r="U53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B46" i="20"/>
  <c r="AS40" i="20"/>
  <c r="AR40" i="20"/>
  <c r="AQ40" i="20"/>
  <c r="AP40" i="20"/>
  <c r="AO40" i="20"/>
  <c r="AN40" i="20"/>
  <c r="AM40" i="20"/>
  <c r="AL40" i="20"/>
  <c r="AK40" i="20"/>
  <c r="AH40" i="20"/>
  <c r="E49" i="20" s="1"/>
  <c r="AG40" i="20"/>
  <c r="AF40" i="20"/>
  <c r="B49" i="20" s="1"/>
  <c r="AS39" i="20"/>
  <c r="AR39" i="20"/>
  <c r="AQ39" i="20"/>
  <c r="AP39" i="20"/>
  <c r="AO39" i="20"/>
  <c r="AN39" i="20"/>
  <c r="AM39" i="20"/>
  <c r="AL39" i="20"/>
  <c r="AK39" i="20"/>
  <c r="AJ39" i="20"/>
  <c r="AJ41" i="20" s="1"/>
  <c r="AC39" i="20"/>
  <c r="AB39" i="20"/>
  <c r="AA39" i="20"/>
  <c r="AA41" i="20" s="1"/>
  <c r="Z39" i="20"/>
  <c r="Y39" i="20"/>
  <c r="X39" i="20"/>
  <c r="W39" i="20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3" i="20" s="1"/>
  <c r="U53" i="20" s="1"/>
  <c r="G39" i="20"/>
  <c r="T47" i="20" s="1"/>
  <c r="U47" i="20" s="1"/>
  <c r="F39" i="20"/>
  <c r="E39" i="20"/>
  <c r="D39" i="20"/>
  <c r="C39" i="20"/>
  <c r="B39" i="20"/>
  <c r="AI40" i="25" l="1"/>
  <c r="E46" i="25" s="1"/>
  <c r="AI40" i="6"/>
  <c r="E46" i="6" s="1"/>
  <c r="AI40" i="24"/>
  <c r="E46" i="24" s="1"/>
  <c r="H49" i="19"/>
  <c r="AI40" i="19"/>
  <c r="H49" i="23"/>
  <c r="AI40" i="23"/>
  <c r="H46" i="23" s="1"/>
  <c r="AI40" i="17"/>
  <c r="E46" i="17" s="1"/>
  <c r="H49" i="18"/>
  <c r="AI40" i="18"/>
  <c r="H49" i="20"/>
  <c r="AI40" i="20"/>
  <c r="T54" i="24"/>
  <c r="U54" i="24" s="1"/>
  <c r="T49" i="18"/>
  <c r="U49" i="18" s="1"/>
  <c r="T54" i="19"/>
  <c r="U54" i="19" s="1"/>
  <c r="T54" i="17"/>
  <c r="U54" i="17" s="1"/>
  <c r="T54" i="23"/>
  <c r="U54" i="23" s="1"/>
  <c r="T55" i="19"/>
  <c r="U55" i="19" s="1"/>
  <c r="T55" i="17"/>
  <c r="U55" i="17" s="1"/>
  <c r="T45" i="24"/>
  <c r="U45" i="24" s="1"/>
  <c r="T45" i="20"/>
  <c r="U45" i="20" s="1"/>
  <c r="T54" i="20"/>
  <c r="U54" i="20" s="1"/>
  <c r="T54" i="6"/>
  <c r="U54" i="6" s="1"/>
  <c r="T49" i="25"/>
  <c r="U49" i="25" s="1"/>
  <c r="T52" i="19"/>
  <c r="U52" i="19" s="1"/>
  <c r="T45" i="19"/>
  <c r="U45" i="19" s="1"/>
  <c r="T55" i="18"/>
  <c r="U55" i="18" s="1"/>
  <c r="T52" i="17"/>
  <c r="U52" i="17" s="1"/>
  <c r="T45" i="17"/>
  <c r="U45" i="17" s="1"/>
  <c r="T45" i="23"/>
  <c r="U45" i="23" s="1"/>
  <c r="T55" i="20"/>
  <c r="U55" i="20" s="1"/>
  <c r="T49" i="19"/>
  <c r="U49" i="19" s="1"/>
  <c r="T51" i="19"/>
  <c r="U51" i="19" s="1"/>
  <c r="T54" i="18"/>
  <c r="U54" i="18" s="1"/>
  <c r="T49" i="17"/>
  <c r="U49" i="17" s="1"/>
  <c r="T51" i="17"/>
  <c r="U51" i="17" s="1"/>
  <c r="T55" i="24"/>
  <c r="U55" i="24" s="1"/>
  <c r="T55" i="23"/>
  <c r="U55" i="23" s="1"/>
  <c r="T55" i="6"/>
  <c r="U55" i="6" s="1"/>
  <c r="T52" i="20"/>
  <c r="U52" i="20" s="1"/>
  <c r="T51" i="18"/>
  <c r="U51" i="18" s="1"/>
  <c r="T52" i="24"/>
  <c r="U52" i="24" s="1"/>
  <c r="T52" i="23"/>
  <c r="U52" i="23" s="1"/>
  <c r="T52" i="6"/>
  <c r="U52" i="6" s="1"/>
  <c r="T49" i="20"/>
  <c r="U49" i="20" s="1"/>
  <c r="T51" i="20"/>
  <c r="U51" i="20" s="1"/>
  <c r="T52" i="18"/>
  <c r="U52" i="18" s="1"/>
  <c r="T45" i="18"/>
  <c r="U45" i="18" s="1"/>
  <c r="T49" i="24"/>
  <c r="U49" i="24" s="1"/>
  <c r="T51" i="24"/>
  <c r="U51" i="24" s="1"/>
  <c r="T49" i="23"/>
  <c r="U49" i="23" s="1"/>
  <c r="T51" i="23"/>
  <c r="U51" i="23" s="1"/>
  <c r="T49" i="6"/>
  <c r="U49" i="6" s="1"/>
  <c r="T46" i="19"/>
  <c r="U46" i="19" s="1"/>
  <c r="T46" i="20"/>
  <c r="U46" i="20" s="1"/>
  <c r="T51" i="25"/>
  <c r="U51" i="25" s="1"/>
  <c r="T45" i="25"/>
  <c r="U45" i="25" s="1"/>
  <c r="T52" i="25"/>
  <c r="U52" i="25" s="1"/>
  <c r="T54" i="25"/>
  <c r="U54" i="25" s="1"/>
  <c r="T55" i="25"/>
  <c r="U55" i="25" s="1"/>
  <c r="T46" i="25"/>
  <c r="U46" i="25" s="1"/>
  <c r="AL41" i="25"/>
  <c r="AN41" i="25"/>
  <c r="AP41" i="25"/>
  <c r="AR41" i="25"/>
  <c r="AK41" i="25"/>
  <c r="AM41" i="25"/>
  <c r="AO41" i="25"/>
  <c r="AQ41" i="25"/>
  <c r="AS41" i="25"/>
  <c r="T51" i="6"/>
  <c r="U51" i="6" s="1"/>
  <c r="T45" i="6"/>
  <c r="U45" i="6" s="1"/>
  <c r="AL41" i="6"/>
  <c r="AN41" i="6"/>
  <c r="AP41" i="6"/>
  <c r="AR41" i="6"/>
  <c r="AK41" i="6"/>
  <c r="AM41" i="6"/>
  <c r="AO41" i="6"/>
  <c r="AQ41" i="6"/>
  <c r="AS41" i="6"/>
  <c r="AL41" i="23"/>
  <c r="AN41" i="23"/>
  <c r="AP41" i="23"/>
  <c r="AR41" i="23"/>
  <c r="AK41" i="23"/>
  <c r="AM41" i="23"/>
  <c r="AO41" i="23"/>
  <c r="AQ41" i="23"/>
  <c r="AS41" i="23"/>
  <c r="AL41" i="24"/>
  <c r="AN41" i="24"/>
  <c r="AP41" i="24"/>
  <c r="AR41" i="24"/>
  <c r="AK41" i="24"/>
  <c r="AM41" i="24"/>
  <c r="AO41" i="24"/>
  <c r="AQ41" i="24"/>
  <c r="AS41" i="24"/>
  <c r="AL41" i="17"/>
  <c r="AN41" i="17"/>
  <c r="AP41" i="17"/>
  <c r="AR41" i="17"/>
  <c r="AK41" i="17"/>
  <c r="AM41" i="17"/>
  <c r="AO41" i="17"/>
  <c r="AQ41" i="17"/>
  <c r="AS41" i="17"/>
  <c r="AK41" i="19"/>
  <c r="AM41" i="19"/>
  <c r="AO41" i="19"/>
  <c r="AQ41" i="19"/>
  <c r="AS41" i="19"/>
  <c r="AL41" i="19"/>
  <c r="AN41" i="19"/>
  <c r="AP41" i="19"/>
  <c r="AR41" i="19"/>
  <c r="AL41" i="20"/>
  <c r="AN41" i="20"/>
  <c r="AP41" i="20"/>
  <c r="AR41" i="20"/>
  <c r="AK41" i="20"/>
  <c r="AM41" i="20"/>
  <c r="AO41" i="20"/>
  <c r="AQ41" i="20"/>
  <c r="AS41" i="20"/>
  <c r="T48" i="26"/>
  <c r="U48" i="26" s="1"/>
  <c r="T48" i="25"/>
  <c r="U48" i="25" s="1"/>
  <c r="H49" i="25"/>
  <c r="T46" i="6"/>
  <c r="U46" i="6" s="1"/>
  <c r="T48" i="6"/>
  <c r="U48" i="6" s="1"/>
  <c r="H49" i="6"/>
  <c r="T46" i="23"/>
  <c r="U46" i="23" s="1"/>
  <c r="T48" i="23"/>
  <c r="U48" i="23" s="1"/>
  <c r="T46" i="24"/>
  <c r="U46" i="24" s="1"/>
  <c r="T48" i="24"/>
  <c r="U48" i="24" s="1"/>
  <c r="H49" i="24"/>
  <c r="T46" i="17"/>
  <c r="U46" i="17" s="1"/>
  <c r="C41" i="17"/>
  <c r="T48" i="17"/>
  <c r="U48" i="17" s="1"/>
  <c r="H49" i="17"/>
  <c r="AK41" i="18"/>
  <c r="AM41" i="18"/>
  <c r="AO41" i="18"/>
  <c r="AQ41" i="18"/>
  <c r="AS41" i="18"/>
  <c r="T46" i="18"/>
  <c r="U46" i="18" s="1"/>
  <c r="AL41" i="18"/>
  <c r="AN41" i="18"/>
  <c r="AP41" i="18"/>
  <c r="AR41" i="18"/>
  <c r="C41" i="18"/>
  <c r="T48" i="18"/>
  <c r="U48" i="18" s="1"/>
  <c r="C41" i="19"/>
  <c r="T48" i="19"/>
  <c r="U48" i="19" s="1"/>
  <c r="T48" i="20"/>
  <c r="U48" i="20" s="1"/>
  <c r="E46" i="19" l="1"/>
  <c r="H46" i="19"/>
  <c r="H46" i="20"/>
  <c r="E46" i="20"/>
  <c r="E45" i="23"/>
  <c r="H45" i="6"/>
  <c r="H46" i="24"/>
  <c r="H45" i="19"/>
  <c r="E45" i="24"/>
  <c r="E46" i="23"/>
  <c r="E45" i="20"/>
  <c r="H46" i="17"/>
  <c r="E45" i="19"/>
  <c r="E45" i="17"/>
  <c r="H46" i="6"/>
  <c r="H45" i="20"/>
  <c r="B45" i="19"/>
  <c r="B45" i="24"/>
  <c r="H45" i="24"/>
  <c r="B45" i="23"/>
  <c r="B45" i="17"/>
  <c r="E45" i="6"/>
  <c r="B45" i="20"/>
  <c r="B45" i="6"/>
  <c r="E46" i="18"/>
  <c r="H46" i="18"/>
  <c r="E45" i="25"/>
  <c r="B45" i="25"/>
  <c r="H45" i="25"/>
  <c r="H46" i="25"/>
  <c r="H45" i="23"/>
  <c r="H45" i="17"/>
  <c r="E45" i="18"/>
  <c r="B45" i="18"/>
  <c r="H45" i="18"/>
  <c r="H48" i="21" l="1"/>
  <c r="E48" i="21"/>
  <c r="B48" i="21"/>
  <c r="H47" i="21"/>
  <c r="E47" i="21"/>
  <c r="B47" i="21"/>
  <c r="B46" i="21"/>
  <c r="AS40" i="21"/>
  <c r="AR40" i="21"/>
  <c r="AQ40" i="21"/>
  <c r="AP40" i="21"/>
  <c r="AO40" i="21"/>
  <c r="AN40" i="21"/>
  <c r="AM40" i="21"/>
  <c r="AL40" i="21"/>
  <c r="AK40" i="21"/>
  <c r="AH40" i="21"/>
  <c r="E49" i="21" s="1"/>
  <c r="AG40" i="21"/>
  <c r="AF40" i="21"/>
  <c r="B49" i="21" s="1"/>
  <c r="AS39" i="21"/>
  <c r="AR39" i="21"/>
  <c r="AQ39" i="21"/>
  <c r="AP39" i="21"/>
  <c r="AO39" i="21"/>
  <c r="AN39" i="21"/>
  <c r="AM39" i="21"/>
  <c r="AL39" i="21"/>
  <c r="AK39" i="21"/>
  <c r="AJ39" i="21"/>
  <c r="AJ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3" i="21" s="1"/>
  <c r="U53" i="21" s="1"/>
  <c r="G39" i="21"/>
  <c r="T47" i="21" s="1"/>
  <c r="U47" i="21" s="1"/>
  <c r="F39" i="21"/>
  <c r="E39" i="21"/>
  <c r="D39" i="21"/>
  <c r="B39" i="21"/>
  <c r="AI40" i="21" l="1"/>
  <c r="H46" i="21" s="1"/>
  <c r="T49" i="21"/>
  <c r="U49" i="21" s="1"/>
  <c r="T52" i="21"/>
  <c r="U52" i="21" s="1"/>
  <c r="T51" i="21"/>
  <c r="U51" i="21" s="1"/>
  <c r="T55" i="21"/>
  <c r="U55" i="21" s="1"/>
  <c r="T54" i="21"/>
  <c r="U54" i="21" s="1"/>
  <c r="AL41" i="21"/>
  <c r="AN41" i="21"/>
  <c r="AP41" i="21"/>
  <c r="AR41" i="21"/>
  <c r="AK41" i="21"/>
  <c r="AM41" i="21"/>
  <c r="AO41" i="21"/>
  <c r="AQ41" i="21"/>
  <c r="AS41" i="21"/>
  <c r="T46" i="21"/>
  <c r="U46" i="21" s="1"/>
  <c r="T45" i="21"/>
  <c r="U45" i="21" s="1"/>
  <c r="T48" i="21"/>
  <c r="U48" i="21" s="1"/>
  <c r="H49" i="21"/>
  <c r="E46" i="21" l="1"/>
  <c r="E45" i="21"/>
  <c r="B45" i="21"/>
  <c r="H45" i="21"/>
  <c r="H48" i="22" l="1"/>
  <c r="E48" i="22"/>
  <c r="B48" i="22"/>
  <c r="H47" i="22"/>
  <c r="E47" i="22"/>
  <c r="B47" i="22"/>
  <c r="B46" i="22"/>
  <c r="AS40" i="22"/>
  <c r="AR40" i="22"/>
  <c r="AQ40" i="22"/>
  <c r="AP40" i="22"/>
  <c r="AO40" i="22"/>
  <c r="AN40" i="22"/>
  <c r="AM40" i="22"/>
  <c r="AL40" i="22"/>
  <c r="AK40" i="22"/>
  <c r="AH40" i="22"/>
  <c r="E49" i="22" s="1"/>
  <c r="AG40" i="22"/>
  <c r="AF40" i="22"/>
  <c r="B49" i="22" s="1"/>
  <c r="AS39" i="22"/>
  <c r="AR39" i="22"/>
  <c r="AQ39" i="22"/>
  <c r="AP39" i="22"/>
  <c r="AO39" i="22"/>
  <c r="AN39" i="22"/>
  <c r="AM39" i="22"/>
  <c r="AL39" i="22"/>
  <c r="AK39" i="22"/>
  <c r="AJ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3" i="22" s="1"/>
  <c r="U53" i="22" s="1"/>
  <c r="G39" i="22"/>
  <c r="T47" i="22" s="1"/>
  <c r="U47" i="22" s="1"/>
  <c r="F39" i="22"/>
  <c r="E39" i="22"/>
  <c r="D39" i="22"/>
  <c r="C39" i="22"/>
  <c r="B39" i="22"/>
  <c r="AI40" i="22" l="1"/>
  <c r="H46" i="22" s="1"/>
  <c r="T55" i="22"/>
  <c r="U55" i="22" s="1"/>
  <c r="T49" i="22"/>
  <c r="U49" i="22" s="1"/>
  <c r="T54" i="22"/>
  <c r="U54" i="22" s="1"/>
  <c r="AJ41" i="22"/>
  <c r="T52" i="22"/>
  <c r="U52" i="22" s="1"/>
  <c r="T51" i="22"/>
  <c r="U51" i="22" s="1"/>
  <c r="T45" i="22"/>
  <c r="U45" i="22" s="1"/>
  <c r="AL41" i="22"/>
  <c r="AN41" i="22"/>
  <c r="AP41" i="22"/>
  <c r="AR41" i="22"/>
  <c r="AK41" i="22"/>
  <c r="AM41" i="22"/>
  <c r="AO41" i="22"/>
  <c r="AQ41" i="22"/>
  <c r="AS41" i="22"/>
  <c r="T46" i="22"/>
  <c r="U46" i="22" s="1"/>
  <c r="T48" i="22"/>
  <c r="U48" i="22" s="1"/>
  <c r="H49" i="22"/>
  <c r="H48" i="16"/>
  <c r="E48" i="16"/>
  <c r="B48" i="16"/>
  <c r="E46" i="22" l="1"/>
  <c r="B45" i="22"/>
  <c r="H45" i="22"/>
  <c r="E45" i="22"/>
  <c r="B46" i="16"/>
  <c r="B47" i="16" l="1"/>
  <c r="AS40" i="16"/>
  <c r="AR40" i="16"/>
  <c r="AQ40" i="16"/>
  <c r="AP40" i="16"/>
  <c r="AO40" i="16"/>
  <c r="AN40" i="16"/>
  <c r="AM40" i="16"/>
  <c r="AL40" i="16"/>
  <c r="AK40" i="16"/>
  <c r="H47" i="16"/>
  <c r="E47" i="16"/>
  <c r="AB26" i="28" l="1"/>
  <c r="AC26" i="28"/>
  <c r="AD26" i="28"/>
  <c r="AA26" i="28"/>
  <c r="K40" i="20" l="1"/>
  <c r="K41" i="20" s="1"/>
  <c r="L20" i="27" s="1"/>
  <c r="K40" i="21"/>
  <c r="K41" i="21" s="1"/>
  <c r="L19" i="27" s="1"/>
  <c r="K40" i="22"/>
  <c r="K41" i="22" s="1"/>
  <c r="L18" i="27" s="1"/>
  <c r="E40" i="20"/>
  <c r="E41" i="20" s="1"/>
  <c r="F20" i="27" s="1"/>
  <c r="E40" i="21"/>
  <c r="E41" i="21" s="1"/>
  <c r="F19" i="27" s="1"/>
  <c r="E40" i="22"/>
  <c r="E41" i="22" s="1"/>
  <c r="F18" i="27" s="1"/>
  <c r="K40" i="16"/>
  <c r="K40" i="23"/>
  <c r="K41" i="23" s="1"/>
  <c r="L25" i="27" s="1"/>
  <c r="K40" i="24"/>
  <c r="K41" i="24" s="1"/>
  <c r="E40" i="16"/>
  <c r="E40" i="23"/>
  <c r="E41" i="23" s="1"/>
  <c r="F25" i="27" s="1"/>
  <c r="E40" i="24"/>
  <c r="E41" i="24" s="1"/>
  <c r="F24" i="27" s="1"/>
  <c r="K40" i="26"/>
  <c r="K40" i="25"/>
  <c r="K41" i="25" s="1"/>
  <c r="K40" i="6"/>
  <c r="K41" i="6" s="1"/>
  <c r="E40" i="26"/>
  <c r="E40" i="25"/>
  <c r="E41" i="25" s="1"/>
  <c r="E40" i="6"/>
  <c r="E41" i="6" s="1"/>
  <c r="K40" i="17"/>
  <c r="K41" i="17" s="1"/>
  <c r="L23" i="27" s="1"/>
  <c r="K40" i="18"/>
  <c r="K41" i="18" s="1"/>
  <c r="L22" i="27" s="1"/>
  <c r="K40" i="19"/>
  <c r="K41" i="19" s="1"/>
  <c r="L21" i="27" s="1"/>
  <c r="E40" i="17"/>
  <c r="E41" i="17" s="1"/>
  <c r="F23" i="27" s="1"/>
  <c r="E40" i="18"/>
  <c r="E41" i="18" s="1"/>
  <c r="F22" i="27" s="1"/>
  <c r="E40" i="19"/>
  <c r="E41" i="19" s="1"/>
  <c r="F21" i="27" s="1"/>
  <c r="AG24" i="28"/>
  <c r="AH24" i="28"/>
  <c r="AI24" i="28"/>
  <c r="AF24" i="28"/>
  <c r="AI31" i="28"/>
  <c r="AH31" i="28"/>
  <c r="AG31" i="28"/>
  <c r="AF31" i="28"/>
  <c r="AD31" i="28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L24" i="27"/>
  <c r="P24" i="27"/>
  <c r="Q24" i="27"/>
  <c r="R24" i="27"/>
  <c r="S24" i="27"/>
  <c r="AB24" i="27"/>
  <c r="AH10" i="27"/>
  <c r="AI10" i="27"/>
  <c r="AJ10" i="27"/>
  <c r="AK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H9" i="27"/>
  <c r="AI9" i="27"/>
  <c r="AJ9" i="27"/>
  <c r="AK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H8" i="27"/>
  <c r="AI8" i="27"/>
  <c r="AJ8" i="27"/>
  <c r="AK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P21" i="27"/>
  <c r="Q21" i="27"/>
  <c r="R21" i="27"/>
  <c r="S21" i="27"/>
  <c r="T21" i="27"/>
  <c r="U21" i="27"/>
  <c r="AB21" i="27"/>
  <c r="AH7" i="27"/>
  <c r="AI7" i="27"/>
  <c r="AJ7" i="27"/>
  <c r="AK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H6" i="27"/>
  <c r="AI6" i="27"/>
  <c r="AJ6" i="27"/>
  <c r="AK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P19" i="27"/>
  <c r="Q19" i="27"/>
  <c r="R19" i="27"/>
  <c r="S19" i="27"/>
  <c r="AB19" i="27"/>
  <c r="AH5" i="27"/>
  <c r="AI5" i="27"/>
  <c r="AJ5" i="27"/>
  <c r="AK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H11" i="27"/>
  <c r="AI11" i="27"/>
  <c r="AJ11" i="27"/>
  <c r="AK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H30" i="27"/>
  <c r="AI30" i="27"/>
  <c r="AJ30" i="27"/>
  <c r="AK30" i="27"/>
  <c r="AH4" i="27"/>
  <c r="AI4" i="27"/>
  <c r="AJ4" i="27"/>
  <c r="AK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16"/>
  <c r="W40" i="23"/>
  <c r="W41" i="23" s="1"/>
  <c r="X25" i="27" s="1"/>
  <c r="W40" i="24"/>
  <c r="W41" i="24" s="1"/>
  <c r="X40" i="16"/>
  <c r="X40" i="23"/>
  <c r="X41" i="23" s="1"/>
  <c r="Y25" i="27" s="1"/>
  <c r="X40" i="24"/>
  <c r="X41" i="24" s="1"/>
  <c r="N40" i="20"/>
  <c r="N41" i="20" s="1"/>
  <c r="O20" i="27" s="1"/>
  <c r="F40" i="20"/>
  <c r="F41" i="20" s="1"/>
  <c r="M40" i="21"/>
  <c r="M41" i="21" s="1"/>
  <c r="N40" i="22"/>
  <c r="N41" i="22" s="1"/>
  <c r="O18" i="27" s="1"/>
  <c r="F40" i="22"/>
  <c r="F41" i="22" s="1"/>
  <c r="M40" i="20"/>
  <c r="M41" i="20" s="1"/>
  <c r="F40" i="21"/>
  <c r="F41" i="21" s="1"/>
  <c r="M40" i="22"/>
  <c r="M41" i="22" s="1"/>
  <c r="N40" i="21"/>
  <c r="N41" i="21" s="1"/>
  <c r="O19" i="27" s="1"/>
  <c r="N40" i="16"/>
  <c r="F40" i="16"/>
  <c r="M40" i="23"/>
  <c r="M41" i="23" s="1"/>
  <c r="N25" i="27" s="1"/>
  <c r="N40" i="24"/>
  <c r="N41" i="24" s="1"/>
  <c r="O24" i="27" s="1"/>
  <c r="F40" i="24"/>
  <c r="F41" i="24" s="1"/>
  <c r="N40" i="23"/>
  <c r="N41" i="23" s="1"/>
  <c r="O25" i="27" s="1"/>
  <c r="F40" i="23"/>
  <c r="F41" i="23" s="1"/>
  <c r="G25" i="27" s="1"/>
  <c r="M40" i="16"/>
  <c r="M40" i="24"/>
  <c r="M41" i="24" s="1"/>
  <c r="M40" i="26"/>
  <c r="N40" i="26"/>
  <c r="F40" i="26"/>
  <c r="G40" i="21"/>
  <c r="G41" i="21" s="1"/>
  <c r="H19" i="27" s="1"/>
  <c r="G40" i="22"/>
  <c r="G41" i="22" s="1"/>
  <c r="H18" i="27" s="1"/>
  <c r="G40" i="20"/>
  <c r="G41" i="20" s="1"/>
  <c r="H20" i="27" s="1"/>
  <c r="G40" i="16"/>
  <c r="G40" i="24"/>
  <c r="G41" i="24" s="1"/>
  <c r="H24" i="27" s="1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40" i="16"/>
  <c r="L40" i="24"/>
  <c r="L41" i="24" s="1"/>
  <c r="M24" i="27" s="1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V40" i="16"/>
  <c r="AB40" i="23"/>
  <c r="AB41" i="23" s="1"/>
  <c r="AC25" i="27" s="1"/>
  <c r="U40" i="23"/>
  <c r="U41" i="23" s="1"/>
  <c r="V25" i="27" s="1"/>
  <c r="V40" i="24"/>
  <c r="V41" i="24" s="1"/>
  <c r="W24" i="27" s="1"/>
  <c r="AB40" i="16"/>
  <c r="U40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C40" i="26"/>
  <c r="S40" i="25"/>
  <c r="S41" i="25" s="1"/>
  <c r="C40" i="25"/>
  <c r="C41" i="25" s="1"/>
  <c r="S40" i="6"/>
  <c r="S41" i="6" s="1"/>
  <c r="C40" i="6"/>
  <c r="C41" i="6" s="1"/>
  <c r="T40" i="26"/>
  <c r="J40" i="26"/>
  <c r="T40" i="25"/>
  <c r="T41" i="25" s="1"/>
  <c r="J40" i="25"/>
  <c r="J41" i="25" s="1"/>
  <c r="T40" i="6"/>
  <c r="T41" i="6" s="1"/>
  <c r="J40" i="6"/>
  <c r="J41" i="6" s="1"/>
  <c r="H40" i="18"/>
  <c r="H41" i="18" s="1"/>
  <c r="I22" i="27" s="1"/>
  <c r="H40" i="17"/>
  <c r="H41" i="17" s="1"/>
  <c r="I23" i="27" s="1"/>
  <c r="H40" i="19"/>
  <c r="H41" i="19" s="1"/>
  <c r="I21" i="27" s="1"/>
  <c r="H40" i="25"/>
  <c r="H41" i="25" s="1"/>
  <c r="H40" i="26"/>
  <c r="H40" i="6"/>
  <c r="H41" i="6" s="1"/>
  <c r="I40" i="17"/>
  <c r="I41" i="17" s="1"/>
  <c r="J23" i="27" s="1"/>
  <c r="AC40" i="18"/>
  <c r="AC41" i="18" s="1"/>
  <c r="AD22" i="27" s="1"/>
  <c r="B40" i="18"/>
  <c r="B41" i="18" s="1"/>
  <c r="I40" i="19"/>
  <c r="I41" i="19" s="1"/>
  <c r="J21" i="27" s="1"/>
  <c r="AC40" i="17"/>
  <c r="AC41" i="17" s="1"/>
  <c r="AD23" i="27" s="1"/>
  <c r="B40" i="17"/>
  <c r="B41" i="17" s="1"/>
  <c r="I40" i="18"/>
  <c r="I41" i="18" s="1"/>
  <c r="J22" i="27" s="1"/>
  <c r="AC40" i="19"/>
  <c r="AC41" i="19" s="1"/>
  <c r="AD21" i="27" s="1"/>
  <c r="B40" i="19"/>
  <c r="B41" i="19" s="1"/>
  <c r="I40" i="26"/>
  <c r="AC40" i="25"/>
  <c r="AC41" i="25" s="1"/>
  <c r="B40" i="25"/>
  <c r="B41" i="25" s="1"/>
  <c r="I40" i="6"/>
  <c r="I41" i="6" s="1"/>
  <c r="AC40" i="26"/>
  <c r="B40" i="26"/>
  <c r="B41" i="26" s="1"/>
  <c r="I40" i="25"/>
  <c r="I41" i="25" s="1"/>
  <c r="AC40" i="6"/>
  <c r="AC41" i="6" s="1"/>
  <c r="B40" i="6"/>
  <c r="B41" i="6" s="1"/>
  <c r="Y40" i="17"/>
  <c r="Y41" i="17" s="1"/>
  <c r="Z23" i="27" s="1"/>
  <c r="Z40" i="18"/>
  <c r="Z41" i="18" s="1"/>
  <c r="AA22" i="27" s="1"/>
  <c r="D40" i="18"/>
  <c r="D41" i="18" s="1"/>
  <c r="E22" i="27" s="1"/>
  <c r="Y40" i="19"/>
  <c r="Y41" i="19" s="1"/>
  <c r="Z21" i="27" s="1"/>
  <c r="D40" i="17"/>
  <c r="D41" i="17" s="1"/>
  <c r="E23" i="27" s="1"/>
  <c r="Z40" i="17"/>
  <c r="Z41" i="17" s="1"/>
  <c r="AA23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Z40" i="25"/>
  <c r="Z41" i="25" s="1"/>
  <c r="D40" i="25"/>
  <c r="D41" i="25" s="1"/>
  <c r="Z40" i="6"/>
  <c r="Z41" i="6" s="1"/>
  <c r="Z40" i="26"/>
  <c r="D40" i="26"/>
  <c r="Y40" i="25"/>
  <c r="Y41" i="25" s="1"/>
  <c r="D40" i="6"/>
  <c r="D41" i="6" s="1"/>
  <c r="Y40" i="6"/>
  <c r="Y41" i="6" s="1"/>
  <c r="W40" i="17"/>
  <c r="W41" i="17" s="1"/>
  <c r="W40" i="18"/>
  <c r="W41" i="18" s="1"/>
  <c r="W40" i="19"/>
  <c r="W41" i="19" s="1"/>
  <c r="X40" i="17"/>
  <c r="X41" i="17" s="1"/>
  <c r="X40" i="18"/>
  <c r="X41" i="18" s="1"/>
  <c r="X40" i="19"/>
  <c r="X41" i="19" s="1"/>
  <c r="W40" i="26"/>
  <c r="W40" i="25"/>
  <c r="W41" i="25" s="1"/>
  <c r="W40" i="6"/>
  <c r="W41" i="6" s="1"/>
  <c r="X40" i="25"/>
  <c r="X41" i="25" s="1"/>
  <c r="X40" i="26"/>
  <c r="X40" i="6"/>
  <c r="X41" i="6" s="1"/>
  <c r="M40" i="17"/>
  <c r="M41" i="17" s="1"/>
  <c r="N40" i="18"/>
  <c r="N41" i="18" s="1"/>
  <c r="O22" i="27" s="1"/>
  <c r="F40" i="18"/>
  <c r="F41" i="18" s="1"/>
  <c r="M40" i="19"/>
  <c r="M41" i="19" s="1"/>
  <c r="F40" i="17"/>
  <c r="F41" i="17" s="1"/>
  <c r="N40" i="19"/>
  <c r="N41" i="19" s="1"/>
  <c r="O21" i="27" s="1"/>
  <c r="N40" i="17"/>
  <c r="N41" i="17" s="1"/>
  <c r="O23" i="27" s="1"/>
  <c r="M40" i="18"/>
  <c r="M41" i="18" s="1"/>
  <c r="F40" i="19"/>
  <c r="F41" i="19" s="1"/>
  <c r="N40" i="25"/>
  <c r="N41" i="25" s="1"/>
  <c r="F40" i="25"/>
  <c r="F41" i="25" s="1"/>
  <c r="M40" i="6"/>
  <c r="M41" i="6" s="1"/>
  <c r="M40" i="25"/>
  <c r="M41" i="25" s="1"/>
  <c r="F40" i="6"/>
  <c r="F41" i="6" s="1"/>
  <c r="N40" i="6"/>
  <c r="N41" i="6" s="1"/>
  <c r="G40" i="17"/>
  <c r="G41" i="17" s="1"/>
  <c r="H23" i="27" s="1"/>
  <c r="G40" i="19"/>
  <c r="G41" i="19" s="1"/>
  <c r="H21" i="27" s="1"/>
  <c r="G40" i="18"/>
  <c r="G41" i="18" s="1"/>
  <c r="H22" i="27" s="1"/>
  <c r="G40" i="26"/>
  <c r="G40" i="6"/>
  <c r="G41" i="6" s="1"/>
  <c r="G40" i="25"/>
  <c r="G41" i="25" s="1"/>
  <c r="L40" i="17"/>
  <c r="L41" i="17" s="1"/>
  <c r="M23" i="27" s="1"/>
  <c r="L40" i="19"/>
  <c r="L41" i="19" s="1"/>
  <c r="M21" i="27" s="1"/>
  <c r="L40" i="18"/>
  <c r="L41" i="18" s="1"/>
  <c r="M22" i="27" s="1"/>
  <c r="L40" i="26"/>
  <c r="L41" i="26" s="1"/>
  <c r="L40" i="6"/>
  <c r="L41" i="6" s="1"/>
  <c r="L40" i="25"/>
  <c r="L41" i="25" s="1"/>
  <c r="AB40" i="17"/>
  <c r="AB41" i="17" s="1"/>
  <c r="AC23" i="27" s="1"/>
  <c r="U40" i="17"/>
  <c r="U41" i="17" s="1"/>
  <c r="V40" i="18"/>
  <c r="V41" i="18" s="1"/>
  <c r="AB40" i="19"/>
  <c r="AB41" i="19" s="1"/>
  <c r="AC21" i="27" s="1"/>
  <c r="U40" i="19"/>
  <c r="U41" i="19" s="1"/>
  <c r="V40" i="17"/>
  <c r="V41" i="17" s="1"/>
  <c r="AB40" i="18"/>
  <c r="AB41" i="18" s="1"/>
  <c r="AC22" i="27" s="1"/>
  <c r="U40" i="18"/>
  <c r="U41" i="18" s="1"/>
  <c r="V40" i="19"/>
  <c r="V41" i="19" s="1"/>
  <c r="AB40" i="26"/>
  <c r="U40" i="26"/>
  <c r="V40" i="25"/>
  <c r="V41" i="25" s="1"/>
  <c r="AB40" i="6"/>
  <c r="AB41" i="6" s="1"/>
  <c r="U40" i="6"/>
  <c r="U41" i="6" s="1"/>
  <c r="V40" i="26"/>
  <c r="AB40" i="25"/>
  <c r="AB41" i="25" s="1"/>
  <c r="U40" i="25"/>
  <c r="U41" i="25" s="1"/>
  <c r="V40" i="6"/>
  <c r="V41" i="6" s="1"/>
  <c r="S40" i="16"/>
  <c r="C40" i="16"/>
  <c r="S40" i="23"/>
  <c r="S41" i="23" s="1"/>
  <c r="C40" i="23"/>
  <c r="C41" i="23" s="1"/>
  <c r="D25" i="27" s="1"/>
  <c r="S40" i="24"/>
  <c r="S41" i="24" s="1"/>
  <c r="C40" i="24"/>
  <c r="C41" i="24" s="1"/>
  <c r="D24" i="27" s="1"/>
  <c r="T40" i="16"/>
  <c r="J40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40" i="21"/>
  <c r="H41" i="21" s="1"/>
  <c r="I19" i="27" s="1"/>
  <c r="H40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AC40" i="16"/>
  <c r="B40" i="16"/>
  <c r="I40" i="23"/>
  <c r="I41" i="23" s="1"/>
  <c r="J25" i="27" s="1"/>
  <c r="AC40" i="24"/>
  <c r="AC41" i="24" s="1"/>
  <c r="AD24" i="27" s="1"/>
  <c r="B40" i="24"/>
  <c r="B41" i="24" s="1"/>
  <c r="I40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D40" i="16"/>
  <c r="Y40" i="16"/>
  <c r="Z40" i="23"/>
  <c r="Z41" i="23" s="1"/>
  <c r="AA25" i="27" s="1"/>
  <c r="Z40" i="24"/>
  <c r="Z41" i="24" s="1"/>
  <c r="AA24" i="27" s="1"/>
  <c r="D40" i="24"/>
  <c r="D41" i="24" s="1"/>
  <c r="E24" i="27" s="1"/>
  <c r="Z40" i="16"/>
  <c r="D40" i="23"/>
  <c r="D41" i="23" s="1"/>
  <c r="E25" i="27" s="1"/>
  <c r="Y40" i="23"/>
  <c r="Y41" i="23" s="1"/>
  <c r="Z25" i="27" s="1"/>
  <c r="Y40" i="24"/>
  <c r="Y41" i="24" s="1"/>
  <c r="Z24" i="27" s="1"/>
  <c r="AJ14" i="27"/>
  <c r="AH14" i="27"/>
  <c r="M39" i="16"/>
  <c r="B39" i="16"/>
  <c r="AJ13" i="27"/>
  <c r="AH13" i="27"/>
  <c r="B44" i="23" l="1"/>
  <c r="C25" i="27"/>
  <c r="B44" i="22"/>
  <c r="C18" i="27"/>
  <c r="E44" i="24"/>
  <c r="E51" i="24" s="1"/>
  <c r="U24" i="27"/>
  <c r="E44" i="23"/>
  <c r="E51" i="23" s="1"/>
  <c r="U25" i="27"/>
  <c r="H44" i="24"/>
  <c r="H51" i="24" s="1"/>
  <c r="T24" i="27"/>
  <c r="H44" i="23"/>
  <c r="H51" i="23" s="1"/>
  <c r="T25" i="27"/>
  <c r="E44" i="19"/>
  <c r="E51" i="19" s="1"/>
  <c r="W21" i="27"/>
  <c r="H44" i="19"/>
  <c r="H51" i="19" s="1"/>
  <c r="V21" i="27"/>
  <c r="E44" i="18"/>
  <c r="E51" i="18" s="1"/>
  <c r="W22" i="27"/>
  <c r="B44" i="17"/>
  <c r="C23" i="27"/>
  <c r="H44" i="20"/>
  <c r="H51" i="20" s="1"/>
  <c r="V20" i="27"/>
  <c r="B44" i="6"/>
  <c r="B44" i="25"/>
  <c r="B44" i="24"/>
  <c r="C24" i="27"/>
  <c r="B44" i="21"/>
  <c r="C19" i="27"/>
  <c r="B44" i="20"/>
  <c r="C20" i="27"/>
  <c r="H44" i="18"/>
  <c r="H51" i="18" s="1"/>
  <c r="V22" i="27"/>
  <c r="E44" i="17"/>
  <c r="E51" i="17" s="1"/>
  <c r="W23" i="27"/>
  <c r="H44" i="17"/>
  <c r="H51" i="17" s="1"/>
  <c r="V23" i="27"/>
  <c r="B44" i="19"/>
  <c r="C21" i="27"/>
  <c r="B44" i="18"/>
  <c r="C22" i="27"/>
  <c r="H44" i="22"/>
  <c r="H51" i="22" s="1"/>
  <c r="T18" i="27"/>
  <c r="H44" i="21"/>
  <c r="H51" i="21" s="1"/>
  <c r="T19" i="27"/>
  <c r="E44" i="22"/>
  <c r="E51" i="22" s="1"/>
  <c r="U18" i="27"/>
  <c r="E44" i="21"/>
  <c r="E51" i="21" s="1"/>
  <c r="U19" i="27"/>
  <c r="E44" i="20"/>
  <c r="E51" i="20" s="1"/>
  <c r="U20" i="27"/>
  <c r="E44" i="6"/>
  <c r="E51" i="6" s="1"/>
  <c r="E44" i="25"/>
  <c r="H44" i="6"/>
  <c r="H51" i="6" s="1"/>
  <c r="H44" i="25"/>
  <c r="C29" i="27"/>
  <c r="C15" i="27"/>
  <c r="M29" i="27"/>
  <c r="M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K14" i="27"/>
  <c r="AI14" i="27"/>
  <c r="Z27" i="27"/>
  <c r="Z13" i="27"/>
  <c r="AB27" i="27"/>
  <c r="AB13" i="27"/>
  <c r="AD13" i="27"/>
  <c r="AI13" i="27"/>
  <c r="AK13" i="27"/>
  <c r="Y27" i="27"/>
  <c r="Y13" i="27"/>
  <c r="AA27" i="27"/>
  <c r="AA13" i="27"/>
  <c r="AC13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1" i="16"/>
  <c r="C12" i="27"/>
  <c r="M41" i="16"/>
  <c r="N12" i="27"/>
  <c r="B51" i="20" l="1"/>
  <c r="B52" i="20" s="1"/>
  <c r="C35" i="27" s="1"/>
  <c r="B51" i="25"/>
  <c r="B52" i="25" s="1"/>
  <c r="C43" i="27" s="1"/>
  <c r="H51" i="25"/>
  <c r="H52" i="25" s="1"/>
  <c r="E43" i="27" s="1"/>
  <c r="E51" i="25"/>
  <c r="E52" i="25" s="1"/>
  <c r="D43" i="27" s="1"/>
  <c r="B51" i="6"/>
  <c r="B52" i="6" s="1"/>
  <c r="C42" i="27" s="1"/>
  <c r="B51" i="23"/>
  <c r="B52" i="23" s="1"/>
  <c r="C40" i="27" s="1"/>
  <c r="B51" i="24"/>
  <c r="B52" i="24" s="1"/>
  <c r="C39" i="27" s="1"/>
  <c r="B51" i="17"/>
  <c r="B52" i="17" s="1"/>
  <c r="C38" i="27" s="1"/>
  <c r="B51" i="18"/>
  <c r="B52" i="18" s="1"/>
  <c r="C37" i="27" s="1"/>
  <c r="B51" i="19"/>
  <c r="B52" i="19" s="1"/>
  <c r="C36" i="27" s="1"/>
  <c r="B51" i="21"/>
  <c r="B52" i="21" s="1"/>
  <c r="C34" i="27" s="1"/>
  <c r="B51" i="22"/>
  <c r="B52" i="22" s="1"/>
  <c r="C33" i="27" s="1"/>
  <c r="E52" i="22"/>
  <c r="D33" i="27" s="1"/>
  <c r="F52" i="22"/>
  <c r="H52" i="22"/>
  <c r="E33" i="27" s="1"/>
  <c r="I52" i="22"/>
  <c r="E52" i="18"/>
  <c r="D37" i="27" s="1"/>
  <c r="F51" i="18"/>
  <c r="E52" i="19"/>
  <c r="D36" i="27" s="1"/>
  <c r="F52" i="19"/>
  <c r="H52" i="19"/>
  <c r="E36" i="27" s="1"/>
  <c r="I52" i="19"/>
  <c r="H52" i="20"/>
  <c r="E35" i="27" s="1"/>
  <c r="I51" i="20"/>
  <c r="E52" i="20"/>
  <c r="D35" i="27" s="1"/>
  <c r="F51" i="20"/>
  <c r="E52" i="21"/>
  <c r="D34" i="27" s="1"/>
  <c r="F52" i="21"/>
  <c r="H52" i="21"/>
  <c r="E34" i="27" s="1"/>
  <c r="I52" i="21"/>
  <c r="E52" i="6"/>
  <c r="D42" i="27" s="1"/>
  <c r="F52" i="6"/>
  <c r="H52" i="6"/>
  <c r="E42" i="27" s="1"/>
  <c r="I52" i="6"/>
  <c r="H52" i="23"/>
  <c r="E40" i="27" s="1"/>
  <c r="I52" i="23"/>
  <c r="E52" i="23"/>
  <c r="D40" i="27" s="1"/>
  <c r="F52" i="23"/>
  <c r="H52" i="17"/>
  <c r="E38" i="27" s="1"/>
  <c r="I49" i="17"/>
  <c r="E52" i="17"/>
  <c r="D38" i="27" s="1"/>
  <c r="F49" i="17"/>
  <c r="H52" i="24"/>
  <c r="E39" i="27" s="1"/>
  <c r="I49" i="24"/>
  <c r="E52" i="24"/>
  <c r="D39" i="27" s="1"/>
  <c r="F49" i="24"/>
  <c r="H52" i="18"/>
  <c r="E37" i="27" s="1"/>
  <c r="I51" i="18"/>
  <c r="N26" i="27"/>
  <c r="AD28" i="27"/>
  <c r="V28" i="27"/>
  <c r="J28" i="27"/>
  <c r="AC28" i="27"/>
  <c r="C27" i="27"/>
  <c r="C13" i="27"/>
  <c r="C17" i="27" s="1"/>
  <c r="C6" i="28" s="1"/>
  <c r="E27" i="27"/>
  <c r="E13" i="27"/>
  <c r="G27" i="27"/>
  <c r="G13" i="27"/>
  <c r="I27" i="27"/>
  <c r="I13" i="27"/>
  <c r="K27" i="27"/>
  <c r="K13" i="27"/>
  <c r="M27" i="27"/>
  <c r="M13" i="27"/>
  <c r="O27" i="27"/>
  <c r="O13" i="27"/>
  <c r="Q27" i="27"/>
  <c r="Q13" i="27"/>
  <c r="S27" i="27"/>
  <c r="S13" i="27"/>
  <c r="U27" i="27"/>
  <c r="U13" i="27"/>
  <c r="W27" i="27"/>
  <c r="W13" i="27"/>
  <c r="AC27" i="27"/>
  <c r="AD27" i="27"/>
  <c r="D27" i="27"/>
  <c r="D13" i="27"/>
  <c r="F27" i="27"/>
  <c r="F13" i="27"/>
  <c r="H27" i="27"/>
  <c r="H13" i="27"/>
  <c r="J27" i="27"/>
  <c r="J13" i="27"/>
  <c r="L27" i="27"/>
  <c r="L13" i="27"/>
  <c r="N27" i="27"/>
  <c r="N13" i="27"/>
  <c r="P27" i="27"/>
  <c r="P13" i="27"/>
  <c r="R27" i="27"/>
  <c r="R13" i="27"/>
  <c r="T27" i="27"/>
  <c r="T13" i="27"/>
  <c r="V27" i="27"/>
  <c r="V13" i="27"/>
  <c r="X27" i="27"/>
  <c r="X13" i="27"/>
  <c r="C26" i="27"/>
  <c r="C30" i="27" l="1"/>
  <c r="C10" i="28" s="1"/>
  <c r="C7" i="28"/>
  <c r="C9" i="28" s="1"/>
  <c r="AB39" i="26" l="1"/>
  <c r="AA39" i="26"/>
  <c r="K39" i="26"/>
  <c r="G39" i="26"/>
  <c r="J39" i="26" l="1"/>
  <c r="D39" i="26"/>
  <c r="AF40" i="26"/>
  <c r="AA41" i="26"/>
  <c r="AB29" i="27" s="1"/>
  <c r="AB15" i="27"/>
  <c r="N39" i="26"/>
  <c r="M39" i="26"/>
  <c r="F39" i="26"/>
  <c r="K41" i="26"/>
  <c r="L29" i="27" s="1"/>
  <c r="L15" i="27"/>
  <c r="H39" i="26"/>
  <c r="AB41" i="26"/>
  <c r="AC29" i="27" s="1"/>
  <c r="AC15" i="27"/>
  <c r="T47" i="26"/>
  <c r="U47" i="26" s="1"/>
  <c r="G41" i="26"/>
  <c r="H29" i="27" s="1"/>
  <c r="H15" i="27"/>
  <c r="E39" i="26"/>
  <c r="I39" i="26"/>
  <c r="AC39" i="26"/>
  <c r="AK39" i="26" l="1"/>
  <c r="AK41" i="26" s="1"/>
  <c r="T49" i="26"/>
  <c r="U49" i="26" s="1"/>
  <c r="E41" i="26"/>
  <c r="F29" i="27" s="1"/>
  <c r="F15" i="27"/>
  <c r="E15" i="27"/>
  <c r="D41" i="26"/>
  <c r="E29" i="27" s="1"/>
  <c r="T46" i="26"/>
  <c r="U46" i="26" s="1"/>
  <c r="N15" i="27"/>
  <c r="N17" i="27" s="1"/>
  <c r="U6" i="28" s="1"/>
  <c r="M41" i="26"/>
  <c r="N29" i="27" s="1"/>
  <c r="N30" i="27" s="1"/>
  <c r="U10" i="28" s="1"/>
  <c r="AH40" i="26"/>
  <c r="AL39" i="26"/>
  <c r="AL41" i="26" s="1"/>
  <c r="T53" i="26"/>
  <c r="U53" i="26" s="1"/>
  <c r="H41" i="26"/>
  <c r="I29" i="27" s="1"/>
  <c r="I15" i="27"/>
  <c r="J41" i="26"/>
  <c r="K29" i="27" s="1"/>
  <c r="K15" i="27"/>
  <c r="T54" i="26"/>
  <c r="U54" i="26" s="1"/>
  <c r="I41" i="26"/>
  <c r="J15" i="27"/>
  <c r="AD15" i="27"/>
  <c r="AC41" i="26"/>
  <c r="AD29" i="27" s="1"/>
  <c r="G15" i="27"/>
  <c r="F41" i="26"/>
  <c r="G29" i="27" s="1"/>
  <c r="D15" i="27"/>
  <c r="C41" i="26"/>
  <c r="N41" i="26"/>
  <c r="O29" i="27" s="1"/>
  <c r="O15" i="27"/>
  <c r="B49" i="26"/>
  <c r="AH15" i="27"/>
  <c r="D29" i="27" l="1"/>
  <c r="J29" i="27"/>
  <c r="AG40" i="26"/>
  <c r="AI40" i="26" s="1"/>
  <c r="W39" i="26"/>
  <c r="X39" i="26"/>
  <c r="V39" i="26"/>
  <c r="Q39" i="26"/>
  <c r="P39" i="26"/>
  <c r="Z39" i="26"/>
  <c r="T39" i="26"/>
  <c r="R39" i="26"/>
  <c r="O39" i="26"/>
  <c r="Y39" i="26"/>
  <c r="U39" i="26"/>
  <c r="S39" i="26"/>
  <c r="U7" i="28"/>
  <c r="E49" i="26"/>
  <c r="AJ15" i="27"/>
  <c r="T51" i="26" l="1"/>
  <c r="U51" i="26" s="1"/>
  <c r="U41" i="26"/>
  <c r="V29" i="27" s="1"/>
  <c r="V15" i="27"/>
  <c r="T41" i="26"/>
  <c r="U29" i="27" s="1"/>
  <c r="U15" i="27"/>
  <c r="V41" i="26"/>
  <c r="W29" i="27" s="1"/>
  <c r="W15" i="27"/>
  <c r="Y41" i="26"/>
  <c r="Z29" i="27" s="1"/>
  <c r="Z15" i="27"/>
  <c r="T55" i="26"/>
  <c r="U55" i="26" s="1"/>
  <c r="Z41" i="26"/>
  <c r="AA29" i="27" s="1"/>
  <c r="AA15" i="27"/>
  <c r="Y15" i="27"/>
  <c r="X41" i="26"/>
  <c r="Y29" i="27" s="1"/>
  <c r="U9" i="28"/>
  <c r="O41" i="26"/>
  <c r="P15" i="27"/>
  <c r="P41" i="26"/>
  <c r="Q15" i="27"/>
  <c r="T45" i="26"/>
  <c r="U45" i="26" s="1"/>
  <c r="X15" i="27"/>
  <c r="W41" i="26"/>
  <c r="X29" i="27" s="1"/>
  <c r="H49" i="26"/>
  <c r="AI15" i="27"/>
  <c r="T15" i="27"/>
  <c r="S41" i="26"/>
  <c r="T29" i="27" s="1"/>
  <c r="T52" i="26"/>
  <c r="U52" i="26" s="1"/>
  <c r="R41" i="26"/>
  <c r="S29" i="27" s="1"/>
  <c r="S15" i="27"/>
  <c r="Q41" i="26"/>
  <c r="R29" i="27" s="1"/>
  <c r="R15" i="27"/>
  <c r="Q29" i="27" l="1"/>
  <c r="E44" i="26"/>
  <c r="P29" i="27"/>
  <c r="H44" i="26"/>
  <c r="B44" i="26"/>
  <c r="H46" i="26"/>
  <c r="E46" i="26"/>
  <c r="AK15" i="27"/>
  <c r="AR39" i="26" l="1"/>
  <c r="AR41" i="26" s="1"/>
  <c r="AQ39" i="26" l="1"/>
  <c r="AQ41" i="26" s="1"/>
  <c r="AN39" i="26" l="1"/>
  <c r="AN41" i="26" s="1"/>
  <c r="AO39" i="26"/>
  <c r="AO41" i="26" s="1"/>
  <c r="AJ39" i="26"/>
  <c r="AJ41" i="26" l="1"/>
  <c r="AM39" i="26" l="1"/>
  <c r="AM41" i="26" l="1"/>
  <c r="AP39" i="26" l="1"/>
  <c r="AS39" i="26"/>
  <c r="AS41" i="26" s="1"/>
  <c r="AP41" i="26" l="1"/>
  <c r="E45" i="26" l="1"/>
  <c r="B45" i="26"/>
  <c r="H45" i="26"/>
  <c r="B51" i="26" l="1"/>
  <c r="B52" i="26" s="1"/>
  <c r="C44" i="27" s="1"/>
  <c r="H51" i="26"/>
  <c r="H52" i="26" s="1"/>
  <c r="E44" i="27" s="1"/>
  <c r="E51" i="26"/>
  <c r="E52" i="26" s="1"/>
  <c r="D44" i="27" s="1"/>
  <c r="AB39" i="16" l="1"/>
  <c r="AB41" i="16" s="1"/>
  <c r="AC26" i="27" s="1"/>
  <c r="AC30" i="27" s="1"/>
  <c r="AD10" i="28" s="1"/>
  <c r="AC12" i="27" l="1"/>
  <c r="AC17" i="27" s="1"/>
  <c r="AA39" i="16"/>
  <c r="AA41" i="16" s="1"/>
  <c r="AB26" i="27" s="1"/>
  <c r="AB30" i="27" s="1"/>
  <c r="H39" i="16"/>
  <c r="H41" i="16" s="1"/>
  <c r="I26" i="27" s="1"/>
  <c r="I30" i="27" s="1"/>
  <c r="I10" i="28" s="1"/>
  <c r="C39" i="16"/>
  <c r="V39" i="16"/>
  <c r="I12" i="27" l="1"/>
  <c r="I17" i="27" s="1"/>
  <c r="I6" i="28" s="1"/>
  <c r="I7" i="28" s="1"/>
  <c r="T53" i="16"/>
  <c r="U53" i="16" s="1"/>
  <c r="AB12" i="27"/>
  <c r="AB17" i="27" s="1"/>
  <c r="AK39" i="16"/>
  <c r="AK41" i="16" s="1"/>
  <c r="AL39" i="16"/>
  <c r="AL41" i="16" s="1"/>
  <c r="P39" i="16"/>
  <c r="Q12" i="27" s="1"/>
  <c r="Q17" i="27" s="1"/>
  <c r="J6" i="28" s="1"/>
  <c r="AE40" i="16"/>
  <c r="AF12" i="27" s="1"/>
  <c r="AF17" i="27" s="1"/>
  <c r="K39" i="16"/>
  <c r="K41" i="16" s="1"/>
  <c r="L26" i="27" s="1"/>
  <c r="L30" i="27" s="1"/>
  <c r="S10" i="28" s="1"/>
  <c r="L39" i="16"/>
  <c r="T48" i="16" s="1"/>
  <c r="U48" i="16" s="1"/>
  <c r="G39" i="16"/>
  <c r="T47" i="16" s="1"/>
  <c r="U47" i="16" s="1"/>
  <c r="F39" i="16"/>
  <c r="F41" i="16" s="1"/>
  <c r="G26" i="27" s="1"/>
  <c r="G30" i="27" s="1"/>
  <c r="G10" i="28" s="1"/>
  <c r="J39" i="16"/>
  <c r="J41" i="16" s="1"/>
  <c r="K26" i="27" s="1"/>
  <c r="K30" i="27" s="1"/>
  <c r="R10" i="28" s="1"/>
  <c r="AF40" i="16"/>
  <c r="B49" i="16" s="1"/>
  <c r="AD40" i="16"/>
  <c r="H50" i="16" s="1"/>
  <c r="D39" i="16"/>
  <c r="E12" i="27" s="1"/>
  <c r="E17" i="27" s="1"/>
  <c r="E6" i="28" s="1"/>
  <c r="E39" i="16"/>
  <c r="N39" i="16"/>
  <c r="O12" i="27" s="1"/>
  <c r="O17" i="27" s="1"/>
  <c r="V6" i="28" s="1"/>
  <c r="X39" i="16"/>
  <c r="X41" i="16" s="1"/>
  <c r="Y26" i="27" s="1"/>
  <c r="Y30" i="27" s="1"/>
  <c r="N10" i="28" s="1"/>
  <c r="Q39" i="16"/>
  <c r="Q41" i="16" s="1"/>
  <c r="R26" i="27" s="1"/>
  <c r="R30" i="27" s="1"/>
  <c r="X10" i="28" s="1"/>
  <c r="U39" i="16"/>
  <c r="U41" i="16" s="1"/>
  <c r="V26" i="27" s="1"/>
  <c r="V30" i="27" s="1"/>
  <c r="Z10" i="28" s="1"/>
  <c r="C41" i="16"/>
  <c r="D12" i="27"/>
  <c r="D17" i="27" s="1"/>
  <c r="D6" i="28" s="1"/>
  <c r="W39" i="16"/>
  <c r="W41" i="16" s="1"/>
  <c r="X26" i="27" s="1"/>
  <c r="X30" i="27" s="1"/>
  <c r="AA10" i="28" s="1"/>
  <c r="O39" i="16"/>
  <c r="O41" i="16" s="1"/>
  <c r="R39" i="16"/>
  <c r="T39" i="16"/>
  <c r="S39" i="16"/>
  <c r="AC39" i="16"/>
  <c r="I39" i="16"/>
  <c r="Y39" i="16"/>
  <c r="Z39" i="16"/>
  <c r="AH12" i="27"/>
  <c r="AH17" i="27" s="1"/>
  <c r="AF6" i="28" s="1"/>
  <c r="W12" i="27"/>
  <c r="W17" i="27" s="1"/>
  <c r="M6" i="28" s="1"/>
  <c r="V41" i="16"/>
  <c r="W26" i="27" s="1"/>
  <c r="W30" i="27" s="1"/>
  <c r="M10" i="28" s="1"/>
  <c r="G12" i="27" l="1"/>
  <c r="G17" i="27" s="1"/>
  <c r="G6" i="28" s="1"/>
  <c r="D41" i="16"/>
  <c r="E26" i="27" s="1"/>
  <c r="E30" i="27" s="1"/>
  <c r="E10" i="28" s="1"/>
  <c r="N41" i="16"/>
  <c r="O26" i="27" s="1"/>
  <c r="O30" i="27" s="1"/>
  <c r="V10" i="28" s="1"/>
  <c r="P41" i="16"/>
  <c r="T49" i="16"/>
  <c r="U49" i="16" s="1"/>
  <c r="R12" i="27"/>
  <c r="R17" i="27" s="1"/>
  <c r="X6" i="28" s="1"/>
  <c r="X7" i="28" s="1"/>
  <c r="L12" i="27"/>
  <c r="L17" i="27" s="1"/>
  <c r="S6" i="28" s="1"/>
  <c r="S7" i="28" s="1"/>
  <c r="V12" i="27"/>
  <c r="V17" i="27" s="1"/>
  <c r="Z6" i="28" s="1"/>
  <c r="Z7" i="28" s="1"/>
  <c r="M12" i="27"/>
  <c r="M17" i="27" s="1"/>
  <c r="T6" i="28" s="1"/>
  <c r="T7" i="28" s="1"/>
  <c r="P12" i="27"/>
  <c r="P17" i="27" s="1"/>
  <c r="W6" i="28" s="1"/>
  <c r="W7" i="28" s="1"/>
  <c r="W9" i="28" s="1"/>
  <c r="E41" i="16"/>
  <c r="F26" i="27" s="1"/>
  <c r="F30" i="27" s="1"/>
  <c r="F10" i="28" s="1"/>
  <c r="Y12" i="27"/>
  <c r="Y17" i="27" s="1"/>
  <c r="N6" i="28" s="1"/>
  <c r="N7" i="28" s="1"/>
  <c r="K12" i="27"/>
  <c r="K17" i="27" s="1"/>
  <c r="R6" i="28" s="1"/>
  <c r="R7" i="28" s="1"/>
  <c r="G41" i="16"/>
  <c r="H26" i="27" s="1"/>
  <c r="H30" i="27" s="1"/>
  <c r="H10" i="28" s="1"/>
  <c r="AE12" i="27"/>
  <c r="AE17" i="27" s="1"/>
  <c r="H12" i="27"/>
  <c r="H17" i="27" s="1"/>
  <c r="H6" i="28" s="1"/>
  <c r="H7" i="28" s="1"/>
  <c r="X12" i="27"/>
  <c r="X17" i="27" s="1"/>
  <c r="AA6" i="28" s="1"/>
  <c r="AA7" i="28" s="1"/>
  <c r="T55" i="16"/>
  <c r="U55" i="16" s="1"/>
  <c r="T46" i="16"/>
  <c r="U46" i="16" s="1"/>
  <c r="F12" i="27"/>
  <c r="F17" i="27" s="1"/>
  <c r="F6" i="28" s="1"/>
  <c r="F7" i="28" s="1"/>
  <c r="F9" i="28" s="1"/>
  <c r="T52" i="16"/>
  <c r="U52" i="16" s="1"/>
  <c r="L41" i="16"/>
  <c r="M26" i="27" s="1"/>
  <c r="M30" i="27" s="1"/>
  <c r="T10" i="28" s="1"/>
  <c r="E50" i="16"/>
  <c r="B50" i="16" s="1"/>
  <c r="AG40" i="16"/>
  <c r="AI12" i="27" s="1"/>
  <c r="AI17" i="27" s="1"/>
  <c r="AH40" i="16"/>
  <c r="AJ12" i="27" s="1"/>
  <c r="AJ17" i="27" s="1"/>
  <c r="AH6" i="28" s="1"/>
  <c r="T51" i="16"/>
  <c r="U51" i="16" s="1"/>
  <c r="D26" i="27"/>
  <c r="D30" i="27" s="1"/>
  <c r="D10" i="28" s="1"/>
  <c r="T45" i="16"/>
  <c r="U45" i="16" s="1"/>
  <c r="D7" i="28"/>
  <c r="R41" i="16"/>
  <c r="S26" i="27" s="1"/>
  <c r="S30" i="27" s="1"/>
  <c r="K16" i="28" s="1"/>
  <c r="S12" i="27"/>
  <c r="S17" i="27" s="1"/>
  <c r="K6" i="28" s="1"/>
  <c r="H49" i="16"/>
  <c r="P26" i="27"/>
  <c r="P30" i="27" s="1"/>
  <c r="W10" i="28" s="1"/>
  <c r="M7" i="28"/>
  <c r="I9" i="28"/>
  <c r="V7" i="28"/>
  <c r="E7" i="28"/>
  <c r="AA12" i="27"/>
  <c r="AA17" i="27" s="1"/>
  <c r="O6" i="28" s="1"/>
  <c r="Z41" i="16"/>
  <c r="AA26" i="27" s="1"/>
  <c r="AA30" i="27" s="1"/>
  <c r="O10" i="28" s="1"/>
  <c r="Y41" i="16"/>
  <c r="Z26" i="27" s="1"/>
  <c r="Z30" i="27" s="1"/>
  <c r="AB10" i="28" s="1"/>
  <c r="Z12" i="27"/>
  <c r="Z17" i="27" s="1"/>
  <c r="AB6" i="28" s="1"/>
  <c r="I41" i="16"/>
  <c r="J26" i="27" s="1"/>
  <c r="J30" i="27" s="1"/>
  <c r="Q10" i="28" s="1"/>
  <c r="T54" i="16"/>
  <c r="U54" i="16" s="1"/>
  <c r="J12" i="27"/>
  <c r="J17" i="27" s="1"/>
  <c r="Q6" i="28" s="1"/>
  <c r="AC41" i="16"/>
  <c r="AD26" i="27" s="1"/>
  <c r="AD30" i="27" s="1"/>
  <c r="AE10" i="28" s="1"/>
  <c r="AD12" i="27"/>
  <c r="AD17" i="27" s="1"/>
  <c r="T12" i="27"/>
  <c r="T17" i="27" s="1"/>
  <c r="Y6" i="28" s="1"/>
  <c r="S41" i="16"/>
  <c r="T26" i="27" s="1"/>
  <c r="T30" i="27" s="1"/>
  <c r="Y16" i="28" s="1"/>
  <c r="T41" i="16"/>
  <c r="U26" i="27" s="1"/>
  <c r="U30" i="27" s="1"/>
  <c r="L16" i="28" s="1"/>
  <c r="U12" i="27"/>
  <c r="U17" i="27" s="1"/>
  <c r="L6" i="28" s="1"/>
  <c r="G7" i="28"/>
  <c r="D58" i="27"/>
  <c r="D51" i="27"/>
  <c r="D49" i="27"/>
  <c r="J7" i="28"/>
  <c r="Q26" i="27"/>
  <c r="Q30" i="27" s="1"/>
  <c r="J10" i="28" s="1"/>
  <c r="D50" i="27" l="1"/>
  <c r="E44" i="16"/>
  <c r="AG12" i="27"/>
  <c r="AG17" i="27" s="1"/>
  <c r="C58" i="27" s="1"/>
  <c r="I14" i="28"/>
  <c r="E14" i="28"/>
  <c r="H14" i="28"/>
  <c r="F14" i="28"/>
  <c r="G14" i="28"/>
  <c r="I8" i="28"/>
  <c r="I15" i="28" s="1"/>
  <c r="I16" i="28" s="1"/>
  <c r="E29" i="28" s="1"/>
  <c r="J14" i="28"/>
  <c r="E49" i="16"/>
  <c r="AI40" i="16"/>
  <c r="E46" i="16" s="1"/>
  <c r="D52" i="27" s="1"/>
  <c r="M14" i="28"/>
  <c r="N14" i="28"/>
  <c r="D14" i="28"/>
  <c r="B44" i="16"/>
  <c r="H44" i="16"/>
  <c r="I51" i="16" s="1"/>
  <c r="K7" i="28"/>
  <c r="K14" i="28"/>
  <c r="D8" i="28"/>
  <c r="D15" i="28" s="1"/>
  <c r="D9" i="28"/>
  <c r="D48" i="27"/>
  <c r="J8" i="28"/>
  <c r="J15" i="28" s="1"/>
  <c r="J9" i="28"/>
  <c r="S9" i="28"/>
  <c r="T9" i="28"/>
  <c r="H9" i="28"/>
  <c r="H8" i="28"/>
  <c r="H15" i="28" s="1"/>
  <c r="G9" i="28"/>
  <c r="G8" i="28"/>
  <c r="G15" i="28" s="1"/>
  <c r="L7" i="28"/>
  <c r="L14" i="28"/>
  <c r="Y7" i="28"/>
  <c r="R9" i="28"/>
  <c r="Q7" i="28"/>
  <c r="AB7" i="28"/>
  <c r="O7" i="28"/>
  <c r="O14" i="28"/>
  <c r="E58" i="27"/>
  <c r="E51" i="27"/>
  <c r="E49" i="27"/>
  <c r="E9" i="28"/>
  <c r="E8" i="28"/>
  <c r="E15" i="28" s="1"/>
  <c r="V9" i="28"/>
  <c r="C29" i="28"/>
  <c r="G29" i="28" s="1"/>
  <c r="J29" i="28" s="1"/>
  <c r="M29" i="28" s="1"/>
  <c r="O29" i="28" s="1"/>
  <c r="M9" i="28"/>
  <c r="M8" i="28"/>
  <c r="M15" i="28" s="1"/>
  <c r="Z9" i="28"/>
  <c r="AA9" i="28"/>
  <c r="N8" i="28"/>
  <c r="N15" i="28" s="1"/>
  <c r="N9" i="28"/>
  <c r="X9" i="28"/>
  <c r="F8" i="28"/>
  <c r="F15" i="28" s="1"/>
  <c r="C8" i="28"/>
  <c r="C15" i="28" s="1"/>
  <c r="C14" i="28"/>
  <c r="AK17" i="27"/>
  <c r="AI6" i="28" s="1"/>
  <c r="AG6" i="28"/>
  <c r="T8" i="28" s="1"/>
  <c r="T15" i="28" s="1"/>
  <c r="E48" i="27" l="1"/>
  <c r="F51" i="16"/>
  <c r="C49" i="27"/>
  <c r="C51" i="27"/>
  <c r="AK12" i="27"/>
  <c r="H46" i="16"/>
  <c r="E52" i="27" s="1"/>
  <c r="C52" i="27"/>
  <c r="AA8" i="28"/>
  <c r="AA15" i="28" s="1"/>
  <c r="AA16" i="28" s="1"/>
  <c r="V8" i="28"/>
  <c r="V15" i="28" s="1"/>
  <c r="V16" i="28" s="1"/>
  <c r="E50" i="27"/>
  <c r="Q14" i="28"/>
  <c r="Y14" i="28"/>
  <c r="R14" i="28"/>
  <c r="S14" i="28"/>
  <c r="AA14" i="28"/>
  <c r="T14" i="28"/>
  <c r="X14" i="28"/>
  <c r="W8" i="28"/>
  <c r="W15" i="28" s="1"/>
  <c r="Z14" i="28"/>
  <c r="V14" i="28"/>
  <c r="AB14" i="28"/>
  <c r="R8" i="28"/>
  <c r="R15" i="28" s="1"/>
  <c r="R16" i="28" s="1"/>
  <c r="S8" i="28"/>
  <c r="S15" i="28" s="1"/>
  <c r="S16" i="28" s="1"/>
  <c r="D16" i="28"/>
  <c r="P10" i="28"/>
  <c r="AC6" i="28"/>
  <c r="P6" i="28"/>
  <c r="AC10" i="28"/>
  <c r="J11" i="28" s="1"/>
  <c r="X8" i="28"/>
  <c r="X15" i="28" s="1"/>
  <c r="Z8" i="28"/>
  <c r="Z15" i="28" s="1"/>
  <c r="Z16" i="28" s="1"/>
  <c r="K8" i="28"/>
  <c r="K15" i="28" s="1"/>
  <c r="K9" i="28"/>
  <c r="C48" i="27"/>
  <c r="C49" i="16"/>
  <c r="W14" i="28"/>
  <c r="H18" i="28"/>
  <c r="X18" i="28" s="1"/>
  <c r="AE18" i="28" s="1"/>
  <c r="AD14" i="28"/>
  <c r="AE14" i="28"/>
  <c r="AE15" i="28" s="1"/>
  <c r="AE16" i="28" s="1"/>
  <c r="U8" i="28"/>
  <c r="U15" i="28" s="1"/>
  <c r="U16" i="28" s="1"/>
  <c r="AD8" i="28"/>
  <c r="AD15" i="28" s="1"/>
  <c r="AD16" i="28" s="1"/>
  <c r="R11" i="28"/>
  <c r="U14" i="28"/>
  <c r="C16" i="28"/>
  <c r="F16" i="28"/>
  <c r="N16" i="28"/>
  <c r="M16" i="28"/>
  <c r="E16" i="28"/>
  <c r="O9" i="28"/>
  <c r="O8" i="28"/>
  <c r="O15" i="28" s="1"/>
  <c r="O16" i="28" s="1"/>
  <c r="AB8" i="28"/>
  <c r="AB15" i="28" s="1"/>
  <c r="AB16" i="28" s="1"/>
  <c r="AB9" i="28"/>
  <c r="Q9" i="28"/>
  <c r="Q8" i="28"/>
  <c r="Q15" i="28" s="1"/>
  <c r="Q16" i="28" s="1"/>
  <c r="Y8" i="28"/>
  <c r="Y15" i="28" s="1"/>
  <c r="Y9" i="28"/>
  <c r="L9" i="28"/>
  <c r="L8" i="28"/>
  <c r="L15" i="28" s="1"/>
  <c r="G16" i="28"/>
  <c r="H16" i="28"/>
  <c r="E24" i="28" s="1"/>
  <c r="C24" i="28"/>
  <c r="G24" i="28" s="1"/>
  <c r="J24" i="28" s="1"/>
  <c r="M24" i="28" s="1"/>
  <c r="O24" i="28" s="1"/>
  <c r="T16" i="28"/>
  <c r="E25" i="28" s="1"/>
  <c r="C25" i="28"/>
  <c r="G25" i="28" s="1"/>
  <c r="J25" i="28" s="1"/>
  <c r="E22" i="28" l="1"/>
  <c r="C50" i="27"/>
  <c r="C26" i="28"/>
  <c r="G26" i="28" s="1"/>
  <c r="J26" i="28" s="1"/>
  <c r="M26" i="28" s="1"/>
  <c r="O26" i="28" s="1"/>
  <c r="C23" i="28"/>
  <c r="G23" i="28" s="1"/>
  <c r="J23" i="28" s="1"/>
  <c r="M23" i="28" s="1"/>
  <c r="O23" i="28" s="1"/>
  <c r="C22" i="28"/>
  <c r="G22" i="28" s="1"/>
  <c r="J22" i="28" s="1"/>
  <c r="M22" i="28" s="1"/>
  <c r="O22" i="28" s="1"/>
  <c r="C27" i="28"/>
  <c r="G27" i="28" s="1"/>
  <c r="J27" i="28" s="1"/>
  <c r="M27" i="28" s="1"/>
  <c r="O27" i="28" s="1"/>
  <c r="C28" i="28"/>
  <c r="G28" i="28" s="1"/>
  <c r="J28" i="28" s="1"/>
  <c r="M28" i="28" s="1"/>
  <c r="O28" i="28" s="1"/>
  <c r="J17" i="28"/>
  <c r="E31" i="28"/>
  <c r="E26" i="28"/>
  <c r="E23" i="28"/>
  <c r="P14" i="28"/>
  <c r="P7" i="28"/>
  <c r="E27" i="28"/>
  <c r="F11" i="28"/>
  <c r="M11" i="28"/>
  <c r="E28" i="28"/>
  <c r="AC14" i="28"/>
  <c r="AC7" i="28"/>
  <c r="C31" i="28"/>
  <c r="G31" i="28" s="1"/>
  <c r="J31" i="28" s="1"/>
  <c r="M31" i="28" s="1"/>
  <c r="O31" i="28" s="1"/>
  <c r="C30" i="28"/>
  <c r="G30" i="28" s="1"/>
  <c r="J30" i="28" s="1"/>
  <c r="M30" i="28" s="1"/>
  <c r="O30" i="28" s="1"/>
  <c r="O25" i="28"/>
  <c r="M25" i="28"/>
  <c r="E30" i="28"/>
  <c r="F17" i="28"/>
  <c r="M17" i="28"/>
  <c r="P8" i="28" l="1"/>
  <c r="P15" i="28" s="1"/>
  <c r="P9" i="28"/>
  <c r="AC9" i="28"/>
  <c r="AC8" i="28"/>
  <c r="AC15" i="28" s="1"/>
  <c r="AR39" i="16" l="1"/>
  <c r="AR41" i="16" s="1"/>
  <c r="AQ39" i="16" l="1"/>
  <c r="AQ41" i="16" s="1"/>
  <c r="AJ39" i="16" l="1"/>
  <c r="AJ41" i="16" s="1"/>
  <c r="AO39" i="16"/>
  <c r="AO41" i="16" s="1"/>
  <c r="AN39" i="16"/>
  <c r="AN41" i="16" s="1"/>
  <c r="AM39" i="16" l="1"/>
  <c r="AM41" i="16" s="1"/>
  <c r="AP39" i="16" l="1"/>
  <c r="AP41" i="16" s="1"/>
  <c r="AS39" i="16"/>
  <c r="AS41" i="16" s="1"/>
  <c r="C54" i="27" l="1"/>
  <c r="C55" i="27" s="1"/>
  <c r="E45" i="16"/>
  <c r="B45" i="16"/>
  <c r="H45" i="16"/>
  <c r="B51" i="16" l="1"/>
  <c r="B52" i="16" s="1"/>
  <c r="C41" i="27" s="1"/>
  <c r="C45" i="27" s="1"/>
  <c r="C45" i="16"/>
  <c r="C53" i="27"/>
  <c r="C56" i="27" s="1"/>
  <c r="C57" i="27" s="1"/>
  <c r="E51" i="16"/>
  <c r="E52" i="16" s="1"/>
  <c r="D41" i="27" s="1"/>
  <c r="D45" i="27" s="1"/>
  <c r="D54" i="27"/>
  <c r="D53" i="27"/>
  <c r="D56" i="27" s="1"/>
  <c r="D57" i="27" s="1"/>
  <c r="E53" i="27"/>
  <c r="E56" i="27" s="1"/>
  <c r="E57" i="27" s="1"/>
  <c r="H51" i="16"/>
  <c r="H52" i="16" s="1"/>
  <c r="E41" i="27" s="1"/>
  <c r="E45" i="27" s="1"/>
  <c r="D55" i="27" l="1"/>
  <c r="E54" i="27"/>
  <c r="E55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5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B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B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B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B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B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B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B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B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B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B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B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B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B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B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B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B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B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B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B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B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B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B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B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B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B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B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B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C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C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C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C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C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C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C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C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C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C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C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C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C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C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C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C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C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C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C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C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C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C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C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C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C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C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C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C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C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C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C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C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C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C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C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D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D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D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D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D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D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D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D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D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D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D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D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D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D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D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D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D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D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D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D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D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D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D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D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D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D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D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D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D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D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D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D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D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D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D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E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E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E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E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E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E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E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E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E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E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E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E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E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E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E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E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E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E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E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E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E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E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E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E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E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E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E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E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E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E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E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E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E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E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E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F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F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F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F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F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F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F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F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F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F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F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F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F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F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F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F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F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F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F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F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F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F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F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F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F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F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F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F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F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F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F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F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F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F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Conte, Chris</author>
  </authors>
  <commentList>
    <comment ref="AD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V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Pricing changed to Liquid Lb in 2016 from Liquid Gal.</t>
        </r>
      </text>
    </comment>
    <comment ref="L23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V2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2019 1st quarter pricing per P.O. 19P0032.</t>
        </r>
      </text>
    </comment>
    <comment ref="L2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4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4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4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4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4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4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5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5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5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5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5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5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5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5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5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6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6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6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6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6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6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6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6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6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6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6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6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6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6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6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6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6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6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6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6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6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6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6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6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6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6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6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7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7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7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7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7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7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7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7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7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7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7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7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7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7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7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7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7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7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7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7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7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7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7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7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7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7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7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8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8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8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8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8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8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8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8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8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8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8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8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8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8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8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8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8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8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  <author>Linder, Kevin</author>
  </authors>
  <commentList>
    <comment ref="B40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9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9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9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9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9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9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9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9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9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9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9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9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9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9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9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9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9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9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9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9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9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9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9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9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9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9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9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9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N42" authorId="1" shapeId="0" xr:uid="{00000000-0006-0000-0900-000025000000}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A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A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A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A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A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A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A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A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A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A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A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A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A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A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A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A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A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A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A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A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A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A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A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A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A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A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A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A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<sst xmlns="http://schemas.openxmlformats.org/spreadsheetml/2006/main" count="2326" uniqueCount="236">
  <si>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</si>
  <si>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</si>
  <si>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</si>
  <si>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</si>
  <si>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</si>
  <si>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</si>
  <si>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</si>
  <si>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</si>
  <si>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</si>
  <si>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</si>
  <si>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</si>
  <si>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</si>
  <si>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</si>
  <si>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</si>
  <si>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</si>
  <si>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</si>
  <si>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</si>
  <si>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</si>
  <si>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</si>
  <si>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</si>
  <si>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</si>
  <si>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</si>
  <si>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</si>
  <si>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</si>
  <si>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</si>
  <si>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</si>
  <si>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</si>
  <si>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</si>
  <si>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</si>
  <si>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</si>
  <si>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</si>
  <si>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</si>
  <si>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</si>
  <si>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</si>
  <si>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</si>
  <si>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</si>
  <si>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</si>
  <si>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</si>
  <si>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</si>
  <si>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</si>
  <si>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</si>
  <si>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</si>
  <si>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</si>
  <si>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</si>
  <si>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</si>
  <si>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</si>
  <si>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</si>
  <si>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</si>
  <si>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</si>
  <si>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</si>
  <si>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</si>
  <si>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</si>
  <si>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</si>
  <si>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</si>
  <si>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</si>
  <si>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</si>
  <si>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</si>
  <si>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</si>
  <si>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</si>
  <si>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</si>
  <si>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</si>
  <si>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</si>
  <si>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</si>
  <si>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</si>
  <si>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</si>
  <si>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</si>
  <si>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</si>
  <si>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</si>
  <si>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</si>
  <si>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</si>
  <si>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</si>
  <si>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</si>
  <si>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</si>
  <si>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</si>
  <si>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</si>
  <si>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</si>
  <si>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</si>
  <si>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</si>
  <si>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</si>
  <si>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</si>
  <si>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</si>
  <si>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</si>
  <si>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</si>
  <si>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</si>
  <si>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</si>
  <si>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</si>
  <si>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</si>
  <si>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</si>
  <si>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</si>
  <si>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</si>
  <si>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</si>
  <si>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</si>
  <si>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</si>
  <si>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</si>
  <si>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</si>
  <si>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</si>
  <si>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</si>
  <si>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</si>
  <si>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</si>
  <si>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</si>
  <si>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</si>
  <si>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</si>
  <si>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</si>
  <si>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</si>
  <si>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</si>
  <si>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</si>
  <si>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</si>
  <si>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</si>
  <si>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</si>
  <si>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</si>
  <si>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</si>
  <si>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</si>
  <si>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</si>
  <si>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</si>
  <si>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</si>
  <si>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</si>
  <si>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</si>
  <si>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</si>
  <si>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</si>
  <si>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</si>
  <si>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</si>
  <si>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</si>
  <si>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</si>
  <si>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</si>
  <si>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</si>
  <si>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</si>
  <si>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</si>
  <si>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</si>
  <si>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</si>
  <si>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</si>
  <si>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</si>
  <si>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</si>
  <si>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</si>
  <si>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</si>
  <si>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</si>
  <si>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</si>
  <si>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</si>
  <si>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</si>
  <si>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</si>
  <si>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</si>
  <si>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</si>
  <si>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</si>
  <si>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</si>
  <si>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</si>
  <si>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</si>
  <si>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</si>
  <si>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</si>
  <si>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</si>
  <si>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</si>
  <si>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</si>
  <si>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</si>
  <si>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</si>
  <si>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</si>
  <si>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</si>
  <si>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</si>
  <si>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</si>
  <si>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</si>
  <si>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</si>
  <si>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</si>
  <si>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</si>
  <si>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</si>
  <si>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</si>
  <si>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</si>
  <si>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</si>
  <si>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</si>
  <si>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</si>
  <si>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</si>
  <si>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</si>
  <si>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</si>
  <si>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</si>
  <si>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</si>
  <si>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</si>
  <si>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</si>
  <si>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</si>
  <si>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</si>
  <si>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</si>
  <si>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</si>
  <si>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</si>
  <si>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</si>
  <si>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</si>
  <si>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</si>
  <si>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</si>
  <si>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</si>
  <si>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</si>
  <si>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</si>
  <si>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</si>
  <si>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</si>
  <si>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</si>
  <si>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</si>
  <si>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</si>
  <si>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</si>
  <si>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</si>
  <si>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</si>
  <si>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</si>
  <si>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</si>
  <si>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</si>
  <si>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</si>
  <si>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</si>
  <si>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</si>
  <si>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</si>
  <si>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</si>
  <si>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</si>
  <si>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</si>
  <si>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</si>
  <si>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</si>
  <si>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</si>
  <si>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</si>
  <si>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</si>
  <si>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</si>
  <si>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</si>
  <si>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</si>
  <si>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</si>
  <si>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</si>
  <si>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</si>
  <si>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</si>
  <si>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</si>
  <si>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</si>
  <si>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</si>
  <si>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</si>
  <si>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</si>
  <si>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</si>
  <si>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RWSP Flow to Process</t>
  </si>
  <si>
    <t>RWAR Flow to Process</t>
  </si>
  <si>
    <t>Total Treated (MG)</t>
  </si>
  <si>
    <t>RWSP to Process (MG)</t>
  </si>
  <si>
    <t>RWAR to Process (MG)</t>
  </si>
  <si>
    <t>RWSP to Process</t>
  </si>
  <si>
    <t>RWAR to Process</t>
  </si>
  <si>
    <t xml:space="preserve">RWAR to Process </t>
  </si>
  <si>
    <t>Raw Flow To Process</t>
  </si>
  <si>
    <t>RWAR To Process</t>
  </si>
  <si>
    <t>RWSP To Process</t>
  </si>
  <si>
    <t>2018 YTD Finished Delivered Flows (MG) &amp; Ratios</t>
  </si>
  <si>
    <t>2018 YTD Treated Raw Water Flows (MG)</t>
  </si>
  <si>
    <t>bw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</si>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</sst>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[$-409]mmmm\-yy;@"/>
    <numFmt numFmtId="172" formatCode="m/d/yyyy;@"/>
    <numFmt numFmtId="173" formatCode="&quot;$&quot;#,##0.0000"/>
  </numFmts>
  <fonts count="2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7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 style="thin">
        <color indexed="64"/>
      </left>
      <right/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22" fillId="0" borderId="0"/>
    <xf numFmtId="43" fontId="23" fillId="0" borderId="0" applyFont="0" applyFill="0" applyBorder="0" applyAlignment="0" applyProtection="0"/>
    <xf numFmtId="0" fontId="25" fillId="0" borderId="0"/>
  </cellStyleXfs>
  <cellXfs count="673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2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48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165" fontId="0" fillId="24" borderId="141" xfId="0" applyNumberFormat="1" applyFill="1" applyBorder="1" applyAlignment="1">
      <alignment horizontal="center"/>
    </xf>
    <xf numFmtId="0" fontId="0" fillId="0" borderId="154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6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48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4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0" xfId="0" applyNumberFormat="1" applyFill="1" applyBorder="1" applyAlignment="1">
      <alignment horizontal="center"/>
    </xf>
    <xf numFmtId="0" fontId="0" fillId="27" borderId="148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1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24" borderId="165" xfId="0" applyNumberFormat="1" applyFill="1" applyBorder="1" applyAlignment="1">
      <alignment horizontal="center"/>
    </xf>
    <xf numFmtId="165" fontId="0" fillId="24" borderId="166" xfId="0" applyNumberFormat="1" applyFill="1" applyBorder="1" applyAlignment="1">
      <alignment horizontal="center"/>
    </xf>
    <xf numFmtId="165" fontId="0" fillId="24" borderId="167" xfId="0" applyNumberFormat="1" applyFill="1" applyBorder="1" applyAlignment="1">
      <alignment horizontal="center"/>
    </xf>
    <xf numFmtId="165" fontId="0" fillId="24" borderId="37" xfId="0" applyNumberFormat="1" applyFill="1" applyBorder="1" applyAlignment="1">
      <alignment horizontal="center"/>
    </xf>
    <xf numFmtId="165" fontId="4" fillId="0" borderId="0" xfId="0" applyNumberFormat="1" applyFont="1" applyBorder="1"/>
    <xf numFmtId="2" fontId="0" fillId="0" borderId="22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/>
    </xf>
    <xf numFmtId="2" fontId="21" fillId="0" borderId="22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/>
    </xf>
    <xf numFmtId="2" fontId="21" fillId="0" borderId="23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 vertical="center"/>
    </xf>
    <xf numFmtId="2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/>
    </xf>
    <xf numFmtId="2" fontId="0" fillId="0" borderId="15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Border="1" applyAlignment="1" applyProtection="1">
      <alignment horizontal="center" vertical="center"/>
      <protection locked="0"/>
    </xf>
    <xf numFmtId="2" fontId="0" fillId="0" borderId="158" xfId="0" applyNumberFormat="1" applyBorder="1" applyAlignment="1" applyProtection="1">
      <alignment horizontal="center" vertical="center"/>
      <protection locked="0"/>
    </xf>
    <xf numFmtId="2" fontId="0" fillId="0" borderId="151" xfId="0" applyNumberFormat="1" applyBorder="1" applyAlignment="1" applyProtection="1">
      <alignment horizontal="center" vertical="center"/>
      <protection locked="0"/>
    </xf>
    <xf numFmtId="2" fontId="0" fillId="0" borderId="170" xfId="0" applyNumberFormat="1" applyBorder="1" applyAlignment="1" applyProtection="1">
      <alignment horizontal="center" vertical="center"/>
      <protection locked="0"/>
    </xf>
    <xf numFmtId="2" fontId="0" fillId="0" borderId="45" xfId="0" applyNumberFormat="1" applyBorder="1" applyAlignment="1" applyProtection="1">
      <alignment horizontal="center" vertical="center"/>
      <protection locked="0"/>
    </xf>
    <xf numFmtId="2" fontId="0" fillId="0" borderId="130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Fill="1" applyBorder="1" applyAlignment="1" applyProtection="1">
      <alignment horizontal="center" vertical="center"/>
      <protection locked="0"/>
    </xf>
    <xf numFmtId="2" fontId="0" fillId="0" borderId="37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Fill="1" applyBorder="1" applyAlignment="1" applyProtection="1">
      <alignment horizontal="center" vertical="center"/>
      <protection locked="0"/>
    </xf>
    <xf numFmtId="2" fontId="0" fillId="0" borderId="151" xfId="0" applyNumberFormat="1" applyFill="1" applyBorder="1" applyAlignment="1" applyProtection="1">
      <alignment horizontal="center" vertical="center"/>
      <protection locked="0"/>
    </xf>
    <xf numFmtId="2" fontId="0" fillId="0" borderId="170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45" xfId="0" applyFill="1" applyBorder="1" applyAlignment="1">
      <alignment horizontal="center" vertical="center"/>
    </xf>
    <xf numFmtId="0" fontId="9" fillId="2" borderId="54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14" fontId="0" fillId="0" borderId="0" xfId="0" applyNumberFormat="1"/>
    <xf numFmtId="164" fontId="4" fillId="14" borderId="94" xfId="0" applyNumberFormat="1" applyFont="1" applyFill="1" applyBorder="1" applyAlignment="1">
      <alignment horizontal="center" vertical="center" textRotation="90"/>
    </xf>
    <xf numFmtId="4" fontId="0" fillId="27" borderId="163" xfId="0" applyNumberFormat="1" applyFill="1" applyBorder="1" applyAlignment="1">
      <alignment horizontal="center"/>
    </xf>
    <xf numFmtId="4" fontId="0" fillId="27" borderId="164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4" fontId="24" fillId="0" borderId="0" xfId="1" applyNumberFormat="1" applyFont="1" applyFill="1" applyBorder="1" applyAlignment="1">
      <alignment horizontal="center"/>
    </xf>
    <xf numFmtId="2" fontId="0" fillId="0" borderId="22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43" xfId="0" applyNumberFormat="1" applyBorder="1" applyAlignment="1" applyProtection="1">
      <alignment horizontal="center"/>
      <protection locked="0"/>
    </xf>
    <xf numFmtId="2" fontId="0" fillId="0" borderId="17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" fontId="4" fillId="5" borderId="22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4" fontId="4" fillId="5" borderId="23" xfId="0" applyNumberFormat="1" applyFont="1" applyFill="1" applyBorder="1" applyAlignment="1">
      <alignment horizontal="center" vertical="center"/>
    </xf>
    <xf numFmtId="4" fontId="4" fillId="5" borderId="22" xfId="0" applyNumberFormat="1" applyFont="1" applyFill="1" applyBorder="1" applyAlignment="1">
      <alignment horizontal="center"/>
    </xf>
    <xf numFmtId="4" fontId="4" fillId="5" borderId="4" xfId="0" applyNumberFormat="1" applyFont="1" applyFill="1" applyBorder="1" applyAlignment="1">
      <alignment horizontal="center"/>
    </xf>
    <xf numFmtId="4" fontId="4" fillId="5" borderId="40" xfId="0" applyNumberFormat="1" applyFont="1" applyFill="1" applyBorder="1" applyAlignment="1">
      <alignment horizontal="center"/>
    </xf>
    <xf numFmtId="4" fontId="4" fillId="5" borderId="23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4" fillId="7" borderId="4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 applyProtection="1">
      <alignment horizontal="center" vertical="center"/>
      <protection locked="0"/>
    </xf>
    <xf numFmtId="2" fontId="0" fillId="0" borderId="34" xfId="0" applyNumberFormat="1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center" vertical="center"/>
      <protection locked="0"/>
    </xf>
    <xf numFmtId="2" fontId="0" fillId="0" borderId="172" xfId="0" applyNumberFormat="1" applyBorder="1" applyAlignment="1" applyProtection="1">
      <alignment horizontal="center" vertical="center"/>
      <protection locked="0"/>
    </xf>
    <xf numFmtId="2" fontId="0" fillId="0" borderId="34" xfId="0" applyNumberFormat="1" applyFill="1" applyBorder="1" applyAlignment="1" applyProtection="1">
      <alignment horizontal="center" vertical="center"/>
      <protection locked="0"/>
    </xf>
    <xf numFmtId="2" fontId="0" fillId="0" borderId="38" xfId="0" applyNumberFormat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63" xfId="0" applyNumberFormat="1" applyBorder="1" applyAlignment="1" applyProtection="1">
      <alignment horizontal="center" vertical="center"/>
      <protection locked="0"/>
    </xf>
    <xf numFmtId="2" fontId="0" fillId="0" borderId="65" xfId="0" applyNumberFormat="1" applyBorder="1" applyAlignment="1" applyProtection="1">
      <alignment horizontal="center" vertical="center"/>
      <protection locked="0"/>
    </xf>
    <xf numFmtId="2" fontId="0" fillId="0" borderId="44" xfId="0" applyNumberFormat="1" applyFill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>
      <alignment horizontal="center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47" xfId="0" applyNumberFormat="1" applyBorder="1" applyAlignment="1" applyProtection="1">
      <alignment horizontal="center" vertical="center"/>
      <protection locked="0"/>
    </xf>
    <xf numFmtId="2" fontId="0" fillId="0" borderId="76" xfId="0" applyNumberFormat="1" applyBorder="1" applyAlignment="1" applyProtection="1">
      <alignment horizontal="center" vertical="center"/>
      <protection locked="0"/>
    </xf>
    <xf numFmtId="2" fontId="0" fillId="0" borderId="173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0" borderId="42" xfId="0" applyBorder="1" applyAlignment="1">
      <alignment horizontal="center"/>
    </xf>
    <xf numFmtId="172" fontId="0" fillId="0" borderId="96" xfId="0" applyNumberFormat="1" applyFill="1" applyBorder="1" applyAlignment="1" applyProtection="1">
      <alignment horizontal="right"/>
    </xf>
    <xf numFmtId="172" fontId="0" fillId="0" borderId="0" xfId="0" applyNumberFormat="1" applyAlignment="1">
      <alignment horizontal="right" vertical="center"/>
    </xf>
    <xf numFmtId="173" fontId="0" fillId="24" borderId="139" xfId="0" applyNumberFormat="1" applyFill="1" applyBorder="1" applyAlignment="1">
      <alignment horizontal="center"/>
    </xf>
    <xf numFmtId="173" fontId="0" fillId="24" borderId="140" xfId="0" applyNumberFormat="1" applyFill="1" applyBorder="1" applyAlignment="1">
      <alignment horizontal="center"/>
    </xf>
    <xf numFmtId="0" fontId="0" fillId="0" borderId="0" xfId="0"/>
    <xf numFmtId="2" fontId="0" fillId="0" borderId="4" xfId="0" applyNumberFormat="1" applyBorder="1" applyAlignment="1" applyProtection="1">
      <alignment horizontal="center" vertical="center"/>
      <protection locked="0"/>
    </xf>
    <xf numFmtId="0" fontId="16" fillId="0" borderId="153" xfId="0" applyFont="1" applyBorder="1" applyAlignment="1">
      <alignment horizontal="center" vertical="center" textRotation="75"/>
    </xf>
    <xf numFmtId="0" fontId="16" fillId="0" borderId="158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2" xfId="0" applyBorder="1" applyAlignment="1"/>
    <xf numFmtId="0" fontId="16" fillId="0" borderId="150" xfId="0" applyFont="1" applyBorder="1" applyAlignment="1">
      <alignment horizontal="center" vertical="center" textRotation="75"/>
    </xf>
    <xf numFmtId="0" fontId="16" fillId="0" borderId="151" xfId="0" applyFont="1" applyBorder="1" applyAlignment="1">
      <alignment horizontal="center" vertical="center" textRotation="75"/>
    </xf>
    <xf numFmtId="0" fontId="0" fillId="0" borderId="152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5" fillId="14" borderId="86" xfId="0" applyFont="1" applyFill="1" applyBorder="1" applyAlignment="1">
      <alignment horizontal="center" vertical="center" wrapText="1"/>
    </xf>
    <xf numFmtId="0" fontId="15" fillId="14" borderId="87" xfId="0" applyFont="1" applyFill="1" applyBorder="1" applyAlignment="1">
      <alignment horizontal="center" vertical="center" wrapText="1"/>
    </xf>
    <xf numFmtId="0" fontId="15" fillId="14" borderId="88" xfId="0" applyFont="1" applyFill="1" applyBorder="1" applyAlignment="1">
      <alignment horizontal="center" vertical="center" wrapText="1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6" xfId="0" applyNumberFormat="1" applyFont="1" applyBorder="1" applyAlignment="1">
      <alignment horizontal="center" vertical="center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3" borderId="116" xfId="0" applyFont="1" applyFill="1" applyBorder="1" applyAlignment="1">
      <alignment horizontal="center" vertical="center"/>
    </xf>
    <xf numFmtId="0" fontId="4" fillId="13" borderId="134" xfId="0" applyFont="1" applyFill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165" fontId="0" fillId="22" borderId="30" xfId="0" applyNumberFormat="1" applyFill="1" applyBorder="1" applyAlignment="1">
      <alignment horizontal="center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5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171" fontId="11" fillId="0" borderId="55" xfId="0" applyNumberFormat="1" applyFont="1" applyFill="1" applyBorder="1" applyAlignment="1">
      <alignment horizontal="center" vertical="center"/>
    </xf>
    <xf numFmtId="171" fontId="0" fillId="0" borderId="66" xfId="0" applyNumberFormat="1" applyBorder="1" applyAlignment="1">
      <alignment horizontal="center" vertical="center"/>
    </xf>
    <xf numFmtId="171" fontId="0" fillId="0" borderId="56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146" xfId="0" applyFont="1" applyFill="1" applyBorder="1" applyAlignment="1">
      <alignment horizontal="left"/>
    </xf>
    <xf numFmtId="0" fontId="4" fillId="22" borderId="147" xfId="0" applyFont="1" applyFill="1" applyBorder="1" applyAlignment="1">
      <alignment horizontal="left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2E34C9D6-4420-4228-818A-BBC69C50951F}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0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2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2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3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63"/>
  <sheetViews>
    <sheetView zoomScale="75" zoomScaleNormal="75" workbookViewId="0">
      <selection activeCell="A8" sqref="A8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3" width="15.140625" customWidth="1"/>
    <col min="44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/>
      <c r="B8" s="49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2"/>
      <c r="U8" s="53"/>
      <c r="V8" s="54"/>
      <c r="W8" s="54"/>
      <c r="X8" s="54"/>
      <c r="Y8" s="54"/>
      <c r="Z8" s="54"/>
      <c r="AA8" s="55"/>
      <c r="AB8" s="56"/>
      <c r="AC8" s="57"/>
      <c r="AD8" s="407"/>
      <c r="AE8" s="407"/>
      <c r="AF8" s="57"/>
      <c r="AG8" s="58"/>
      <c r="AH8" s="58"/>
      <c r="AI8" s="58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 spans="1:49" x14ac:dyDescent="0.25">
      <c r="A9" s="11"/>
      <c r="B9" s="59"/>
      <c r="C9" s="60"/>
      <c r="D9" s="60"/>
      <c r="E9" s="60"/>
      <c r="F9" s="60"/>
      <c r="G9" s="60"/>
      <c r="H9" s="61"/>
      <c r="I9" s="59"/>
      <c r="J9" s="60"/>
      <c r="K9" s="60"/>
      <c r="L9" s="60"/>
      <c r="M9" s="60"/>
      <c r="N9" s="61"/>
      <c r="O9" s="59"/>
      <c r="P9" s="60"/>
      <c r="Q9" s="62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8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49" x14ac:dyDescent="0.25">
      <c r="A10" s="11"/>
      <c r="B10" s="59"/>
      <c r="C10" s="60"/>
      <c r="D10" s="60"/>
      <c r="E10" s="60"/>
      <c r="F10" s="60"/>
      <c r="G10" s="60"/>
      <c r="H10" s="61"/>
      <c r="I10" s="59"/>
      <c r="J10" s="60"/>
      <c r="K10" s="60"/>
      <c r="L10" s="60"/>
      <c r="M10" s="6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8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49" x14ac:dyDescent="0.25">
      <c r="A11" s="11"/>
      <c r="B11" s="59"/>
      <c r="C11" s="60"/>
      <c r="D11" s="60"/>
      <c r="E11" s="60"/>
      <c r="F11" s="60"/>
      <c r="G11" s="60"/>
      <c r="H11" s="61"/>
      <c r="I11" s="59"/>
      <c r="J11" s="60"/>
      <c r="K11" s="60"/>
      <c r="L11" s="60"/>
      <c r="M11" s="6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8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49" x14ac:dyDescent="0.25">
      <c r="A12" s="11"/>
      <c r="B12" s="59"/>
      <c r="C12" s="60"/>
      <c r="D12" s="60"/>
      <c r="E12" s="60"/>
      <c r="F12" s="60"/>
      <c r="G12" s="60"/>
      <c r="H12" s="61"/>
      <c r="I12" s="59"/>
      <c r="J12" s="60"/>
      <c r="K12" s="60"/>
      <c r="L12" s="60"/>
      <c r="M12" s="6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8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49" x14ac:dyDescent="0.25">
      <c r="A13" s="11"/>
      <c r="B13" s="59"/>
      <c r="C13" s="60"/>
      <c r="D13" s="60"/>
      <c r="E13" s="60"/>
      <c r="F13" s="60"/>
      <c r="G13" s="60"/>
      <c r="H13" s="61"/>
      <c r="I13" s="59"/>
      <c r="J13" s="60"/>
      <c r="K13" s="60"/>
      <c r="L13" s="60"/>
      <c r="M13" s="6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49" x14ac:dyDescent="0.25">
      <c r="A14" s="11"/>
      <c r="B14" s="59"/>
      <c r="C14" s="60"/>
      <c r="D14" s="60"/>
      <c r="E14" s="60"/>
      <c r="F14" s="60"/>
      <c r="G14" s="60"/>
      <c r="H14" s="61"/>
      <c r="I14" s="59"/>
      <c r="J14" s="60"/>
      <c r="K14" s="60"/>
      <c r="L14" s="60"/>
      <c r="M14" s="6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49" x14ac:dyDescent="0.25">
      <c r="A15" s="11"/>
      <c r="B15" s="59"/>
      <c r="C15" s="60"/>
      <c r="D15" s="60"/>
      <c r="E15" s="60"/>
      <c r="F15" s="60"/>
      <c r="G15" s="60"/>
      <c r="H15" s="61"/>
      <c r="I15" s="59"/>
      <c r="J15" s="60"/>
      <c r="K15" s="60"/>
      <c r="L15" s="60"/>
      <c r="M15" s="6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49" x14ac:dyDescent="0.25">
      <c r="A16" s="11"/>
      <c r="B16" s="59"/>
      <c r="C16" s="60"/>
      <c r="D16" s="60"/>
      <c r="E16" s="60"/>
      <c r="F16" s="60"/>
      <c r="G16" s="60"/>
      <c r="H16" s="61"/>
      <c r="I16" s="59"/>
      <c r="J16" s="60"/>
      <c r="K16" s="60"/>
      <c r="L16" s="60"/>
      <c r="M16" s="60"/>
      <c r="N16" s="61"/>
      <c r="O16" s="59"/>
      <c r="P16" s="60"/>
      <c r="Q16" s="60"/>
      <c r="R16" s="63"/>
      <c r="S16" s="60"/>
      <c r="T16" s="64"/>
      <c r="U16" s="65"/>
      <c r="V16" s="62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11"/>
      <c r="B17" s="49"/>
      <c r="C17" s="50"/>
      <c r="D17" s="50"/>
      <c r="E17" s="50"/>
      <c r="F17" s="50"/>
      <c r="G17" s="50"/>
      <c r="H17" s="51"/>
      <c r="I17" s="49"/>
      <c r="J17" s="50"/>
      <c r="K17" s="50"/>
      <c r="L17" s="60"/>
      <c r="M17" s="50"/>
      <c r="N17" s="51"/>
      <c r="O17" s="49"/>
      <c r="P17" s="50"/>
      <c r="Q17" s="50"/>
      <c r="R17" s="70"/>
      <c r="S17" s="50"/>
      <c r="T17" s="52"/>
      <c r="U17" s="71"/>
      <c r="V17" s="66"/>
      <c r="W17" s="62"/>
      <c r="X17" s="62"/>
      <c r="Y17" s="66"/>
      <c r="Z17" s="66"/>
      <c r="AA17" s="67"/>
      <c r="AB17" s="68"/>
      <c r="AC17" s="69"/>
      <c r="AD17" s="408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11"/>
      <c r="B18" s="59"/>
      <c r="C18" s="60"/>
      <c r="D18" s="60"/>
      <c r="E18" s="60"/>
      <c r="F18" s="60"/>
      <c r="G18" s="60"/>
      <c r="H18" s="61"/>
      <c r="I18" s="59"/>
      <c r="J18" s="60"/>
      <c r="K18" s="60"/>
      <c r="L18" s="60"/>
      <c r="M18" s="6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60"/>
      <c r="F19" s="60"/>
      <c r="G19" s="60"/>
      <c r="H19" s="61"/>
      <c r="I19" s="59"/>
      <c r="J19" s="60"/>
      <c r="K19" s="60"/>
      <c r="L19" s="60"/>
      <c r="M19" s="6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60"/>
      <c r="F20" s="60"/>
      <c r="G20" s="60"/>
      <c r="H20" s="61"/>
      <c r="I20" s="59"/>
      <c r="J20" s="60"/>
      <c r="K20" s="60"/>
      <c r="L20" s="6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60"/>
      <c r="F21" s="60"/>
      <c r="G21" s="60"/>
      <c r="H21" s="61"/>
      <c r="I21" s="59"/>
      <c r="J21" s="60"/>
      <c r="K21" s="60"/>
      <c r="L21" s="6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60"/>
      <c r="F22" s="60"/>
      <c r="G22" s="60"/>
      <c r="H22" s="61"/>
      <c r="I22" s="59"/>
      <c r="J22" s="60"/>
      <c r="K22" s="60"/>
      <c r="L22" s="6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60"/>
      <c r="F23" s="60"/>
      <c r="G23" s="60"/>
      <c r="H23" s="61"/>
      <c r="I23" s="59"/>
      <c r="J23" s="60"/>
      <c r="K23" s="60"/>
      <c r="L23" s="6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60"/>
      <c r="F24" s="60"/>
      <c r="G24" s="60"/>
      <c r="H24" s="61"/>
      <c r="I24" s="59"/>
      <c r="J24" s="60"/>
      <c r="K24" s="60"/>
      <c r="L24" s="6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11"/>
      <c r="B25" s="59"/>
      <c r="C25" s="60"/>
      <c r="D25" s="60"/>
      <c r="E25" s="60"/>
      <c r="F25" s="60"/>
      <c r="G25" s="60"/>
      <c r="H25" s="61"/>
      <c r="I25" s="59"/>
      <c r="J25" s="60"/>
      <c r="K25" s="60"/>
      <c r="L25" s="6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8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11"/>
      <c r="B26" s="59"/>
      <c r="C26" s="60"/>
      <c r="D26" s="60"/>
      <c r="E26" s="60"/>
      <c r="F26" s="60"/>
      <c r="G26" s="60"/>
      <c r="H26" s="61"/>
      <c r="I26" s="59"/>
      <c r="J26" s="60"/>
      <c r="K26" s="60"/>
      <c r="L26" s="6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6"/>
      <c r="Z26" s="66"/>
      <c r="AA26" s="67"/>
      <c r="AB26" s="68"/>
      <c r="AC26" s="69"/>
      <c r="AD26" s="408"/>
      <c r="AE26" s="408"/>
      <c r="AF26" s="69"/>
      <c r="AG26" s="68"/>
      <c r="AH26" s="68"/>
      <c r="AI26" s="68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60"/>
      <c r="F27" s="60"/>
      <c r="G27" s="60"/>
      <c r="H27" s="61"/>
      <c r="I27" s="59"/>
      <c r="J27" s="60"/>
      <c r="K27" s="60"/>
      <c r="L27" s="6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6"/>
      <c r="Z27" s="66"/>
      <c r="AA27" s="67"/>
      <c r="AB27" s="68"/>
      <c r="AC27" s="69"/>
      <c r="AD27" s="408"/>
      <c r="AE27" s="408"/>
      <c r="AF27" s="69"/>
      <c r="AG27" s="68"/>
      <c r="AH27" s="68"/>
      <c r="AI27" s="68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60"/>
      <c r="F28" s="60"/>
      <c r="G28" s="60"/>
      <c r="H28" s="61"/>
      <c r="I28" s="59"/>
      <c r="J28" s="60"/>
      <c r="K28" s="60"/>
      <c r="L28" s="6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60"/>
      <c r="F29" s="60"/>
      <c r="G29" s="60"/>
      <c r="H29" s="61"/>
      <c r="I29" s="59"/>
      <c r="J29" s="60"/>
      <c r="K29" s="60"/>
      <c r="L29" s="6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60"/>
      <c r="F30" s="60"/>
      <c r="G30" s="60"/>
      <c r="H30" s="61"/>
      <c r="I30" s="59"/>
      <c r="J30" s="60"/>
      <c r="K30" s="60"/>
      <c r="L30" s="6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60"/>
      <c r="F31" s="60"/>
      <c r="G31" s="60"/>
      <c r="H31" s="61"/>
      <c r="I31" s="59"/>
      <c r="J31" s="60"/>
      <c r="K31" s="60"/>
      <c r="L31" s="6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60"/>
      <c r="F32" s="60"/>
      <c r="G32" s="60"/>
      <c r="H32" s="61"/>
      <c r="I32" s="59"/>
      <c r="J32" s="60"/>
      <c r="K32" s="60"/>
      <c r="L32" s="6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60"/>
      <c r="F33" s="60"/>
      <c r="G33" s="60"/>
      <c r="H33" s="61"/>
      <c r="I33" s="59"/>
      <c r="J33" s="60"/>
      <c r="K33" s="60"/>
      <c r="L33" s="6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60"/>
      <c r="F34" s="60"/>
      <c r="G34" s="60"/>
      <c r="H34" s="61"/>
      <c r="I34" s="59"/>
      <c r="J34" s="60"/>
      <c r="K34" s="60"/>
      <c r="L34" s="6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65"/>
      <c r="C35" s="66"/>
      <c r="D35" s="66"/>
      <c r="E35" s="66"/>
      <c r="F35" s="66"/>
      <c r="G35" s="66"/>
      <c r="H35" s="67"/>
      <c r="I35" s="71"/>
      <c r="J35" s="66"/>
      <c r="K35" s="66"/>
      <c r="L35" s="66"/>
      <c r="M35" s="66"/>
      <c r="N35" s="67"/>
      <c r="O35" s="71"/>
      <c r="P35" s="66"/>
      <c r="Q35" s="66"/>
      <c r="R35" s="389"/>
      <c r="S35" s="66"/>
      <c r="T35" s="391"/>
      <c r="U35" s="71"/>
      <c r="V35" s="66"/>
      <c r="W35" s="62"/>
      <c r="X35" s="62"/>
      <c r="Y35" s="66"/>
      <c r="Z35" s="66"/>
      <c r="AA35" s="67"/>
      <c r="AB35" s="68"/>
      <c r="AC35" s="390"/>
      <c r="AD35" s="408"/>
      <c r="AE35" s="408"/>
      <c r="AF35" s="390"/>
      <c r="AG35" s="68"/>
      <c r="AH35" s="68"/>
      <c r="AI35" s="68"/>
      <c r="AJ35" s="390"/>
      <c r="AK35" s="390"/>
      <c r="AL35" s="390"/>
      <c r="AM35" s="390"/>
      <c r="AN35" s="390"/>
      <c r="AO35" s="390"/>
      <c r="AP35" s="390"/>
      <c r="AQ35" s="390"/>
      <c r="AR35" s="390"/>
      <c r="AS35" s="390"/>
    </row>
    <row r="36" spans="1:45" x14ac:dyDescent="0.25">
      <c r="A36" s="11"/>
      <c r="B36" s="65"/>
      <c r="C36" s="66"/>
      <c r="D36" s="66"/>
      <c r="E36" s="66"/>
      <c r="F36" s="66"/>
      <c r="G36" s="66"/>
      <c r="H36" s="67"/>
      <c r="I36" s="389"/>
      <c r="J36" s="66"/>
      <c r="K36" s="66"/>
      <c r="L36" s="66"/>
      <c r="M36" s="66"/>
      <c r="N36" s="391"/>
      <c r="O36" s="71"/>
      <c r="P36" s="66"/>
      <c r="Q36" s="66"/>
      <c r="R36" s="66"/>
      <c r="S36" s="66"/>
      <c r="T36" s="391"/>
      <c r="U36" s="71"/>
      <c r="V36" s="66"/>
      <c r="W36" s="62"/>
      <c r="X36" s="62"/>
      <c r="Y36" s="66"/>
      <c r="Z36" s="66"/>
      <c r="AA36" s="391"/>
      <c r="AB36" s="432"/>
      <c r="AC36" s="390"/>
      <c r="AD36" s="408"/>
      <c r="AE36" s="408"/>
      <c r="AF36" s="390"/>
      <c r="AG36" s="68"/>
      <c r="AH36" s="68"/>
      <c r="AI36" s="68"/>
      <c r="AJ36" s="390"/>
      <c r="AK36" s="390"/>
      <c r="AL36" s="390"/>
      <c r="AM36" s="390"/>
      <c r="AN36" s="390"/>
      <c r="AO36" s="390"/>
      <c r="AP36" s="390"/>
      <c r="AQ36" s="390"/>
      <c r="AR36" s="390"/>
      <c r="AS36" s="390"/>
    </row>
    <row r="37" spans="1:45" x14ac:dyDescent="0.25">
      <c r="A37" s="11"/>
      <c r="B37" s="395"/>
      <c r="C37" s="80"/>
      <c r="D37" s="80"/>
      <c r="E37" s="80"/>
      <c r="F37" s="80"/>
      <c r="G37" s="80"/>
      <c r="H37" s="82"/>
      <c r="I37" s="437"/>
      <c r="J37" s="80"/>
      <c r="K37" s="80"/>
      <c r="L37" s="80"/>
      <c r="M37" s="80"/>
      <c r="N37" s="438"/>
      <c r="O37" s="79"/>
      <c r="P37" s="80"/>
      <c r="Q37" s="80"/>
      <c r="R37" s="80"/>
      <c r="S37" s="80"/>
      <c r="T37" s="438"/>
      <c r="U37" s="79"/>
      <c r="V37" s="80"/>
      <c r="W37" s="81"/>
      <c r="X37" s="81"/>
      <c r="Y37" s="80"/>
      <c r="Z37" s="80"/>
      <c r="AA37" s="438"/>
      <c r="AB37" s="439"/>
      <c r="AC37" s="440"/>
      <c r="AD37" s="441"/>
      <c r="AE37" s="441"/>
      <c r="AF37" s="440"/>
      <c r="AG37" s="396"/>
      <c r="AH37" s="396"/>
      <c r="AI37" s="396"/>
      <c r="AJ37" s="440"/>
      <c r="AK37" s="440"/>
      <c r="AL37" s="440"/>
      <c r="AM37" s="440"/>
      <c r="AN37" s="440"/>
      <c r="AO37" s="440"/>
      <c r="AP37" s="440"/>
      <c r="AQ37" s="440"/>
      <c r="AR37" s="440"/>
      <c r="AS37" s="440"/>
    </row>
    <row r="38" spans="1:45" ht="15.75" thickBot="1" x14ac:dyDescent="0.3">
      <c r="A38" s="11"/>
      <c r="B38" s="425"/>
      <c r="C38" s="426"/>
      <c r="D38" s="426"/>
      <c r="E38" s="426"/>
      <c r="F38" s="426"/>
      <c r="G38" s="426"/>
      <c r="H38" s="427"/>
      <c r="I38" s="428"/>
      <c r="J38" s="426"/>
      <c r="K38" s="426"/>
      <c r="L38" s="426"/>
      <c r="M38" s="426"/>
      <c r="N38" s="430"/>
      <c r="O38" s="431"/>
      <c r="P38" s="426"/>
      <c r="Q38" s="426"/>
      <c r="R38" s="426"/>
      <c r="S38" s="426"/>
      <c r="T38" s="430"/>
      <c r="U38" s="431"/>
      <c r="V38" s="426"/>
      <c r="W38" s="429"/>
      <c r="X38" s="429"/>
      <c r="Y38" s="426"/>
      <c r="Z38" s="426"/>
      <c r="AA38" s="430"/>
      <c r="AB38" s="433"/>
      <c r="AC38" s="434"/>
      <c r="AD38" s="435"/>
      <c r="AE38" s="435"/>
      <c r="AF38" s="434"/>
      <c r="AG38" s="436"/>
      <c r="AH38" s="436"/>
      <c r="AI38" s="436"/>
      <c r="AJ38" s="434"/>
      <c r="AK38" s="434"/>
      <c r="AL38" s="434"/>
      <c r="AM38" s="434"/>
      <c r="AN38" s="434"/>
      <c r="AO38" s="434"/>
      <c r="AP38" s="434"/>
      <c r="AQ38" s="434"/>
      <c r="AR38" s="434"/>
      <c r="AS38" s="434"/>
    </row>
    <row r="39" spans="1:45" ht="15.75" thickTop="1" x14ac:dyDescent="0.25">
      <c r="A39" s="46" t="s">
        <v>171</v>
      </c>
      <c r="B39" s="416">
        <f t="shared" ref="B39" si="0">SUM(B8:B35)</f>
        <v>0</v>
      </c>
      <c r="C39" s="417">
        <f t="shared" ref="C39:AC39" si="1">SUM(C8:C38)</f>
        <v>0</v>
      </c>
      <c r="D39" s="417">
        <f t="shared" si="1"/>
        <v>0</v>
      </c>
      <c r="E39" s="417">
        <f t="shared" si="1"/>
        <v>0</v>
      </c>
      <c r="F39" s="417">
        <f t="shared" si="1"/>
        <v>0</v>
      </c>
      <c r="G39" s="417">
        <f t="shared" si="1"/>
        <v>0</v>
      </c>
      <c r="H39" s="418">
        <f t="shared" si="1"/>
        <v>0</v>
      </c>
      <c r="I39" s="416">
        <f t="shared" si="1"/>
        <v>0</v>
      </c>
      <c r="J39" s="417">
        <f t="shared" si="1"/>
        <v>0</v>
      </c>
      <c r="K39" s="417">
        <f t="shared" si="1"/>
        <v>0</v>
      </c>
      <c r="L39" s="417">
        <f t="shared" si="1"/>
        <v>0</v>
      </c>
      <c r="M39" s="417">
        <f t="shared" si="1"/>
        <v>0</v>
      </c>
      <c r="N39" s="418">
        <f t="shared" si="1"/>
        <v>0</v>
      </c>
      <c r="O39" s="419">
        <f t="shared" si="1"/>
        <v>0</v>
      </c>
      <c r="P39" s="420">
        <f t="shared" si="1"/>
        <v>0</v>
      </c>
      <c r="Q39" s="420">
        <f t="shared" si="1"/>
        <v>0</v>
      </c>
      <c r="R39" s="420">
        <f t="shared" si="1"/>
        <v>0</v>
      </c>
      <c r="S39" s="420">
        <f t="shared" si="1"/>
        <v>0</v>
      </c>
      <c r="T39" s="421">
        <f t="shared" si="1"/>
        <v>0</v>
      </c>
      <c r="U39" s="419">
        <f t="shared" si="1"/>
        <v>0</v>
      </c>
      <c r="V39" s="420">
        <f t="shared" si="1"/>
        <v>0</v>
      </c>
      <c r="W39" s="420">
        <f t="shared" si="1"/>
        <v>0</v>
      </c>
      <c r="X39" s="420">
        <f t="shared" si="1"/>
        <v>0</v>
      </c>
      <c r="Y39" s="420">
        <f t="shared" si="1"/>
        <v>0</v>
      </c>
      <c r="Z39" s="420">
        <f t="shared" si="1"/>
        <v>0</v>
      </c>
      <c r="AA39" s="422">
        <f t="shared" si="1"/>
        <v>0</v>
      </c>
      <c r="AB39" s="423">
        <f t="shared" si="1"/>
        <v>0</v>
      </c>
      <c r="AC39" s="423">
        <f t="shared" si="1"/>
        <v>0</v>
      </c>
      <c r="AD39" s="424" t="s">
        <v>29</v>
      </c>
      <c r="AE39" s="424" t="s">
        <v>29</v>
      </c>
      <c r="AF39" s="424" t="s">
        <v>29</v>
      </c>
      <c r="AG39" s="424" t="s">
        <v>29</v>
      </c>
      <c r="AH39" s="424" t="s">
        <v>29</v>
      </c>
      <c r="AI39" s="424" t="s">
        <v>159</v>
      </c>
      <c r="AJ39" s="423">
        <f t="shared" ref="AJ39:AS39" si="2">SUM(AJ8:AJ38)</f>
        <v>0</v>
      </c>
      <c r="AK39" s="423">
        <f t="shared" si="2"/>
        <v>0</v>
      </c>
      <c r="AL39" s="423">
        <f t="shared" si="2"/>
        <v>0</v>
      </c>
      <c r="AM39" s="423">
        <f t="shared" si="2"/>
        <v>0</v>
      </c>
      <c r="AN39" s="423">
        <f t="shared" si="2"/>
        <v>0</v>
      </c>
      <c r="AO39" s="423">
        <f t="shared" si="2"/>
        <v>0</v>
      </c>
      <c r="AP39" s="423">
        <f t="shared" si="2"/>
        <v>0</v>
      </c>
      <c r="AQ39" s="423">
        <f t="shared" si="2"/>
        <v>0</v>
      </c>
      <c r="AR39" s="423">
        <f t="shared" si="2"/>
        <v>0</v>
      </c>
      <c r="AS39" s="423">
        <f t="shared" si="2"/>
        <v>0</v>
      </c>
    </row>
    <row r="40" spans="1:45" ht="15.75" thickBot="1" x14ac:dyDescent="0.3">
      <c r="A40" s="47" t="s">
        <v>172</v>
      </c>
      <c r="B40" s="32">
        <f>Projection!$AB$30</f>
        <v>0</v>
      </c>
      <c r="C40" s="33">
        <f>Projection!$AB$28</f>
        <v>0</v>
      </c>
      <c r="D40" s="33">
        <f>Projection!$AB$31</f>
        <v>2.1114878399999997</v>
      </c>
      <c r="E40" s="33">
        <f>Projection!$AB$26</f>
        <v>4.4235360000000004</v>
      </c>
      <c r="F40" s="33">
        <f>Projection!$AB$23</f>
        <v>0</v>
      </c>
      <c r="G40" s="33">
        <f>Projection!$AB$24</f>
        <v>7.2805000000000009E-2</v>
      </c>
      <c r="H40" s="34">
        <f>Projection!$AB$29</f>
        <v>0</v>
      </c>
      <c r="I40" s="32">
        <f>Projection!$AB$30</f>
        <v>0</v>
      </c>
      <c r="J40" s="33">
        <f>Projection!$AB$28</f>
        <v>0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0</v>
      </c>
      <c r="T40" s="38">
        <f>Projection!$AB$28</f>
        <v>0</v>
      </c>
      <c r="U40" s="26">
        <f>Projection!$AB$27</f>
        <v>0.26450000000000001</v>
      </c>
      <c r="V40" s="27">
        <f>Projection!$AB$27</f>
        <v>0.26450000000000001</v>
      </c>
      <c r="W40" s="27">
        <f>Projection!$AB$22</f>
        <v>0</v>
      </c>
      <c r="X40" s="27">
        <f>Projection!$AB$22</f>
        <v>0</v>
      </c>
      <c r="Y40" s="27">
        <f>Projection!$AB$31</f>
        <v>2.1114878399999997</v>
      </c>
      <c r="Z40" s="27">
        <f>Projection!$AB$31</f>
        <v>2.1114878399999997</v>
      </c>
      <c r="AA40" s="28">
        <v>0</v>
      </c>
      <c r="AB40" s="41">
        <f>Projection!$AB$27</f>
        <v>0.26450000000000001</v>
      </c>
      <c r="AC40" s="41">
        <f>Projection!$AB$30</f>
        <v>0</v>
      </c>
      <c r="AD40" s="399">
        <f>SUM(AD8:AD38)</f>
        <v>0</v>
      </c>
      <c r="AE40" s="399">
        <f>SUM(AE8:AE38)</f>
        <v>0</v>
      </c>
      <c r="AF40" s="276">
        <f>SUM(AF8:AF38)</f>
        <v>0</v>
      </c>
      <c r="AG40" s="276">
        <f>SUM(AG8:AG38)</f>
        <v>0</v>
      </c>
      <c r="AH40" s="276">
        <f>SUM(AH8:AH38)</f>
        <v>0</v>
      </c>
      <c r="AI40" s="276">
        <f>IF(SUM(AG40:AH40)&gt;0, AG40/(AG40+AH40), 0)</f>
        <v>0</v>
      </c>
      <c r="AJ40" s="311">
        <v>6.4000000000000001E-2</v>
      </c>
      <c r="AK40" s="311">
        <f t="shared" ref="AK40:AS40" si="3">$AJ$40</f>
        <v>6.4000000000000001E-2</v>
      </c>
      <c r="AL40" s="311">
        <f t="shared" si="3"/>
        <v>6.4000000000000001E-2</v>
      </c>
      <c r="AM40" s="311">
        <f t="shared" si="3"/>
        <v>6.4000000000000001E-2</v>
      </c>
      <c r="AN40" s="311">
        <f t="shared" si="3"/>
        <v>6.4000000000000001E-2</v>
      </c>
      <c r="AO40" s="311">
        <f t="shared" si="3"/>
        <v>6.4000000000000001E-2</v>
      </c>
      <c r="AP40" s="311">
        <f t="shared" si="3"/>
        <v>6.4000000000000001E-2</v>
      </c>
      <c r="AQ40" s="311">
        <f t="shared" si="3"/>
        <v>6.4000000000000001E-2</v>
      </c>
      <c r="AR40" s="311">
        <f t="shared" si="3"/>
        <v>6.4000000000000001E-2</v>
      </c>
      <c r="AS40" s="311">
        <f t="shared" si="3"/>
        <v>6.4000000000000001E-2</v>
      </c>
    </row>
    <row r="41" spans="1:45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0</v>
      </c>
      <c r="D41" s="36">
        <f t="shared" si="4"/>
        <v>0</v>
      </c>
      <c r="E41" s="36">
        <f t="shared" si="4"/>
        <v>0</v>
      </c>
      <c r="F41" s="36">
        <f t="shared" si="4"/>
        <v>0</v>
      </c>
      <c r="G41" s="36">
        <f t="shared" si="4"/>
        <v>0</v>
      </c>
      <c r="H41" s="37">
        <f t="shared" si="4"/>
        <v>0</v>
      </c>
      <c r="I41" s="35">
        <f t="shared" si="4"/>
        <v>0</v>
      </c>
      <c r="J41" s="36">
        <f t="shared" si="4"/>
        <v>0</v>
      </c>
      <c r="K41" s="36">
        <f t="shared" si="4"/>
        <v>0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6">
        <f t="shared" si="4"/>
        <v>0</v>
      </c>
      <c r="P41" s="267">
        <f t="shared" si="4"/>
        <v>0</v>
      </c>
      <c r="Q41" s="267">
        <f t="shared" si="4"/>
        <v>0</v>
      </c>
      <c r="R41" s="267">
        <f t="shared" si="4"/>
        <v>0</v>
      </c>
      <c r="S41" s="267">
        <f t="shared" si="4"/>
        <v>0</v>
      </c>
      <c r="T41" s="268">
        <f t="shared" si="4"/>
        <v>0</v>
      </c>
      <c r="U41" s="266">
        <f t="shared" si="4"/>
        <v>0</v>
      </c>
      <c r="V41" s="267">
        <f t="shared" si="4"/>
        <v>0</v>
      </c>
      <c r="W41" s="267">
        <f t="shared" si="4"/>
        <v>0</v>
      </c>
      <c r="X41" s="267">
        <f t="shared" si="4"/>
        <v>0</v>
      </c>
      <c r="Y41" s="267">
        <f t="shared" si="4"/>
        <v>0</v>
      </c>
      <c r="Z41" s="267">
        <f t="shared" si="4"/>
        <v>0</v>
      </c>
      <c r="AA41" s="271">
        <f t="shared" si="4"/>
        <v>0</v>
      </c>
      <c r="AB41" s="274">
        <f t="shared" si="4"/>
        <v>0</v>
      </c>
      <c r="AC41" s="274">
        <f t="shared" si="4"/>
        <v>0</v>
      </c>
      <c r="AJ41" s="277">
        <f t="shared" ref="AJ41:AS41" si="5">AJ40*AJ39</f>
        <v>0</v>
      </c>
      <c r="AK41" s="277">
        <f t="shared" si="5"/>
        <v>0</v>
      </c>
      <c r="AL41" s="277">
        <f t="shared" si="5"/>
        <v>0</v>
      </c>
      <c r="AM41" s="277">
        <f t="shared" si="5"/>
        <v>0</v>
      </c>
      <c r="AN41" s="277">
        <f t="shared" si="5"/>
        <v>0</v>
      </c>
      <c r="AO41" s="277">
        <f t="shared" si="5"/>
        <v>0</v>
      </c>
      <c r="AP41" s="277">
        <f t="shared" si="5"/>
        <v>0</v>
      </c>
      <c r="AQ41" s="277">
        <f t="shared" si="5"/>
        <v>0</v>
      </c>
      <c r="AR41" s="277">
        <f t="shared" si="5"/>
        <v>0</v>
      </c>
      <c r="AS41" s="277">
        <f t="shared" si="5"/>
        <v>0</v>
      </c>
    </row>
    <row r="42" spans="1:45" ht="49.5" customHeight="1" thickTop="1" thickBot="1" x14ac:dyDescent="0.3">
      <c r="A42" s="636">
        <f>MAY!$A$42+31</f>
        <v>44349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0</v>
      </c>
      <c r="C45" s="12"/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0</v>
      </c>
      <c r="C49" s="12"/>
      <c r="D49" s="290" t="s">
        <v>195</v>
      </c>
      <c r="E49" s="291">
        <f>AH40</f>
        <v>0</v>
      </c>
      <c r="F49" s="373" t="e">
        <f>E44/E49</f>
        <v>#DIV/0!</v>
      </c>
      <c r="G49" s="290" t="s">
        <v>196</v>
      </c>
      <c r="H49" s="291">
        <f>AG40</f>
        <v>0</v>
      </c>
      <c r="I49" s="372" t="e">
        <f>H44/H49</f>
        <v>#DIV/0!</v>
      </c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0</v>
      </c>
      <c r="U49" s="255">
        <f>(T49*8.34*1.04)/45000</f>
        <v>0</v>
      </c>
    </row>
    <row r="50" spans="1:25" ht="48" customHeight="1" thickTop="1" thickBot="1" x14ac:dyDescent="0.3">
      <c r="A50" s="290" t="s">
        <v>223</v>
      </c>
      <c r="B50" s="291">
        <f>SUM(E50+H50)</f>
        <v>0</v>
      </c>
      <c r="C50" s="12"/>
      <c r="D50" s="290" t="s">
        <v>224</v>
      </c>
      <c r="E50" s="291">
        <f>AE40</f>
        <v>0</v>
      </c>
      <c r="F50" s="373"/>
      <c r="G50" s="290" t="s">
        <v>225</v>
      </c>
      <c r="H50" s="291">
        <f>AD40</f>
        <v>0</v>
      </c>
      <c r="I50" s="37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293" t="e">
        <f>SUM(E44:E48)/E50</f>
        <v>#DIV/0!</v>
      </c>
      <c r="F51" s="23"/>
      <c r="G51" s="290" t="s">
        <v>189</v>
      </c>
      <c r="H51" s="293" t="e">
        <f>SUM(H44:H48)/H50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0</v>
      </c>
      <c r="U51" s="255">
        <f>T51/2000/8</f>
        <v>0</v>
      </c>
    </row>
    <row r="52" spans="1:25" ht="47.25" customHeight="1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12"/>
      <c r="G52" s="280" t="s">
        <v>193</v>
      </c>
      <c r="H52" s="293" t="e">
        <f>H51/1000</f>
        <v>#DIV/0!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0</v>
      </c>
      <c r="U54" s="255">
        <f>(T54*8.34*1.029*0.03)/3300</f>
        <v>0</v>
      </c>
    </row>
    <row r="55" spans="1:25" ht="54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</row>
    <row r="56" spans="1:25" ht="24" thickTop="1" x14ac:dyDescent="0.25">
      <c r="A56" s="664"/>
      <c r="B56" s="66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6"/>
      <c r="B57" s="66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2"/>
      <c r="B58" s="66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3"/>
      <c r="B59" s="66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2"/>
      <c r="B60" s="66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3"/>
      <c r="B61" s="663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Z9xogeEGAcFL2FH/e3M1jXYpbdauWSSNF/bdADpKd5X7MhdAOJiyo+0WEY0Kk7SixcWOc7NodVj/2Z73Bg4/2Q==" saltValue="sWikE9c5mULLIN1uVqsRJg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W63"/>
  <sheetViews>
    <sheetView zoomScale="75" zoomScaleNormal="75" workbookViewId="0">
      <selection activeCell="A8" sqref="A8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/>
      <c r="B8" s="49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2"/>
      <c r="U8" s="53"/>
      <c r="V8" s="54"/>
      <c r="W8" s="54"/>
      <c r="X8" s="54"/>
      <c r="Y8" s="54"/>
      <c r="Z8" s="54"/>
      <c r="AA8" s="55"/>
      <c r="AB8" s="56"/>
      <c r="AC8" s="57"/>
      <c r="AD8" s="407"/>
      <c r="AE8" s="407"/>
      <c r="AF8" s="57"/>
      <c r="AG8" s="58"/>
      <c r="AH8" s="58"/>
      <c r="AI8" s="58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 spans="1:49" x14ac:dyDescent="0.25">
      <c r="A9" s="11"/>
      <c r="B9" s="59"/>
      <c r="C9" s="60"/>
      <c r="D9" s="60"/>
      <c r="E9" s="60"/>
      <c r="F9" s="60"/>
      <c r="G9" s="60"/>
      <c r="H9" s="61"/>
      <c r="I9" s="59"/>
      <c r="J9" s="60"/>
      <c r="K9" s="60"/>
      <c r="L9" s="60"/>
      <c r="M9" s="60"/>
      <c r="N9" s="61"/>
      <c r="O9" s="59"/>
      <c r="P9" s="60"/>
      <c r="Q9" s="62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8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49" x14ac:dyDescent="0.25">
      <c r="A10" s="11"/>
      <c r="B10" s="59"/>
      <c r="C10" s="60"/>
      <c r="D10" s="60"/>
      <c r="E10" s="60"/>
      <c r="F10" s="60"/>
      <c r="G10" s="60"/>
      <c r="H10" s="61"/>
      <c r="I10" s="59"/>
      <c r="J10" s="60"/>
      <c r="K10" s="60"/>
      <c r="L10" s="60"/>
      <c r="M10" s="6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8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49" x14ac:dyDescent="0.25">
      <c r="A11" s="11"/>
      <c r="B11" s="59"/>
      <c r="C11" s="60"/>
      <c r="D11" s="60"/>
      <c r="E11" s="60"/>
      <c r="F11" s="60"/>
      <c r="G11" s="60"/>
      <c r="H11" s="61"/>
      <c r="I11" s="59"/>
      <c r="J11" s="60"/>
      <c r="K11" s="60"/>
      <c r="L11" s="60"/>
      <c r="M11" s="6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8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49" x14ac:dyDescent="0.25">
      <c r="A12" s="11"/>
      <c r="B12" s="59"/>
      <c r="C12" s="60"/>
      <c r="D12" s="60"/>
      <c r="E12" s="60"/>
      <c r="F12" s="60"/>
      <c r="G12" s="60"/>
      <c r="H12" s="61"/>
      <c r="I12" s="59"/>
      <c r="J12" s="60"/>
      <c r="K12" s="60"/>
      <c r="L12" s="60"/>
      <c r="M12" s="6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8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49" x14ac:dyDescent="0.25">
      <c r="A13" s="11"/>
      <c r="B13" s="59"/>
      <c r="C13" s="60"/>
      <c r="D13" s="60"/>
      <c r="E13" s="60"/>
      <c r="F13" s="60"/>
      <c r="G13" s="60"/>
      <c r="H13" s="61"/>
      <c r="I13" s="59"/>
      <c r="J13" s="60"/>
      <c r="K13" s="60"/>
      <c r="L13" s="60"/>
      <c r="M13" s="6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49" x14ac:dyDescent="0.25">
      <c r="A14" s="11"/>
      <c r="B14" s="59"/>
      <c r="C14" s="60"/>
      <c r="D14" s="60"/>
      <c r="E14" s="60"/>
      <c r="F14" s="60"/>
      <c r="G14" s="60"/>
      <c r="H14" s="61"/>
      <c r="I14" s="59"/>
      <c r="J14" s="60"/>
      <c r="K14" s="60"/>
      <c r="L14" s="60"/>
      <c r="M14" s="6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49" x14ac:dyDescent="0.25">
      <c r="A15" s="11"/>
      <c r="B15" s="59"/>
      <c r="C15" s="60"/>
      <c r="D15" s="60"/>
      <c r="E15" s="60"/>
      <c r="F15" s="60"/>
      <c r="G15" s="60"/>
      <c r="H15" s="61"/>
      <c r="I15" s="59"/>
      <c r="J15" s="60"/>
      <c r="K15" s="60"/>
      <c r="L15" s="60"/>
      <c r="M15" s="6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49" x14ac:dyDescent="0.25">
      <c r="A16" s="11"/>
      <c r="B16" s="59"/>
      <c r="C16" s="60"/>
      <c r="D16" s="60"/>
      <c r="E16" s="60"/>
      <c r="F16" s="60"/>
      <c r="G16" s="60"/>
      <c r="H16" s="61"/>
      <c r="I16" s="59"/>
      <c r="J16" s="60"/>
      <c r="K16" s="60"/>
      <c r="L16" s="60"/>
      <c r="M16" s="60"/>
      <c r="N16" s="61"/>
      <c r="O16" s="59"/>
      <c r="P16" s="60"/>
      <c r="Q16" s="60"/>
      <c r="R16" s="63"/>
      <c r="S16" s="60"/>
      <c r="T16" s="64"/>
      <c r="U16" s="65"/>
      <c r="V16" s="62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11"/>
      <c r="B17" s="49"/>
      <c r="C17" s="50"/>
      <c r="D17" s="50"/>
      <c r="E17" s="50"/>
      <c r="F17" s="50"/>
      <c r="G17" s="50"/>
      <c r="H17" s="51"/>
      <c r="I17" s="49"/>
      <c r="J17" s="50"/>
      <c r="K17" s="50"/>
      <c r="L17" s="60"/>
      <c r="M17" s="50"/>
      <c r="N17" s="51"/>
      <c r="O17" s="49"/>
      <c r="P17" s="50"/>
      <c r="Q17" s="50"/>
      <c r="R17" s="70"/>
      <c r="S17" s="50"/>
      <c r="T17" s="52"/>
      <c r="U17" s="71"/>
      <c r="V17" s="66"/>
      <c r="W17" s="62"/>
      <c r="X17" s="62"/>
      <c r="Y17" s="66"/>
      <c r="Z17" s="66"/>
      <c r="AA17" s="67"/>
      <c r="AB17" s="68"/>
      <c r="AC17" s="69"/>
      <c r="AD17" s="408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11"/>
      <c r="B18" s="59"/>
      <c r="C18" s="60"/>
      <c r="D18" s="60"/>
      <c r="E18" s="60"/>
      <c r="F18" s="60"/>
      <c r="G18" s="60"/>
      <c r="H18" s="61"/>
      <c r="I18" s="59"/>
      <c r="J18" s="60"/>
      <c r="K18" s="60"/>
      <c r="L18" s="60"/>
      <c r="M18" s="6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60"/>
      <c r="F19" s="60"/>
      <c r="G19" s="60"/>
      <c r="H19" s="61"/>
      <c r="I19" s="59"/>
      <c r="J19" s="60"/>
      <c r="K19" s="60"/>
      <c r="L19" s="60"/>
      <c r="M19" s="6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60"/>
      <c r="F20" s="60"/>
      <c r="G20" s="60"/>
      <c r="H20" s="61"/>
      <c r="I20" s="59"/>
      <c r="J20" s="60"/>
      <c r="K20" s="60"/>
      <c r="L20" s="6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60"/>
      <c r="F21" s="60"/>
      <c r="G21" s="60"/>
      <c r="H21" s="61"/>
      <c r="I21" s="59"/>
      <c r="J21" s="60"/>
      <c r="K21" s="60"/>
      <c r="L21" s="6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60"/>
      <c r="F22" s="60"/>
      <c r="G22" s="60"/>
      <c r="H22" s="61"/>
      <c r="I22" s="59"/>
      <c r="J22" s="60"/>
      <c r="K22" s="60"/>
      <c r="L22" s="6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60"/>
      <c r="F23" s="60"/>
      <c r="G23" s="60"/>
      <c r="H23" s="61"/>
      <c r="I23" s="59"/>
      <c r="J23" s="60"/>
      <c r="K23" s="60"/>
      <c r="L23" s="6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60"/>
      <c r="F24" s="60"/>
      <c r="G24" s="60"/>
      <c r="H24" s="61"/>
      <c r="I24" s="59"/>
      <c r="J24" s="60"/>
      <c r="K24" s="60"/>
      <c r="L24" s="6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11"/>
      <c r="B25" s="59"/>
      <c r="C25" s="60"/>
      <c r="D25" s="60"/>
      <c r="E25" s="60"/>
      <c r="F25" s="60"/>
      <c r="G25" s="60"/>
      <c r="H25" s="61"/>
      <c r="I25" s="59"/>
      <c r="J25" s="60"/>
      <c r="K25" s="60"/>
      <c r="L25" s="6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8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11"/>
      <c r="B26" s="59"/>
      <c r="C26" s="60"/>
      <c r="D26" s="60"/>
      <c r="E26" s="60"/>
      <c r="F26" s="60"/>
      <c r="G26" s="60"/>
      <c r="H26" s="61"/>
      <c r="I26" s="59"/>
      <c r="J26" s="60"/>
      <c r="K26" s="60"/>
      <c r="L26" s="6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6"/>
      <c r="Z26" s="66"/>
      <c r="AA26" s="67"/>
      <c r="AB26" s="68"/>
      <c r="AC26" s="69"/>
      <c r="AD26" s="408"/>
      <c r="AE26" s="408"/>
      <c r="AF26" s="69"/>
      <c r="AG26" s="68"/>
      <c r="AH26" s="68"/>
      <c r="AI26" s="68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60"/>
      <c r="F27" s="60"/>
      <c r="G27" s="60"/>
      <c r="H27" s="61"/>
      <c r="I27" s="59"/>
      <c r="J27" s="60"/>
      <c r="K27" s="60"/>
      <c r="L27" s="6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2"/>
      <c r="Z27" s="62"/>
      <c r="AA27" s="72"/>
      <c r="AB27" s="69"/>
      <c r="AC27" s="69"/>
      <c r="AD27" s="408"/>
      <c r="AE27" s="408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60"/>
      <c r="F28" s="60"/>
      <c r="G28" s="60"/>
      <c r="H28" s="61"/>
      <c r="I28" s="59"/>
      <c r="J28" s="60"/>
      <c r="K28" s="60"/>
      <c r="L28" s="6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60"/>
      <c r="F29" s="60"/>
      <c r="G29" s="60"/>
      <c r="H29" s="61"/>
      <c r="I29" s="59"/>
      <c r="J29" s="60"/>
      <c r="K29" s="60"/>
      <c r="L29" s="6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60"/>
      <c r="F30" s="60"/>
      <c r="G30" s="60"/>
      <c r="H30" s="61"/>
      <c r="I30" s="59"/>
      <c r="J30" s="60"/>
      <c r="K30" s="60"/>
      <c r="L30" s="6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60"/>
      <c r="F31" s="60"/>
      <c r="G31" s="60"/>
      <c r="H31" s="61"/>
      <c r="I31" s="59"/>
      <c r="J31" s="60"/>
      <c r="K31" s="60"/>
      <c r="L31" s="6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60"/>
      <c r="F32" s="60"/>
      <c r="G32" s="60"/>
      <c r="H32" s="61"/>
      <c r="I32" s="59"/>
      <c r="J32" s="60"/>
      <c r="K32" s="60"/>
      <c r="L32" s="6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60"/>
      <c r="F33" s="60"/>
      <c r="G33" s="60"/>
      <c r="H33" s="61"/>
      <c r="I33" s="59"/>
      <c r="J33" s="60"/>
      <c r="K33" s="60"/>
      <c r="L33" s="6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60"/>
      <c r="F34" s="60"/>
      <c r="G34" s="60"/>
      <c r="H34" s="61"/>
      <c r="I34" s="59"/>
      <c r="J34" s="60"/>
      <c r="K34" s="60"/>
      <c r="L34" s="6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59"/>
      <c r="C35" s="60"/>
      <c r="D35" s="60"/>
      <c r="E35" s="60"/>
      <c r="F35" s="60"/>
      <c r="G35" s="60"/>
      <c r="H35" s="61"/>
      <c r="I35" s="59"/>
      <c r="J35" s="60"/>
      <c r="K35" s="60"/>
      <c r="L35" s="6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8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8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s="370" customFormat="1" ht="15" customHeight="1" x14ac:dyDescent="0.25">
      <c r="A37" s="11"/>
      <c r="B37" s="364"/>
      <c r="C37" s="365"/>
      <c r="D37" s="365"/>
      <c r="E37" s="365"/>
      <c r="F37" s="365"/>
      <c r="G37" s="365"/>
      <c r="H37" s="366"/>
      <c r="I37" s="364"/>
      <c r="J37" s="365"/>
      <c r="K37" s="365"/>
      <c r="L37" s="367"/>
      <c r="M37" s="365"/>
      <c r="N37" s="366"/>
      <c r="O37" s="364"/>
      <c r="P37" s="365"/>
      <c r="Q37" s="365"/>
      <c r="R37" s="365"/>
      <c r="S37" s="365"/>
      <c r="T37" s="366"/>
      <c r="U37" s="364"/>
      <c r="V37" s="365"/>
      <c r="W37" s="365"/>
      <c r="X37" s="365"/>
      <c r="Y37" s="365"/>
      <c r="Z37" s="365"/>
      <c r="AA37" s="366"/>
      <c r="AB37" s="368"/>
      <c r="AC37" s="369"/>
      <c r="AD37" s="408"/>
      <c r="AE37" s="408"/>
      <c r="AF37" s="369"/>
      <c r="AG37" s="369"/>
      <c r="AH37" s="369"/>
      <c r="AI37" s="369"/>
      <c r="AJ37" s="369"/>
      <c r="AK37" s="369"/>
      <c r="AL37" s="369"/>
      <c r="AM37" s="369"/>
      <c r="AN37" s="369"/>
      <c r="AO37" s="369"/>
      <c r="AP37" s="369"/>
      <c r="AQ37" s="369"/>
      <c r="AR37" s="369"/>
      <c r="AS37" s="369"/>
    </row>
    <row r="38" spans="1:45" s="370" customFormat="1" ht="15" customHeight="1" thickBot="1" x14ac:dyDescent="0.3">
      <c r="A38" s="11"/>
      <c r="B38" s="364"/>
      <c r="C38" s="365"/>
      <c r="D38" s="365"/>
      <c r="E38" s="365"/>
      <c r="F38" s="365"/>
      <c r="G38" s="365"/>
      <c r="H38" s="366"/>
      <c r="I38" s="364"/>
      <c r="J38" s="365"/>
      <c r="K38" s="365"/>
      <c r="L38" s="367"/>
      <c r="M38" s="365"/>
      <c r="N38" s="366"/>
      <c r="O38" s="364"/>
      <c r="P38" s="365"/>
      <c r="Q38" s="365"/>
      <c r="R38" s="365"/>
      <c r="S38" s="365"/>
      <c r="T38" s="371"/>
      <c r="U38" s="364"/>
      <c r="V38" s="365"/>
      <c r="W38" s="365"/>
      <c r="X38" s="365"/>
      <c r="Y38" s="365"/>
      <c r="Z38" s="365"/>
      <c r="AA38" s="366"/>
      <c r="AB38" s="368"/>
      <c r="AC38" s="369"/>
      <c r="AD38" s="408"/>
      <c r="AE38" s="408"/>
      <c r="AF38" s="369"/>
      <c r="AG38" s="369"/>
      <c r="AH38" s="369"/>
      <c r="AI38" s="369"/>
      <c r="AJ38" s="369"/>
      <c r="AK38" s="369"/>
      <c r="AL38" s="369"/>
      <c r="AM38" s="369"/>
      <c r="AN38" s="369"/>
      <c r="AO38" s="369"/>
      <c r="AP38" s="369"/>
      <c r="AQ38" s="369"/>
      <c r="AR38" s="369"/>
      <c r="AS38" s="369"/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SUM(AJ8:AJ37)</f>
        <v>0</v>
      </c>
      <c r="AK39" s="272">
        <f t="shared" si="1"/>
        <v>0</v>
      </c>
      <c r="AL39" s="272">
        <f t="shared" si="1"/>
        <v>0</v>
      </c>
      <c r="AM39" s="272">
        <f t="shared" si="1"/>
        <v>0</v>
      </c>
      <c r="AN39" s="272">
        <f t="shared" si="1"/>
        <v>0</v>
      </c>
      <c r="AO39" s="272">
        <f t="shared" si="1"/>
        <v>0</v>
      </c>
      <c r="AP39" s="272">
        <f t="shared" si="1"/>
        <v>0</v>
      </c>
      <c r="AQ39" s="272">
        <f t="shared" si="1"/>
        <v>0</v>
      </c>
      <c r="AR39" s="272">
        <f t="shared" si="1"/>
        <v>0</v>
      </c>
      <c r="AS39" s="272">
        <f t="shared" si="1"/>
        <v>0</v>
      </c>
    </row>
    <row r="40" spans="1:45" ht="15.75" thickBot="1" x14ac:dyDescent="0.3">
      <c r="A40" s="47" t="s">
        <v>172</v>
      </c>
      <c r="B40" s="32">
        <f>Projection!$AC$30</f>
        <v>0</v>
      </c>
      <c r="C40" s="33">
        <f>Projection!$AC$28</f>
        <v>0</v>
      </c>
      <c r="D40" s="33">
        <f>Projection!$AC$31</f>
        <v>0</v>
      </c>
      <c r="E40" s="33">
        <f>Projection!$AC$26</f>
        <v>4.4235360000000004</v>
      </c>
      <c r="F40" s="33">
        <f>Projection!$AC$23</f>
        <v>0</v>
      </c>
      <c r="G40" s="33">
        <f>Projection!$AC$24</f>
        <v>0</v>
      </c>
      <c r="H40" s="34">
        <f>Projection!$AC$29</f>
        <v>0</v>
      </c>
      <c r="I40" s="32">
        <f>Projection!$AC$30</f>
        <v>0</v>
      </c>
      <c r="J40" s="33">
        <f>Projection!$AC$28</f>
        <v>0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0</v>
      </c>
      <c r="T40" s="38">
        <f>Projection!$AC$28</f>
        <v>0</v>
      </c>
      <c r="U40" s="26">
        <f>Projection!$AC$27</f>
        <v>0.26450000000000001</v>
      </c>
      <c r="V40" s="27">
        <f>Projection!$AC$27</f>
        <v>0.26450000000000001</v>
      </c>
      <c r="W40" s="27">
        <f>Projection!$AC$22</f>
        <v>0</v>
      </c>
      <c r="X40" s="27">
        <f>Projection!$AC$22</f>
        <v>0</v>
      </c>
      <c r="Y40" s="27">
        <f>Projection!$AC$31</f>
        <v>0</v>
      </c>
      <c r="Z40" s="27">
        <f>Projection!$AC$31</f>
        <v>0</v>
      </c>
      <c r="AA40" s="28">
        <v>0</v>
      </c>
      <c r="AB40" s="41">
        <f>Projection!$AC$27</f>
        <v>0.26450000000000001</v>
      </c>
      <c r="AC40" s="41">
        <f>Projection!$AC$30</f>
        <v>0</v>
      </c>
      <c r="AD40" s="399">
        <f>SUM(AD8:AD38)</f>
        <v>0</v>
      </c>
      <c r="AE40" s="399">
        <f>SUM(AE8:AE38)</f>
        <v>0</v>
      </c>
      <c r="AF40" s="276">
        <f>SUM(AF8:AF37)</f>
        <v>0</v>
      </c>
      <c r="AG40" s="276">
        <f>SUM(AG8:AG37)</f>
        <v>0</v>
      </c>
      <c r="AH40" s="276">
        <f>SUM(AH8:AH37)</f>
        <v>0</v>
      </c>
      <c r="AI40" s="276">
        <f>IF(SUM(AG40:AH40)&gt;0, AG40/(AG40+AH40), 0)</f>
        <v>0</v>
      </c>
      <c r="AJ40" s="311">
        <v>6.5000000000000002E-2</v>
      </c>
      <c r="AK40" s="311">
        <f t="shared" ref="AK40:AS40" si="2">$AJ$40</f>
        <v>6.5000000000000002E-2</v>
      </c>
      <c r="AL40" s="311">
        <f t="shared" si="2"/>
        <v>6.5000000000000002E-2</v>
      </c>
      <c r="AM40" s="311">
        <f t="shared" si="2"/>
        <v>6.5000000000000002E-2</v>
      </c>
      <c r="AN40" s="311">
        <f t="shared" si="2"/>
        <v>6.5000000000000002E-2</v>
      </c>
      <c r="AO40" s="311">
        <f t="shared" si="2"/>
        <v>6.5000000000000002E-2</v>
      </c>
      <c r="AP40" s="311">
        <f t="shared" si="2"/>
        <v>6.5000000000000002E-2</v>
      </c>
      <c r="AQ40" s="311">
        <f t="shared" si="2"/>
        <v>6.5000000000000002E-2</v>
      </c>
      <c r="AR40" s="311">
        <f t="shared" si="2"/>
        <v>6.5000000000000002E-2</v>
      </c>
      <c r="AS40" s="311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S41" si="4">AJ40*AJ39</f>
        <v>0</v>
      </c>
      <c r="AK41" s="277">
        <f t="shared" si="4"/>
        <v>0</v>
      </c>
      <c r="AL41" s="277">
        <f t="shared" si="4"/>
        <v>0</v>
      </c>
      <c r="AM41" s="277">
        <f t="shared" si="4"/>
        <v>0</v>
      </c>
      <c r="AN41" s="277">
        <f t="shared" si="4"/>
        <v>0</v>
      </c>
      <c r="AO41" s="277">
        <f t="shared" si="4"/>
        <v>0</v>
      </c>
      <c r="AP41" s="277">
        <f t="shared" si="4"/>
        <v>0</v>
      </c>
      <c r="AQ41" s="277">
        <f t="shared" si="4"/>
        <v>0</v>
      </c>
      <c r="AR41" s="277">
        <f t="shared" si="4"/>
        <v>0</v>
      </c>
      <c r="AS41" s="277">
        <f t="shared" si="4"/>
        <v>0</v>
      </c>
    </row>
    <row r="42" spans="1:45" ht="49.5" customHeight="1" thickTop="1" thickBot="1" x14ac:dyDescent="0.3">
      <c r="A42" s="636">
        <f>JUNE!$A$42+30</f>
        <v>44379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0</v>
      </c>
      <c r="C45" s="12"/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0</v>
      </c>
      <c r="C49" s="12"/>
      <c r="D49" s="290" t="s">
        <v>195</v>
      </c>
      <c r="E49" s="291">
        <f>AH40</f>
        <v>0</v>
      </c>
      <c r="F49" s="373" t="e">
        <f>E44/E49</f>
        <v>#DIV/0!</v>
      </c>
      <c r="G49" s="290" t="s">
        <v>196</v>
      </c>
      <c r="H49" s="291">
        <f>AG40</f>
        <v>0</v>
      </c>
      <c r="I49" s="372" t="e">
        <f>H44/H49</f>
        <v>#DIV/0!</v>
      </c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0</v>
      </c>
      <c r="U49" s="255">
        <f>(T49*8.34*1.04)/45000</f>
        <v>0</v>
      </c>
    </row>
    <row r="50" spans="1:25" ht="48" customHeight="1" thickTop="1" thickBot="1" x14ac:dyDescent="0.3">
      <c r="A50" s="290" t="s">
        <v>223</v>
      </c>
      <c r="B50" s="291">
        <f>SUM(E50+H50)</f>
        <v>0</v>
      </c>
      <c r="C50" s="12"/>
      <c r="D50" s="290" t="s">
        <v>224</v>
      </c>
      <c r="E50" s="291">
        <f>AE40</f>
        <v>0</v>
      </c>
      <c r="F50" s="373"/>
      <c r="G50" s="290" t="s">
        <v>225</v>
      </c>
      <c r="H50" s="291">
        <f>AD40</f>
        <v>0</v>
      </c>
      <c r="I50" s="37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293" t="e">
        <f>SUM(E44:E48)/E50</f>
        <v>#DIV/0!</v>
      </c>
      <c r="F51" s="23"/>
      <c r="G51" s="290" t="s">
        <v>189</v>
      </c>
      <c r="H51" s="293" t="e">
        <f>SUM(H44:H48)/H50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0</v>
      </c>
      <c r="U51" s="255">
        <f>T51/2000/8</f>
        <v>0</v>
      </c>
    </row>
    <row r="52" spans="1:25" ht="47.25" customHeight="1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12"/>
      <c r="G52" s="280" t="s">
        <v>193</v>
      </c>
      <c r="H52" s="293" t="e">
        <f>H51/1000</f>
        <v>#DIV/0!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0</v>
      </c>
      <c r="U54" s="255">
        <f>(T54*8.34*1.029*0.03)/3300</f>
        <v>0</v>
      </c>
    </row>
    <row r="55" spans="1:25" ht="51.7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</row>
    <row r="56" spans="1:25" ht="24" thickTop="1" x14ac:dyDescent="0.25">
      <c r="A56" s="664"/>
      <c r="B56" s="66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6"/>
      <c r="B57" s="66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2"/>
      <c r="B58" s="66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3"/>
      <c r="B59" s="66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2"/>
      <c r="B60" s="66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3"/>
      <c r="B61" s="663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  <row r="63" spans="1:25" x14ac:dyDescent="0.25">
      <c r="A63" s="12"/>
      <c r="B63" s="12"/>
    </row>
  </sheetData>
  <sheetProtection algorithmName="SHA-512" hashValue="shmsKUca4SzaWKfBBFP8pUcJp3vQXpOGakJFXP3BUVMXz01VovDLUGmtuT4FZ2ic8Xnnxqkjb+mjOU5Fx0PpSg==" saltValue="GL/y9xNXsf/WqlyKH1Z7iA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W62"/>
  <sheetViews>
    <sheetView zoomScale="75" zoomScaleNormal="75" workbookViewId="0">
      <selection activeCell="A8" sqref="A8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/>
      <c r="B8" s="49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2"/>
      <c r="U8" s="53"/>
      <c r="V8" s="54"/>
      <c r="W8" s="54"/>
      <c r="X8" s="54"/>
      <c r="Y8" s="54"/>
      <c r="Z8" s="54"/>
      <c r="AA8" s="55"/>
      <c r="AB8" s="56"/>
      <c r="AC8" s="57"/>
      <c r="AD8" s="407"/>
      <c r="AE8" s="407"/>
      <c r="AF8" s="57"/>
      <c r="AG8" s="58"/>
      <c r="AH8" s="58"/>
      <c r="AI8" s="58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 spans="1:49" x14ac:dyDescent="0.25">
      <c r="A9" s="11"/>
      <c r="B9" s="59"/>
      <c r="C9" s="60"/>
      <c r="D9" s="60"/>
      <c r="E9" s="60"/>
      <c r="F9" s="60"/>
      <c r="G9" s="60"/>
      <c r="H9" s="61"/>
      <c r="I9" s="59"/>
      <c r="J9" s="60"/>
      <c r="K9" s="60"/>
      <c r="L9" s="60"/>
      <c r="M9" s="60"/>
      <c r="N9" s="61"/>
      <c r="O9" s="59"/>
      <c r="P9" s="60"/>
      <c r="Q9" s="62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8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49" x14ac:dyDescent="0.25">
      <c r="A10" s="11"/>
      <c r="B10" s="59"/>
      <c r="C10" s="60"/>
      <c r="D10" s="60"/>
      <c r="E10" s="60"/>
      <c r="F10" s="60"/>
      <c r="G10" s="60"/>
      <c r="H10" s="61"/>
      <c r="I10" s="59"/>
      <c r="J10" s="60"/>
      <c r="K10" s="60"/>
      <c r="L10" s="60"/>
      <c r="M10" s="6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8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49" x14ac:dyDescent="0.25">
      <c r="A11" s="11"/>
      <c r="B11" s="59"/>
      <c r="C11" s="60"/>
      <c r="D11" s="60"/>
      <c r="E11" s="60"/>
      <c r="F11" s="60"/>
      <c r="G11" s="60"/>
      <c r="H11" s="61"/>
      <c r="I11" s="59"/>
      <c r="J11" s="60"/>
      <c r="K11" s="60"/>
      <c r="L11" s="60"/>
      <c r="M11" s="6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8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49" x14ac:dyDescent="0.25">
      <c r="A12" s="11"/>
      <c r="B12" s="59"/>
      <c r="C12" s="60"/>
      <c r="D12" s="60"/>
      <c r="E12" s="60"/>
      <c r="F12" s="60"/>
      <c r="G12" s="60"/>
      <c r="H12" s="61"/>
      <c r="I12" s="59"/>
      <c r="J12" s="60"/>
      <c r="K12" s="60"/>
      <c r="L12" s="60"/>
      <c r="M12" s="6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8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49" x14ac:dyDescent="0.25">
      <c r="A13" s="11"/>
      <c r="B13" s="59"/>
      <c r="C13" s="60"/>
      <c r="D13" s="60"/>
      <c r="E13" s="60"/>
      <c r="F13" s="60"/>
      <c r="G13" s="60"/>
      <c r="H13" s="61"/>
      <c r="I13" s="59"/>
      <c r="J13" s="60"/>
      <c r="K13" s="60"/>
      <c r="L13" s="60"/>
      <c r="M13" s="6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49" x14ac:dyDescent="0.25">
      <c r="A14" s="11"/>
      <c r="B14" s="59"/>
      <c r="C14" s="60"/>
      <c r="D14" s="60"/>
      <c r="E14" s="60"/>
      <c r="F14" s="60"/>
      <c r="G14" s="60"/>
      <c r="H14" s="61"/>
      <c r="I14" s="59"/>
      <c r="J14" s="60"/>
      <c r="K14" s="60"/>
      <c r="L14" s="60"/>
      <c r="M14" s="6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49" x14ac:dyDescent="0.25">
      <c r="A15" s="11"/>
      <c r="B15" s="59"/>
      <c r="C15" s="60"/>
      <c r="D15" s="60"/>
      <c r="E15" s="60"/>
      <c r="F15" s="60"/>
      <c r="G15" s="60"/>
      <c r="H15" s="61"/>
      <c r="I15" s="59"/>
      <c r="J15" s="60"/>
      <c r="K15" s="60"/>
      <c r="L15" s="60"/>
      <c r="M15" s="6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49" x14ac:dyDescent="0.25">
      <c r="A16" s="11"/>
      <c r="B16" s="59"/>
      <c r="C16" s="60"/>
      <c r="D16" s="60"/>
      <c r="E16" s="60"/>
      <c r="F16" s="60"/>
      <c r="G16" s="60"/>
      <c r="H16" s="61"/>
      <c r="I16" s="59"/>
      <c r="J16" s="60"/>
      <c r="K16" s="60"/>
      <c r="L16" s="60"/>
      <c r="M16" s="60"/>
      <c r="N16" s="61"/>
      <c r="O16" s="59"/>
      <c r="P16" s="60"/>
      <c r="Q16" s="60"/>
      <c r="R16" s="63"/>
      <c r="S16" s="60"/>
      <c r="T16" s="64"/>
      <c r="U16" s="65"/>
      <c r="V16" s="62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s="380" customFormat="1" ht="15" customHeight="1" x14ac:dyDescent="0.25">
      <c r="A17" s="11"/>
      <c r="B17" s="374"/>
      <c r="C17" s="375"/>
      <c r="D17" s="375"/>
      <c r="E17" s="375"/>
      <c r="F17" s="375"/>
      <c r="G17" s="375"/>
      <c r="H17" s="376"/>
      <c r="I17" s="374"/>
      <c r="J17" s="375"/>
      <c r="K17" s="375"/>
      <c r="L17" s="377"/>
      <c r="M17" s="60"/>
      <c r="N17" s="376"/>
      <c r="O17" s="374"/>
      <c r="P17" s="375"/>
      <c r="Q17" s="375"/>
      <c r="R17" s="375"/>
      <c r="S17" s="375"/>
      <c r="T17" s="376"/>
      <c r="U17" s="374"/>
      <c r="V17" s="375"/>
      <c r="W17" s="375"/>
      <c r="X17" s="375"/>
      <c r="Y17" s="375"/>
      <c r="Z17" s="375"/>
      <c r="AA17" s="376"/>
      <c r="AB17" s="378"/>
      <c r="AC17" s="379"/>
      <c r="AD17" s="408"/>
      <c r="AE17" s="408"/>
      <c r="AF17" s="379"/>
      <c r="AG17" s="379"/>
      <c r="AH17" s="379"/>
      <c r="AI17" s="379"/>
      <c r="AJ17" s="379"/>
      <c r="AK17" s="379"/>
      <c r="AL17" s="379"/>
      <c r="AM17" s="379"/>
      <c r="AN17" s="379"/>
      <c r="AO17" s="379"/>
      <c r="AP17" s="379"/>
      <c r="AQ17" s="379"/>
      <c r="AR17" s="379"/>
      <c r="AS17" s="379"/>
    </row>
    <row r="18" spans="1:45" x14ac:dyDescent="0.25">
      <c r="A18" s="11"/>
      <c r="B18" s="59"/>
      <c r="C18" s="60"/>
      <c r="D18" s="60"/>
      <c r="E18" s="60"/>
      <c r="F18" s="60"/>
      <c r="G18" s="60"/>
      <c r="H18" s="61"/>
      <c r="I18" s="59"/>
      <c r="J18" s="60"/>
      <c r="K18" s="60"/>
      <c r="L18" s="60"/>
      <c r="M18" s="6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60"/>
      <c r="F19" s="60"/>
      <c r="G19" s="60"/>
      <c r="H19" s="61"/>
      <c r="I19" s="59"/>
      <c r="J19" s="60"/>
      <c r="K19" s="60"/>
      <c r="L19" s="60"/>
      <c r="M19" s="6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60"/>
      <c r="F20" s="60"/>
      <c r="G20" s="60"/>
      <c r="H20" s="61"/>
      <c r="I20" s="59"/>
      <c r="J20" s="60"/>
      <c r="K20" s="60"/>
      <c r="L20" s="6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60"/>
      <c r="F21" s="60"/>
      <c r="G21" s="60"/>
      <c r="H21" s="61"/>
      <c r="I21" s="59"/>
      <c r="J21" s="60"/>
      <c r="K21" s="60"/>
      <c r="L21" s="6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60"/>
      <c r="F22" s="60"/>
      <c r="G22" s="60"/>
      <c r="H22" s="61"/>
      <c r="I22" s="59"/>
      <c r="J22" s="60"/>
      <c r="K22" s="60"/>
      <c r="L22" s="6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60"/>
      <c r="F23" s="60"/>
      <c r="G23" s="60"/>
      <c r="H23" s="61"/>
      <c r="I23" s="59"/>
      <c r="J23" s="60"/>
      <c r="K23" s="60"/>
      <c r="L23" s="6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60"/>
      <c r="F24" s="60"/>
      <c r="G24" s="60"/>
      <c r="H24" s="61"/>
      <c r="I24" s="59"/>
      <c r="J24" s="60"/>
      <c r="K24" s="60"/>
      <c r="L24" s="6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11"/>
      <c r="B25" s="59"/>
      <c r="C25" s="60"/>
      <c r="D25" s="60"/>
      <c r="E25" s="60"/>
      <c r="F25" s="60"/>
      <c r="G25" s="60"/>
      <c r="H25" s="61"/>
      <c r="I25" s="59"/>
      <c r="J25" s="60"/>
      <c r="K25" s="60"/>
      <c r="L25" s="6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8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11"/>
      <c r="B26" s="59"/>
      <c r="C26" s="60"/>
      <c r="D26" s="60"/>
      <c r="E26" s="60"/>
      <c r="F26" s="60"/>
      <c r="G26" s="60"/>
      <c r="H26" s="61"/>
      <c r="I26" s="59"/>
      <c r="J26" s="60"/>
      <c r="K26" s="60"/>
      <c r="L26" s="6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6"/>
      <c r="Z26" s="66"/>
      <c r="AA26" s="67"/>
      <c r="AB26" s="68"/>
      <c r="AC26" s="69"/>
      <c r="AD26" s="408"/>
      <c r="AE26" s="408"/>
      <c r="AF26" s="69"/>
      <c r="AG26" s="68"/>
      <c r="AH26" s="68"/>
      <c r="AI26" s="68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60"/>
      <c r="F27" s="60"/>
      <c r="G27" s="60"/>
      <c r="H27" s="61"/>
      <c r="I27" s="59"/>
      <c r="J27" s="60"/>
      <c r="K27" s="60"/>
      <c r="L27" s="6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2"/>
      <c r="Z27" s="62"/>
      <c r="AA27" s="72"/>
      <c r="AB27" s="69"/>
      <c r="AC27" s="69"/>
      <c r="AD27" s="408"/>
      <c r="AE27" s="408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60"/>
      <c r="F28" s="60"/>
      <c r="G28" s="60"/>
      <c r="H28" s="61"/>
      <c r="I28" s="59"/>
      <c r="J28" s="60"/>
      <c r="K28" s="60"/>
      <c r="L28" s="6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60"/>
      <c r="F29" s="60"/>
      <c r="G29" s="60"/>
      <c r="H29" s="61"/>
      <c r="I29" s="59"/>
      <c r="J29" s="60"/>
      <c r="K29" s="60"/>
      <c r="L29" s="6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60"/>
      <c r="F30" s="60"/>
      <c r="G30" s="60"/>
      <c r="H30" s="61"/>
      <c r="I30" s="59"/>
      <c r="J30" s="60"/>
      <c r="K30" s="60"/>
      <c r="L30" s="6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60"/>
      <c r="F31" s="60"/>
      <c r="G31" s="60"/>
      <c r="H31" s="61"/>
      <c r="I31" s="59"/>
      <c r="J31" s="60"/>
      <c r="K31" s="60"/>
      <c r="L31" s="6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60"/>
      <c r="F32" s="60"/>
      <c r="G32" s="60"/>
      <c r="H32" s="61"/>
      <c r="I32" s="59"/>
      <c r="J32" s="60"/>
      <c r="K32" s="60"/>
      <c r="L32" s="6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60"/>
      <c r="F33" s="60"/>
      <c r="G33" s="60"/>
      <c r="H33" s="61"/>
      <c r="I33" s="59"/>
      <c r="J33" s="60"/>
      <c r="K33" s="60"/>
      <c r="L33" s="6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60"/>
      <c r="F34" s="60"/>
      <c r="G34" s="60"/>
      <c r="H34" s="61"/>
      <c r="I34" s="59"/>
      <c r="J34" s="60"/>
      <c r="K34" s="60"/>
      <c r="L34" s="6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59"/>
      <c r="C35" s="60"/>
      <c r="D35" s="60"/>
      <c r="E35" s="60"/>
      <c r="F35" s="60"/>
      <c r="G35" s="60"/>
      <c r="H35" s="61"/>
      <c r="I35" s="59"/>
      <c r="J35" s="60"/>
      <c r="K35" s="60"/>
      <c r="L35" s="6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8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8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59"/>
      <c r="C37" s="60"/>
      <c r="D37" s="60"/>
      <c r="E37" s="60"/>
      <c r="F37" s="60"/>
      <c r="G37" s="60"/>
      <c r="H37" s="61"/>
      <c r="I37" s="59"/>
      <c r="J37" s="60"/>
      <c r="K37" s="60"/>
      <c r="L37" s="6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408"/>
      <c r="AE37" s="408"/>
      <c r="AF37" s="69"/>
      <c r="AG37" s="68"/>
      <c r="AH37" s="68"/>
      <c r="AI37" s="68"/>
      <c r="AJ37" s="69"/>
      <c r="AK37" s="69"/>
      <c r="AL37" s="69"/>
      <c r="AM37" s="69"/>
      <c r="AN37" s="69"/>
      <c r="AO37" s="69"/>
      <c r="AP37" s="69"/>
      <c r="AQ37" s="69"/>
      <c r="AR37" s="69"/>
      <c r="AS37" s="69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60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8"/>
      <c r="AE38" s="408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0</v>
      </c>
      <c r="AK39" s="272">
        <f t="shared" si="1"/>
        <v>0</v>
      </c>
      <c r="AL39" s="272">
        <f t="shared" si="1"/>
        <v>0</v>
      </c>
      <c r="AM39" s="272">
        <f t="shared" si="1"/>
        <v>0</v>
      </c>
      <c r="AN39" s="272">
        <f t="shared" si="1"/>
        <v>0</v>
      </c>
      <c r="AO39" s="272">
        <f t="shared" si="1"/>
        <v>0</v>
      </c>
      <c r="AP39" s="272">
        <f t="shared" si="1"/>
        <v>0</v>
      </c>
      <c r="AQ39" s="272">
        <f t="shared" si="1"/>
        <v>0</v>
      </c>
      <c r="AR39" s="272">
        <f t="shared" si="1"/>
        <v>0</v>
      </c>
      <c r="AS39" s="272">
        <f t="shared" si="1"/>
        <v>0</v>
      </c>
    </row>
    <row r="40" spans="1:45" ht="15.75" thickBot="1" x14ac:dyDescent="0.3">
      <c r="A40" s="47" t="s">
        <v>172</v>
      </c>
      <c r="B40" s="32">
        <f>Projection!$AC$30</f>
        <v>0</v>
      </c>
      <c r="C40" s="33">
        <f>Projection!$AC$28</f>
        <v>0</v>
      </c>
      <c r="D40" s="33">
        <f>Projection!$AC$31</f>
        <v>0</v>
      </c>
      <c r="E40" s="33">
        <f>Projection!$AC$26</f>
        <v>4.4235360000000004</v>
      </c>
      <c r="F40" s="33">
        <f>Projection!$AC$23</f>
        <v>0</v>
      </c>
      <c r="G40" s="33">
        <f>Projection!$AC$24</f>
        <v>0</v>
      </c>
      <c r="H40" s="34">
        <f>Projection!$AC$29</f>
        <v>0</v>
      </c>
      <c r="I40" s="32">
        <f>Projection!$AC$30</f>
        <v>0</v>
      </c>
      <c r="J40" s="33">
        <f>Projection!$AC$28</f>
        <v>0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0</v>
      </c>
      <c r="T40" s="38">
        <f>Projection!$AC$28</f>
        <v>0</v>
      </c>
      <c r="U40" s="26">
        <f>Projection!$AC$27</f>
        <v>0.26450000000000001</v>
      </c>
      <c r="V40" s="27">
        <f>Projection!$AC$27</f>
        <v>0.26450000000000001</v>
      </c>
      <c r="W40" s="27">
        <f>Projection!$AC$22</f>
        <v>0</v>
      </c>
      <c r="X40" s="27">
        <f>Projection!$AC$22</f>
        <v>0</v>
      </c>
      <c r="Y40" s="27">
        <f>Projection!$AC$31</f>
        <v>0</v>
      </c>
      <c r="Z40" s="27">
        <f>Projection!$AC$31</f>
        <v>0</v>
      </c>
      <c r="AA40" s="28">
        <v>0</v>
      </c>
      <c r="AB40" s="41">
        <f>Projection!$AC$27</f>
        <v>0.26450000000000001</v>
      </c>
      <c r="AC40" s="41">
        <f>Projection!$AC$30</f>
        <v>0</v>
      </c>
      <c r="AD40" s="399">
        <f>SUM(AD8:AD38)</f>
        <v>0</v>
      </c>
      <c r="AE40" s="399">
        <f>SUM(AE8:AE38)</f>
        <v>0</v>
      </c>
      <c r="AF40" s="43">
        <f>SUM(AF8:AF38)</f>
        <v>0</v>
      </c>
      <c r="AG40" s="43">
        <f>SUM(AG8:AG38)</f>
        <v>0</v>
      </c>
      <c r="AH40" s="43">
        <f>SUM(AH8:AH38)</f>
        <v>0</v>
      </c>
      <c r="AI40" s="43">
        <f>IF(SUM(AG40:AH40)&gt;0, AG40/(AG40+AH40), 0)</f>
        <v>0</v>
      </c>
      <c r="AJ40" s="311">
        <v>6.5000000000000002E-2</v>
      </c>
      <c r="AK40" s="311">
        <f t="shared" ref="AK40:AS40" si="2">$AJ$40</f>
        <v>6.5000000000000002E-2</v>
      </c>
      <c r="AL40" s="311">
        <f t="shared" si="2"/>
        <v>6.5000000000000002E-2</v>
      </c>
      <c r="AM40" s="311">
        <f t="shared" si="2"/>
        <v>6.5000000000000002E-2</v>
      </c>
      <c r="AN40" s="311">
        <f t="shared" si="2"/>
        <v>6.5000000000000002E-2</v>
      </c>
      <c r="AO40" s="311">
        <f t="shared" si="2"/>
        <v>6.5000000000000002E-2</v>
      </c>
      <c r="AP40" s="311">
        <f t="shared" si="2"/>
        <v>6.5000000000000002E-2</v>
      </c>
      <c r="AQ40" s="311">
        <f t="shared" si="2"/>
        <v>6.5000000000000002E-2</v>
      </c>
      <c r="AR40" s="311">
        <f t="shared" si="2"/>
        <v>6.5000000000000002E-2</v>
      </c>
      <c r="AS40" s="311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S41" si="4">AJ40*AJ39</f>
        <v>0</v>
      </c>
      <c r="AK41" s="277">
        <f t="shared" si="4"/>
        <v>0</v>
      </c>
      <c r="AL41" s="277">
        <f t="shared" si="4"/>
        <v>0</v>
      </c>
      <c r="AM41" s="277">
        <f t="shared" si="4"/>
        <v>0</v>
      </c>
      <c r="AN41" s="277">
        <f t="shared" si="4"/>
        <v>0</v>
      </c>
      <c r="AO41" s="277">
        <f t="shared" si="4"/>
        <v>0</v>
      </c>
      <c r="AP41" s="277">
        <f t="shared" si="4"/>
        <v>0</v>
      </c>
      <c r="AQ41" s="277">
        <f t="shared" si="4"/>
        <v>0</v>
      </c>
      <c r="AR41" s="277">
        <f t="shared" si="4"/>
        <v>0</v>
      </c>
      <c r="AS41" s="277">
        <f t="shared" si="4"/>
        <v>0</v>
      </c>
    </row>
    <row r="42" spans="1:45" ht="49.5" customHeight="1" thickTop="1" thickBot="1" x14ac:dyDescent="0.3">
      <c r="A42" s="636">
        <f>JULY!$A$42+31</f>
        <v>44410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0</v>
      </c>
      <c r="C45" s="12"/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0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0</v>
      </c>
      <c r="U49" s="255">
        <f>(T49*8.34*1.04)/45000</f>
        <v>0</v>
      </c>
    </row>
    <row r="50" spans="1:25" ht="48" customHeight="1" thickTop="1" thickBot="1" x14ac:dyDescent="0.3">
      <c r="A50" s="290" t="s">
        <v>223</v>
      </c>
      <c r="B50" s="291">
        <f>SUM(E50+H50)</f>
        <v>0</v>
      </c>
      <c r="C50" s="1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0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293" t="e">
        <f>SUM(E44:E48)/E50</f>
        <v>#DIV/0!</v>
      </c>
      <c r="F51" s="23"/>
      <c r="G51" s="290" t="s">
        <v>189</v>
      </c>
      <c r="H51" s="293" t="e">
        <f>SUM(H44:H48)/H50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0</v>
      </c>
      <c r="U51" s="255">
        <f>T51/2000/8</f>
        <v>0</v>
      </c>
    </row>
    <row r="52" spans="1:25" ht="47.25" customHeight="1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372" t="e">
        <f>E44/E49</f>
        <v>#DIV/0!</v>
      </c>
      <c r="G52" s="280" t="s">
        <v>193</v>
      </c>
      <c r="H52" s="293" t="e">
        <f>H51/1000</f>
        <v>#DIV/0!</v>
      </c>
      <c r="I52" s="372" t="e">
        <f>H44/H49</f>
        <v>#DIV/0!</v>
      </c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0</v>
      </c>
      <c r="U54" s="255">
        <f>(T54*8.34*1.029*0.03)/3300</f>
        <v>0</v>
      </c>
    </row>
    <row r="55" spans="1:25" ht="42.7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</row>
    <row r="56" spans="1:25" ht="24" thickTop="1" x14ac:dyDescent="0.25">
      <c r="A56" s="664"/>
      <c r="B56" s="66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6"/>
      <c r="B57" s="66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2"/>
      <c r="B58" s="66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3"/>
      <c r="B59" s="66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2"/>
      <c r="B60" s="66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3"/>
      <c r="B61" s="663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</sheetData>
  <sheetProtection algorithmName="SHA-512" hashValue="5ODK6BNr46RXmIeA942UTrxh56TBsbwNDMN+Di2MZlB7nmikyvU89zDgNu8PLcgef0V7VRlzF54JqThnzZUF/Q==" saltValue="xbdzweHKAWPDSmN5ON1f8g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H76"/>
  <sheetViews>
    <sheetView zoomScale="75" zoomScaleNormal="75" workbookViewId="0">
      <selection activeCell="A8" sqref="A8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29.5703125" customWidth="1"/>
    <col min="5" max="5" width="26.42578125" bestFit="1" customWidth="1"/>
    <col min="6" max="6" width="16.7109375" customWidth="1"/>
    <col min="7" max="7" width="35.570312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3.42578125" bestFit="1" customWidth="1"/>
    <col min="37" max="40" width="18.85546875" bestFit="1" customWidth="1"/>
    <col min="41" max="41" width="23.42578125" bestFit="1" customWidth="1"/>
    <col min="42" max="45" width="18.85546875" bestFit="1" customWidth="1"/>
    <col min="46" max="47" width="20.42578125" customWidth="1"/>
  </cols>
  <sheetData>
    <row r="1" spans="1:60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60" ht="15" customHeight="1" x14ac:dyDescent="0.25">
      <c r="A2" s="1" t="s">
        <v>2</v>
      </c>
      <c r="B2" s="5"/>
      <c r="O2" s="4"/>
      <c r="P2" s="4"/>
      <c r="Q2" s="4"/>
      <c r="R2" s="4"/>
    </row>
    <row r="3" spans="1:60" ht="15.75" thickBot="1" x14ac:dyDescent="0.3">
      <c r="A3" s="6"/>
      <c r="BG3" t="s">
        <v>169</v>
      </c>
      <c r="BH3" s="259" t="s">
        <v>206</v>
      </c>
    </row>
    <row r="4" spans="1:60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</row>
    <row r="5" spans="1:60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60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60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60" x14ac:dyDescent="0.25">
      <c r="A8" s="11"/>
      <c r="B8" s="49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2"/>
      <c r="U8" s="53"/>
      <c r="V8" s="54"/>
      <c r="W8" s="54"/>
      <c r="X8" s="54"/>
      <c r="Y8" s="54"/>
      <c r="Z8" s="54"/>
      <c r="AA8" s="55"/>
      <c r="AB8" s="56"/>
      <c r="AC8" s="57"/>
      <c r="AD8" s="407"/>
      <c r="AE8" s="407"/>
      <c r="AF8" s="57"/>
      <c r="AG8" s="58"/>
      <c r="AH8" s="58"/>
      <c r="AI8" s="58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 spans="1:60" x14ac:dyDescent="0.25">
      <c r="A9" s="11"/>
      <c r="B9" s="59"/>
      <c r="C9" s="60"/>
      <c r="D9" s="60"/>
      <c r="E9" s="60"/>
      <c r="F9" s="60"/>
      <c r="G9" s="60"/>
      <c r="H9" s="61"/>
      <c r="I9" s="59"/>
      <c r="J9" s="60"/>
      <c r="K9" s="60"/>
      <c r="L9" s="50"/>
      <c r="M9" s="50"/>
      <c r="N9" s="61"/>
      <c r="O9" s="59"/>
      <c r="P9" s="60"/>
      <c r="Q9" s="62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8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60" x14ac:dyDescent="0.25">
      <c r="A10" s="11"/>
      <c r="B10" s="59"/>
      <c r="C10" s="60"/>
      <c r="D10" s="60"/>
      <c r="E10" s="60"/>
      <c r="F10" s="60"/>
      <c r="G10" s="60"/>
      <c r="H10" s="61"/>
      <c r="I10" s="59"/>
      <c r="J10" s="60"/>
      <c r="K10" s="60"/>
      <c r="L10" s="50"/>
      <c r="M10" s="5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8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60" x14ac:dyDescent="0.25">
      <c r="A11" s="11"/>
      <c r="B11" s="59"/>
      <c r="C11" s="60"/>
      <c r="D11" s="60"/>
      <c r="E11" s="60"/>
      <c r="F11" s="60"/>
      <c r="G11" s="60"/>
      <c r="H11" s="61"/>
      <c r="I11" s="59"/>
      <c r="J11" s="60"/>
      <c r="K11" s="60"/>
      <c r="L11" s="50"/>
      <c r="M11" s="5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8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60" x14ac:dyDescent="0.25">
      <c r="A12" s="11"/>
      <c r="B12" s="59"/>
      <c r="C12" s="60"/>
      <c r="D12" s="60"/>
      <c r="E12" s="60"/>
      <c r="F12" s="60"/>
      <c r="G12" s="60"/>
      <c r="H12" s="61"/>
      <c r="I12" s="59"/>
      <c r="J12" s="60"/>
      <c r="K12" s="60"/>
      <c r="L12" s="50"/>
      <c r="M12" s="5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8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60" x14ac:dyDescent="0.25">
      <c r="A13" s="11"/>
      <c r="B13" s="59"/>
      <c r="C13" s="60"/>
      <c r="D13" s="60"/>
      <c r="E13" s="60"/>
      <c r="F13" s="60"/>
      <c r="G13" s="60"/>
      <c r="H13" s="61"/>
      <c r="I13" s="59"/>
      <c r="J13" s="60"/>
      <c r="K13" s="60"/>
      <c r="L13" s="50"/>
      <c r="M13" s="5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60" x14ac:dyDescent="0.25">
      <c r="A14" s="11"/>
      <c r="B14" s="59"/>
      <c r="C14" s="60"/>
      <c r="D14" s="60"/>
      <c r="E14" s="60"/>
      <c r="F14" s="60"/>
      <c r="G14" s="60"/>
      <c r="H14" s="61"/>
      <c r="I14" s="59"/>
      <c r="J14" s="60"/>
      <c r="K14" s="60"/>
      <c r="L14" s="50"/>
      <c r="M14" s="5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60" x14ac:dyDescent="0.25">
      <c r="A15" s="11"/>
      <c r="B15" s="59"/>
      <c r="C15" s="60"/>
      <c r="D15" s="60"/>
      <c r="E15" s="60"/>
      <c r="F15" s="60"/>
      <c r="G15" s="60"/>
      <c r="H15" s="61"/>
      <c r="I15" s="59"/>
      <c r="J15" s="60"/>
      <c r="K15" s="60"/>
      <c r="L15" s="50"/>
      <c r="M15" s="5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60" x14ac:dyDescent="0.25">
      <c r="A16" s="11"/>
      <c r="B16" s="49"/>
      <c r="C16" s="50"/>
      <c r="D16" s="50"/>
      <c r="E16" s="60"/>
      <c r="F16" s="50"/>
      <c r="G16" s="50"/>
      <c r="H16" s="51"/>
      <c r="I16" s="49"/>
      <c r="J16" s="50"/>
      <c r="K16" s="50"/>
      <c r="L16" s="50"/>
      <c r="M16" s="50"/>
      <c r="N16" s="51"/>
      <c r="O16" s="49"/>
      <c r="P16" s="50"/>
      <c r="Q16" s="50"/>
      <c r="R16" s="70"/>
      <c r="S16" s="50"/>
      <c r="T16" s="52"/>
      <c r="U16" s="71"/>
      <c r="V16" s="66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11"/>
      <c r="B17" s="59"/>
      <c r="C17" s="60"/>
      <c r="D17" s="60"/>
      <c r="E17" s="60"/>
      <c r="F17" s="60"/>
      <c r="G17" s="60"/>
      <c r="H17" s="61"/>
      <c r="I17" s="59"/>
      <c r="J17" s="60"/>
      <c r="K17" s="60"/>
      <c r="L17" s="50"/>
      <c r="M17" s="50"/>
      <c r="N17" s="61"/>
      <c r="O17" s="59"/>
      <c r="P17" s="60"/>
      <c r="Q17" s="60"/>
      <c r="R17" s="63"/>
      <c r="S17" s="60"/>
      <c r="T17" s="64"/>
      <c r="U17" s="65"/>
      <c r="V17" s="62"/>
      <c r="W17" s="62"/>
      <c r="X17" s="62"/>
      <c r="Y17" s="66"/>
      <c r="Z17" s="66"/>
      <c r="AA17" s="67"/>
      <c r="AB17" s="68"/>
      <c r="AC17" s="69"/>
      <c r="AD17" s="408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11"/>
      <c r="B18" s="59"/>
      <c r="C18" s="60"/>
      <c r="D18" s="60"/>
      <c r="E18" s="60"/>
      <c r="F18" s="60"/>
      <c r="G18" s="60"/>
      <c r="H18" s="61"/>
      <c r="I18" s="59"/>
      <c r="J18" s="60"/>
      <c r="K18" s="60"/>
      <c r="L18" s="50"/>
      <c r="M18" s="5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60"/>
      <c r="F19" s="60"/>
      <c r="G19" s="60"/>
      <c r="H19" s="61"/>
      <c r="I19" s="59"/>
      <c r="J19" s="60"/>
      <c r="K19" s="60"/>
      <c r="L19" s="50"/>
      <c r="M19" s="5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60"/>
      <c r="F20" s="60"/>
      <c r="G20" s="60"/>
      <c r="H20" s="61"/>
      <c r="I20" s="59"/>
      <c r="J20" s="60"/>
      <c r="K20" s="60"/>
      <c r="L20" s="50"/>
      <c r="M20" s="5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60"/>
      <c r="F21" s="60"/>
      <c r="G21" s="60"/>
      <c r="H21" s="61"/>
      <c r="I21" s="59"/>
      <c r="J21" s="60"/>
      <c r="K21" s="60"/>
      <c r="L21" s="50"/>
      <c r="M21" s="5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60"/>
      <c r="F22" s="60"/>
      <c r="G22" s="60"/>
      <c r="H22" s="61"/>
      <c r="I22" s="59"/>
      <c r="J22" s="60"/>
      <c r="K22" s="60"/>
      <c r="L22" s="50"/>
      <c r="M22" s="5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60"/>
      <c r="F23" s="60"/>
      <c r="G23" s="60"/>
      <c r="H23" s="61"/>
      <c r="I23" s="59"/>
      <c r="J23" s="60"/>
      <c r="K23" s="60"/>
      <c r="L23" s="50"/>
      <c r="M23" s="5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60"/>
      <c r="F24" s="60"/>
      <c r="G24" s="60"/>
      <c r="H24" s="61"/>
      <c r="I24" s="59"/>
      <c r="J24" s="60"/>
      <c r="K24" s="60"/>
      <c r="L24" s="50"/>
      <c r="M24" s="5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s="380" customFormat="1" ht="15" customHeight="1" x14ac:dyDescent="0.25">
      <c r="A25" s="11"/>
      <c r="B25" s="374"/>
      <c r="C25" s="375"/>
      <c r="D25" s="375"/>
      <c r="E25" s="60"/>
      <c r="F25" s="375"/>
      <c r="G25" s="375"/>
      <c r="H25" s="376"/>
      <c r="I25" s="374"/>
      <c r="J25" s="375"/>
      <c r="K25" s="375"/>
      <c r="L25" s="377"/>
      <c r="M25" s="50"/>
      <c r="N25" s="376"/>
      <c r="O25" s="374"/>
      <c r="P25" s="375"/>
      <c r="Q25" s="375"/>
      <c r="R25" s="375"/>
      <c r="S25" s="375"/>
      <c r="T25" s="376"/>
      <c r="U25" s="374"/>
      <c r="V25" s="375"/>
      <c r="W25" s="375"/>
      <c r="X25" s="375"/>
      <c r="Y25" s="375"/>
      <c r="Z25" s="375"/>
      <c r="AA25" s="376"/>
      <c r="AB25" s="378"/>
      <c r="AC25" s="379"/>
      <c r="AD25" s="408"/>
      <c r="AE25" s="408"/>
      <c r="AF25" s="379"/>
      <c r="AG25" s="379"/>
      <c r="AH25" s="379"/>
      <c r="AI25" s="379"/>
      <c r="AJ25" s="379"/>
      <c r="AK25" s="379"/>
      <c r="AL25" s="379"/>
      <c r="AM25" s="379"/>
      <c r="AN25" s="379"/>
      <c r="AO25" s="379"/>
      <c r="AP25" s="379"/>
      <c r="AQ25" s="379"/>
      <c r="AR25" s="379"/>
      <c r="AS25" s="379"/>
    </row>
    <row r="26" spans="1:45" x14ac:dyDescent="0.25">
      <c r="A26" s="11"/>
      <c r="B26" s="59"/>
      <c r="C26" s="60"/>
      <c r="D26" s="60"/>
      <c r="E26" s="60"/>
      <c r="F26" s="60"/>
      <c r="G26" s="60"/>
      <c r="H26" s="61"/>
      <c r="I26" s="59"/>
      <c r="J26" s="60"/>
      <c r="K26" s="60"/>
      <c r="L26" s="50"/>
      <c r="M26" s="5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2"/>
      <c r="Z26" s="62"/>
      <c r="AA26" s="72"/>
      <c r="AB26" s="69"/>
      <c r="AC26" s="69"/>
      <c r="AD26" s="408"/>
      <c r="AE26" s="408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60"/>
      <c r="F27" s="60"/>
      <c r="G27" s="60"/>
      <c r="H27" s="61"/>
      <c r="I27" s="59"/>
      <c r="J27" s="60"/>
      <c r="K27" s="60"/>
      <c r="L27" s="50"/>
      <c r="M27" s="5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6"/>
      <c r="Z27" s="66"/>
      <c r="AA27" s="67"/>
      <c r="AB27" s="68"/>
      <c r="AC27" s="69"/>
      <c r="AD27" s="408"/>
      <c r="AE27" s="408"/>
      <c r="AF27" s="69"/>
      <c r="AG27" s="68"/>
      <c r="AH27" s="68"/>
      <c r="AI27" s="68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60"/>
      <c r="F28" s="60"/>
      <c r="G28" s="60"/>
      <c r="H28" s="61"/>
      <c r="I28" s="59"/>
      <c r="J28" s="60"/>
      <c r="K28" s="60"/>
      <c r="L28" s="50"/>
      <c r="M28" s="5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60"/>
      <c r="F29" s="60"/>
      <c r="G29" s="60"/>
      <c r="H29" s="61"/>
      <c r="I29" s="59"/>
      <c r="J29" s="60"/>
      <c r="K29" s="60"/>
      <c r="L29" s="50"/>
      <c r="M29" s="5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60"/>
      <c r="F30" s="60"/>
      <c r="G30" s="60"/>
      <c r="H30" s="61"/>
      <c r="I30" s="59"/>
      <c r="J30" s="60"/>
      <c r="K30" s="60"/>
      <c r="L30" s="50"/>
      <c r="M30" s="5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60"/>
      <c r="F31" s="60"/>
      <c r="G31" s="60"/>
      <c r="H31" s="61"/>
      <c r="I31" s="59"/>
      <c r="J31" s="60"/>
      <c r="K31" s="60"/>
      <c r="L31" s="50"/>
      <c r="M31" s="5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60"/>
      <c r="F32" s="60"/>
      <c r="G32" s="60"/>
      <c r="H32" s="61"/>
      <c r="I32" s="59"/>
      <c r="J32" s="60"/>
      <c r="K32" s="60"/>
      <c r="L32" s="50"/>
      <c r="M32" s="5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60"/>
      <c r="F33" s="60"/>
      <c r="G33" s="60"/>
      <c r="H33" s="61"/>
      <c r="I33" s="59"/>
      <c r="J33" s="60"/>
      <c r="K33" s="60"/>
      <c r="L33" s="50"/>
      <c r="M33" s="5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60"/>
      <c r="F34" s="60"/>
      <c r="G34" s="60"/>
      <c r="H34" s="61"/>
      <c r="I34" s="59"/>
      <c r="J34" s="60"/>
      <c r="K34" s="60"/>
      <c r="L34" s="50"/>
      <c r="M34" s="5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59"/>
      <c r="C35" s="60"/>
      <c r="D35" s="60"/>
      <c r="E35" s="60"/>
      <c r="F35" s="60"/>
      <c r="G35" s="60"/>
      <c r="H35" s="61"/>
      <c r="I35" s="59"/>
      <c r="J35" s="60"/>
      <c r="K35" s="60"/>
      <c r="L35" s="50"/>
      <c r="M35" s="5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8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5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8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65"/>
      <c r="C37" s="66"/>
      <c r="D37" s="66"/>
      <c r="E37" s="60"/>
      <c r="F37" s="66"/>
      <c r="G37" s="66"/>
      <c r="H37" s="67"/>
      <c r="I37" s="71"/>
      <c r="J37" s="66"/>
      <c r="K37" s="66"/>
      <c r="L37" s="66"/>
      <c r="M37" s="66"/>
      <c r="N37" s="67"/>
      <c r="O37" s="71"/>
      <c r="P37" s="66"/>
      <c r="Q37" s="66"/>
      <c r="R37" s="389"/>
      <c r="S37" s="66"/>
      <c r="T37" s="391"/>
      <c r="U37" s="71"/>
      <c r="V37" s="66"/>
      <c r="W37" s="62"/>
      <c r="X37" s="62"/>
      <c r="Y37" s="66"/>
      <c r="Z37" s="66"/>
      <c r="AA37" s="67"/>
      <c r="AB37" s="68"/>
      <c r="AC37" s="390"/>
      <c r="AD37" s="408"/>
      <c r="AE37" s="408"/>
      <c r="AF37" s="390"/>
      <c r="AG37" s="68"/>
      <c r="AH37" s="68"/>
      <c r="AI37" s="68"/>
      <c r="AJ37" s="390"/>
      <c r="AK37" s="390"/>
      <c r="AL37" s="390"/>
      <c r="AM37" s="390"/>
      <c r="AN37" s="390"/>
      <c r="AO37" s="390"/>
      <c r="AP37" s="390"/>
      <c r="AQ37" s="390"/>
      <c r="AR37" s="390"/>
      <c r="AS37" s="390"/>
    </row>
    <row r="38" spans="1:45" ht="15.75" thickBot="1" x14ac:dyDescent="0.3">
      <c r="A38" s="11"/>
      <c r="B38" s="381"/>
      <c r="C38" s="383"/>
      <c r="D38" s="383"/>
      <c r="E38" s="60"/>
      <c r="F38" s="383"/>
      <c r="G38" s="383"/>
      <c r="H38" s="384"/>
      <c r="I38" s="385"/>
      <c r="J38" s="383"/>
      <c r="K38" s="383"/>
      <c r="L38" s="383"/>
      <c r="M38" s="50"/>
      <c r="N38" s="384"/>
      <c r="O38" s="385"/>
      <c r="P38" s="383"/>
      <c r="Q38" s="383"/>
      <c r="R38" s="386"/>
      <c r="S38" s="383"/>
      <c r="T38" s="387"/>
      <c r="U38" s="385"/>
      <c r="V38" s="383"/>
      <c r="W38" s="382"/>
      <c r="X38" s="382"/>
      <c r="Y38" s="383"/>
      <c r="Z38" s="383"/>
      <c r="AA38" s="384"/>
      <c r="AB38" s="388"/>
      <c r="AC38" s="85"/>
      <c r="AD38" s="408"/>
      <c r="AE38" s="408"/>
      <c r="AF38" s="85"/>
      <c r="AG38" s="388"/>
      <c r="AH38" s="388"/>
      <c r="AI38" s="388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SUM(AJ8:AJ37)</f>
        <v>0</v>
      </c>
      <c r="AK39" s="272">
        <f t="shared" si="1"/>
        <v>0</v>
      </c>
      <c r="AL39" s="272">
        <f t="shared" si="1"/>
        <v>0</v>
      </c>
      <c r="AM39" s="272">
        <f t="shared" si="1"/>
        <v>0</v>
      </c>
      <c r="AN39" s="272">
        <f t="shared" si="1"/>
        <v>0</v>
      </c>
      <c r="AO39" s="272">
        <f t="shared" si="1"/>
        <v>0</v>
      </c>
      <c r="AP39" s="272">
        <f t="shared" si="1"/>
        <v>0</v>
      </c>
      <c r="AQ39" s="272">
        <f t="shared" si="1"/>
        <v>0</v>
      </c>
      <c r="AR39" s="272">
        <f t="shared" si="1"/>
        <v>0</v>
      </c>
      <c r="AS39" s="272">
        <f t="shared" si="1"/>
        <v>0</v>
      </c>
    </row>
    <row r="40" spans="1:45" ht="15.75" thickBot="1" x14ac:dyDescent="0.3">
      <c r="A40" s="47" t="s">
        <v>172</v>
      </c>
      <c r="B40" s="32">
        <f>Projection!$AC$30</f>
        <v>0</v>
      </c>
      <c r="C40" s="33">
        <f>Projection!$AC$28</f>
        <v>0</v>
      </c>
      <c r="D40" s="33">
        <f>Projection!$AC$31</f>
        <v>0</v>
      </c>
      <c r="E40" s="33">
        <f>Projection!$AC$26</f>
        <v>4.4235360000000004</v>
      </c>
      <c r="F40" s="33">
        <f>Projection!$AC$23</f>
        <v>0</v>
      </c>
      <c r="G40" s="33">
        <f>Projection!$AC$24</f>
        <v>0</v>
      </c>
      <c r="H40" s="34">
        <f>Projection!$AC$29</f>
        <v>0</v>
      </c>
      <c r="I40" s="32">
        <f>Projection!$AC$30</f>
        <v>0</v>
      </c>
      <c r="J40" s="33">
        <f>Projection!$AC$28</f>
        <v>0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Projection!$AC$28</f>
        <v>0</v>
      </c>
      <c r="T40" s="265">
        <f>Projection!$AC$28</f>
        <v>0</v>
      </c>
      <c r="U40" s="263">
        <f>Projection!$AC$27</f>
        <v>0.26450000000000001</v>
      </c>
      <c r="V40" s="264">
        <f>Projection!$AC$27</f>
        <v>0.26450000000000001</v>
      </c>
      <c r="W40" s="264">
        <f>Projection!$AC$22</f>
        <v>0</v>
      </c>
      <c r="X40" s="264">
        <f>Projection!$AC$22</f>
        <v>0</v>
      </c>
      <c r="Y40" s="264">
        <f>Projection!$AC$31</f>
        <v>0</v>
      </c>
      <c r="Z40" s="264">
        <f>Projection!$AC$31</f>
        <v>0</v>
      </c>
      <c r="AA40" s="270">
        <v>0</v>
      </c>
      <c r="AB40" s="273">
        <f>Projection!$AC$27</f>
        <v>0.26450000000000001</v>
      </c>
      <c r="AC40" s="273">
        <f>Projection!$AC$30</f>
        <v>0</v>
      </c>
      <c r="AD40" s="399">
        <f>SUM(AD8:AD38)</f>
        <v>0</v>
      </c>
      <c r="AE40" s="399">
        <f>SUM(AE8:AE38)</f>
        <v>0</v>
      </c>
      <c r="AF40" s="276">
        <f>SUM(AF8:AF37)</f>
        <v>0</v>
      </c>
      <c r="AG40" s="276">
        <f>SUM(AG8:AG37)</f>
        <v>0</v>
      </c>
      <c r="AH40" s="276">
        <f>SUM(AH8:AH37)</f>
        <v>0</v>
      </c>
      <c r="AI40" s="276">
        <f>IF(SUM(AG40:AH40)&gt;0, AG40/(AG40+AH40),0)</f>
        <v>0</v>
      </c>
      <c r="AJ40" s="311">
        <v>6.5000000000000002E-2</v>
      </c>
      <c r="AK40" s="311">
        <f t="shared" ref="AK40:AS40" si="2">$AJ$40</f>
        <v>6.5000000000000002E-2</v>
      </c>
      <c r="AL40" s="311">
        <f t="shared" si="2"/>
        <v>6.5000000000000002E-2</v>
      </c>
      <c r="AM40" s="311">
        <f t="shared" si="2"/>
        <v>6.5000000000000002E-2</v>
      </c>
      <c r="AN40" s="311">
        <f t="shared" si="2"/>
        <v>6.5000000000000002E-2</v>
      </c>
      <c r="AO40" s="311">
        <f t="shared" si="2"/>
        <v>6.5000000000000002E-2</v>
      </c>
      <c r="AP40" s="311">
        <f t="shared" si="2"/>
        <v>6.5000000000000002E-2</v>
      </c>
      <c r="AQ40" s="311">
        <f t="shared" si="2"/>
        <v>6.5000000000000002E-2</v>
      </c>
      <c r="AR40" s="311">
        <f t="shared" si="2"/>
        <v>6.5000000000000002E-2</v>
      </c>
      <c r="AS40" s="311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>C40*C39</f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K41" si="4">AJ40*AJ39</f>
        <v>0</v>
      </c>
      <c r="AK41" s="277">
        <f t="shared" si="4"/>
        <v>0</v>
      </c>
      <c r="AL41" s="277">
        <f t="shared" ref="AL41:AS41" si="5">AL40*AL39</f>
        <v>0</v>
      </c>
      <c r="AM41" s="277">
        <f t="shared" si="5"/>
        <v>0</v>
      </c>
      <c r="AN41" s="277">
        <f t="shared" si="5"/>
        <v>0</v>
      </c>
      <c r="AO41" s="277">
        <f t="shared" si="5"/>
        <v>0</v>
      </c>
      <c r="AP41" s="277">
        <f t="shared" si="5"/>
        <v>0</v>
      </c>
      <c r="AQ41" s="277">
        <f t="shared" si="5"/>
        <v>0</v>
      </c>
      <c r="AR41" s="277">
        <f t="shared" si="5"/>
        <v>0</v>
      </c>
      <c r="AS41" s="277">
        <f t="shared" si="5"/>
        <v>0</v>
      </c>
    </row>
    <row r="42" spans="1:45" ht="49.5" customHeight="1" thickTop="1" thickBot="1" x14ac:dyDescent="0.3">
      <c r="A42" s="636">
        <f>AUGUST!$A$42+31</f>
        <v>44441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61.5" customHeight="1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299" t="s">
        <v>135</v>
      </c>
      <c r="S44" s="300"/>
      <c r="T44" s="296" t="s">
        <v>167</v>
      </c>
      <c r="U44" s="254" t="s">
        <v>168</v>
      </c>
    </row>
    <row r="45" spans="1:45" ht="60" customHeight="1" thickBot="1" x14ac:dyDescent="0.4">
      <c r="A45" s="283" t="s">
        <v>183</v>
      </c>
      <c r="B45" s="284">
        <f>SUM(AJ41:AS41)</f>
        <v>0</v>
      </c>
      <c r="C45" s="372" t="e">
        <f>B45/B49</f>
        <v>#DIV/0!</v>
      </c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297" t="s">
        <v>141</v>
      </c>
      <c r="S45" s="298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297" t="s">
        <v>145</v>
      </c>
      <c r="S46" s="298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297" t="s">
        <v>148</v>
      </c>
      <c r="S47" s="298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297" t="s">
        <v>150</v>
      </c>
      <c r="S48" s="298"/>
      <c r="T48" s="253">
        <f>$L$39</f>
        <v>0</v>
      </c>
      <c r="U48" s="255">
        <f>T48*9.34*0.107</f>
        <v>0</v>
      </c>
    </row>
    <row r="49" spans="1:21" ht="46.5" customHeight="1" thickTop="1" thickBot="1" x14ac:dyDescent="0.3">
      <c r="A49" s="290" t="s">
        <v>194</v>
      </c>
      <c r="B49" s="291">
        <f>AF40</f>
        <v>0</v>
      </c>
      <c r="C49" s="372" t="e">
        <f>B44/B49</f>
        <v>#DIV/0!</v>
      </c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297" t="s">
        <v>152</v>
      </c>
      <c r="S49" s="298"/>
      <c r="T49" s="253">
        <f>$E$39+$K$39</f>
        <v>0</v>
      </c>
      <c r="U49" s="255">
        <f>(T49*8.34*1.04)/45000</f>
        <v>0</v>
      </c>
    </row>
    <row r="50" spans="1:21" ht="47.25" customHeight="1" thickTop="1" thickBot="1" x14ac:dyDescent="0.3">
      <c r="A50" s="290" t="s">
        <v>223</v>
      </c>
      <c r="B50" s="291">
        <f>SUM(E50+H50)</f>
        <v>0</v>
      </c>
      <c r="C50" s="37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0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1" ht="48" customHeight="1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293" t="e">
        <f>SUM(E44:E48)/E50</f>
        <v>#DIV/0!</v>
      </c>
      <c r="F51" s="373" t="e">
        <f>E44/E49</f>
        <v>#DIV/0!</v>
      </c>
      <c r="G51" s="290" t="s">
        <v>189</v>
      </c>
      <c r="H51" s="293" t="e">
        <f>SUM(H44:H48)/H50</f>
        <v>#DIV/0!</v>
      </c>
      <c r="I51" s="372" t="e">
        <f>H44/H49</f>
        <v>#DIV/0!</v>
      </c>
      <c r="J51" s="12"/>
      <c r="K51" s="86"/>
      <c r="L51" s="12"/>
      <c r="M51" s="12"/>
      <c r="N51" s="12"/>
      <c r="O51" s="12"/>
      <c r="P51" s="12"/>
      <c r="Q51" s="12"/>
      <c r="R51" s="297" t="s">
        <v>153</v>
      </c>
      <c r="S51" s="298"/>
      <c r="T51" s="253">
        <f>$U$39+$V$39+$AB$39</f>
        <v>0</v>
      </c>
      <c r="U51" s="255">
        <f>T51/2000/8</f>
        <v>0</v>
      </c>
    </row>
    <row r="52" spans="1:21" ht="48" customHeight="1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12"/>
      <c r="G52" s="280" t="s">
        <v>193</v>
      </c>
      <c r="H52" s="293" t="e">
        <f>H51/1000</f>
        <v>#DIV/0!</v>
      </c>
      <c r="I52" s="12"/>
      <c r="J52" s="12"/>
      <c r="K52" s="86"/>
      <c r="L52" s="12"/>
      <c r="M52" s="12"/>
      <c r="N52" s="12"/>
      <c r="O52" s="12"/>
      <c r="P52" s="12"/>
      <c r="Q52" s="12"/>
      <c r="R52" s="297" t="s">
        <v>154</v>
      </c>
      <c r="S52" s="298"/>
      <c r="T52" s="253">
        <f>$C$39+$J$39+$S$39+$T$39</f>
        <v>0</v>
      </c>
      <c r="U52" s="255">
        <f>(T52*8.34*1.4)/45000</f>
        <v>0</v>
      </c>
    </row>
    <row r="53" spans="1:21" ht="48" customHeight="1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7" t="s">
        <v>155</v>
      </c>
      <c r="S53" s="298"/>
      <c r="T53" s="253">
        <f>$H$39</f>
        <v>0</v>
      </c>
      <c r="U53" s="255">
        <f>(T53*8.34*1.135)/45000</f>
        <v>0</v>
      </c>
    </row>
    <row r="54" spans="1:21" ht="47.25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7" t="s">
        <v>156</v>
      </c>
      <c r="S54" s="298"/>
      <c r="T54" s="253">
        <f>$B$39+$I$39+$AC$39</f>
        <v>0</v>
      </c>
      <c r="U54" s="255">
        <f>(T54*8.34*1.029*0.03)/3300</f>
        <v>0</v>
      </c>
    </row>
    <row r="55" spans="1:21" ht="78.7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</row>
    <row r="56" spans="1:21" ht="71.25" customHeight="1" thickTop="1" x14ac:dyDescent="0.25">
      <c r="A56" s="302"/>
      <c r="B56" s="302"/>
      <c r="C56" s="302"/>
      <c r="D56" s="302"/>
      <c r="E56" s="30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94.5" customHeight="1" x14ac:dyDescent="0.25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46.5" customHeight="1" x14ac:dyDescent="0.25">
      <c r="A58" s="668"/>
      <c r="B58" s="669"/>
      <c r="C58" s="669"/>
      <c r="D58" s="669"/>
      <c r="E58" s="66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8.75" x14ac:dyDescent="0.25">
      <c r="A59" s="668"/>
      <c r="B59" s="669"/>
      <c r="C59" s="669"/>
      <c r="D59" s="669"/>
      <c r="E59" s="66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ht="15" customHeight="1" x14ac:dyDescent="0.25">
      <c r="A60" s="278"/>
      <c r="B60" s="279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x14ac:dyDescent="0.25">
      <c r="A61" s="279"/>
      <c r="B61" s="279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ht="15" customHeight="1" x14ac:dyDescent="0.25">
      <c r="A62" s="278"/>
      <c r="B62" s="279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21" x14ac:dyDescent="0.25">
      <c r="A63" s="279"/>
      <c r="B63" s="279"/>
      <c r="C63" s="12"/>
      <c r="D63" s="12"/>
      <c r="E63" s="12"/>
      <c r="F63" s="12"/>
      <c r="G63" s="12"/>
      <c r="H63" s="12"/>
      <c r="I63" s="12"/>
      <c r="J63" s="12"/>
      <c r="K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6" spans="1:25" x14ac:dyDescent="0.25">
      <c r="A66" s="12"/>
      <c r="B66" s="12"/>
      <c r="C66" s="12"/>
      <c r="D66" s="12"/>
      <c r="E66" s="12"/>
      <c r="F66" s="12"/>
      <c r="G66" s="12"/>
    </row>
    <row r="68" spans="1:25" x14ac:dyDescent="0.25">
      <c r="A68" s="45"/>
      <c r="B68" s="45"/>
      <c r="C68" s="45"/>
      <c r="D68" s="45"/>
      <c r="E68" s="45"/>
      <c r="F68" s="45"/>
      <c r="G68" s="45"/>
      <c r="H68" s="45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93" customHeight="1" x14ac:dyDescent="0.25">
      <c r="A71" s="12"/>
      <c r="B71" s="12"/>
      <c r="S71" s="12"/>
      <c r="T71" s="12"/>
      <c r="U71" s="12"/>
      <c r="V71" s="12"/>
      <c r="W71" s="12"/>
      <c r="X71" s="12"/>
      <c r="Y71" s="12"/>
    </row>
    <row r="72" spans="1:25" ht="75" customHeight="1" x14ac:dyDescent="0.25">
      <c r="A72" s="12"/>
      <c r="B72" s="12"/>
    </row>
    <row r="73" spans="1:25" ht="51.75" customHeight="1" x14ac:dyDescent="0.25">
      <c r="A73" s="12"/>
      <c r="B73" s="12"/>
    </row>
    <row r="74" spans="1:25" x14ac:dyDescent="0.25">
      <c r="A74" s="12"/>
      <c r="B74" s="12"/>
      <c r="C74" s="12"/>
      <c r="D74" s="12"/>
    </row>
    <row r="75" spans="1:25" x14ac:dyDescent="0.25">
      <c r="A75" s="12"/>
      <c r="B75" s="12"/>
      <c r="C75" s="12"/>
      <c r="D75" s="12"/>
      <c r="E75" s="12"/>
    </row>
    <row r="76" spans="1:25" x14ac:dyDescent="0.25">
      <c r="A76" s="12"/>
      <c r="B76" s="12"/>
      <c r="C76" s="12"/>
      <c r="D76" s="12"/>
      <c r="E76" s="12"/>
    </row>
  </sheetData>
  <sheetProtection algorithmName="SHA-512" hashValue="/BjUuS3hexmo1oLBeodamHUzTKEnPiQqxBev9Iapoc0AMap5CQmSjnkTBehszVe6DH8fpGS6JOMel21+9CQJ8Q==" saltValue="W9sY+crvWbjMsviUSdAFgg==" spinCount="100000" sheet="1" selectLockedCells="1" selectUnlockedCells="1"/>
  <mergeCells count="34"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G4:AG5"/>
    <mergeCell ref="AH4:AH5"/>
    <mergeCell ref="AI4:AI5"/>
    <mergeCell ref="O4:T5"/>
    <mergeCell ref="U4:AA5"/>
    <mergeCell ref="AB4:AB5"/>
    <mergeCell ref="AC4:AC5"/>
    <mergeCell ref="AD4:AD5"/>
    <mergeCell ref="AE4:AE5"/>
    <mergeCell ref="B4:H5"/>
    <mergeCell ref="I4:N5"/>
    <mergeCell ref="J43:K43"/>
    <mergeCell ref="A42:K42"/>
    <mergeCell ref="AF4:AF5"/>
    <mergeCell ref="R43:U43"/>
    <mergeCell ref="A43:B43"/>
    <mergeCell ref="D43:E43"/>
    <mergeCell ref="G43:H43"/>
    <mergeCell ref="R55:S55"/>
    <mergeCell ref="A55:E55"/>
    <mergeCell ref="A58:E58"/>
    <mergeCell ref="A59:E59"/>
    <mergeCell ref="J46:K46"/>
    <mergeCell ref="A54:E54"/>
  </mergeCells>
  <printOptions horizontalCentered="1"/>
  <pageMargins left="0.33" right="0.19" top="0.75" bottom="0.75" header="0.3" footer="0.3"/>
  <pageSetup paperSize="17" scale="67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C67"/>
  <sheetViews>
    <sheetView zoomScale="75" zoomScaleNormal="75" workbookViewId="0">
      <selection activeCell="A8" sqref="A8"/>
    </sheetView>
  </sheetViews>
  <sheetFormatPr defaultRowHeight="15" x14ac:dyDescent="0.25"/>
  <cols>
    <col min="1" max="1" width="38.710937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6" width="20.42578125" customWidth="1"/>
    <col min="47" max="47" width="20.285156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9" t="s">
        <v>206</v>
      </c>
    </row>
    <row r="4" spans="1:55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</row>
    <row r="5" spans="1:55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/>
      <c r="B8" s="49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2"/>
      <c r="U8" s="53"/>
      <c r="V8" s="54"/>
      <c r="W8" s="54"/>
      <c r="X8" s="54"/>
      <c r="Y8" s="54"/>
      <c r="Z8" s="54"/>
      <c r="AA8" s="55"/>
      <c r="AB8" s="56"/>
      <c r="AC8" s="57"/>
      <c r="AD8" s="407"/>
      <c r="AE8" s="407"/>
      <c r="AF8" s="57"/>
      <c r="AG8" s="58"/>
      <c r="AH8" s="58"/>
      <c r="AI8" s="58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 spans="1:55" x14ac:dyDescent="0.25">
      <c r="A9" s="11"/>
      <c r="B9" s="59"/>
      <c r="C9" s="60"/>
      <c r="D9" s="60"/>
      <c r="E9" s="50"/>
      <c r="F9" s="60"/>
      <c r="G9" s="60"/>
      <c r="H9" s="61"/>
      <c r="I9" s="59"/>
      <c r="J9" s="60"/>
      <c r="K9" s="60"/>
      <c r="L9" s="50"/>
      <c r="M9" s="50"/>
      <c r="N9" s="61"/>
      <c r="O9" s="59"/>
      <c r="P9" s="60"/>
      <c r="Q9" s="62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8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55" x14ac:dyDescent="0.25">
      <c r="A10" s="11"/>
      <c r="B10" s="59"/>
      <c r="C10" s="60"/>
      <c r="D10" s="60"/>
      <c r="E10" s="50"/>
      <c r="F10" s="60"/>
      <c r="G10" s="60"/>
      <c r="H10" s="61"/>
      <c r="I10" s="59"/>
      <c r="J10" s="60"/>
      <c r="K10" s="60"/>
      <c r="L10" s="50"/>
      <c r="M10" s="5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8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55" x14ac:dyDescent="0.25">
      <c r="A11" s="11"/>
      <c r="B11" s="59"/>
      <c r="C11" s="60"/>
      <c r="D11" s="60"/>
      <c r="E11" s="50"/>
      <c r="F11" s="60"/>
      <c r="G11" s="60"/>
      <c r="H11" s="61"/>
      <c r="I11" s="59"/>
      <c r="J11" s="60"/>
      <c r="K11" s="60"/>
      <c r="L11" s="50"/>
      <c r="M11" s="5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8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55" x14ac:dyDescent="0.25">
      <c r="A12" s="11"/>
      <c r="B12" s="59"/>
      <c r="C12" s="60"/>
      <c r="D12" s="60"/>
      <c r="E12" s="50"/>
      <c r="F12" s="60"/>
      <c r="G12" s="60"/>
      <c r="H12" s="61"/>
      <c r="I12" s="59"/>
      <c r="J12" s="60"/>
      <c r="K12" s="60"/>
      <c r="L12" s="50"/>
      <c r="M12" s="5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8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55" x14ac:dyDescent="0.25">
      <c r="A13" s="11"/>
      <c r="B13" s="59"/>
      <c r="C13" s="60"/>
      <c r="D13" s="60"/>
      <c r="E13" s="50"/>
      <c r="F13" s="60"/>
      <c r="G13" s="60"/>
      <c r="H13" s="61"/>
      <c r="I13" s="59"/>
      <c r="J13" s="60"/>
      <c r="K13" s="60"/>
      <c r="L13" s="50"/>
      <c r="M13" s="5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55" x14ac:dyDescent="0.25">
      <c r="A14" s="11"/>
      <c r="B14" s="59"/>
      <c r="C14" s="60"/>
      <c r="D14" s="60"/>
      <c r="E14" s="50"/>
      <c r="F14" s="60"/>
      <c r="G14" s="60"/>
      <c r="H14" s="61"/>
      <c r="I14" s="59"/>
      <c r="J14" s="60"/>
      <c r="K14" s="60"/>
      <c r="L14" s="50"/>
      <c r="M14" s="5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55" x14ac:dyDescent="0.25">
      <c r="A15" s="11"/>
      <c r="B15" s="59"/>
      <c r="C15" s="60"/>
      <c r="D15" s="60"/>
      <c r="E15" s="50"/>
      <c r="F15" s="60"/>
      <c r="G15" s="60"/>
      <c r="H15" s="61"/>
      <c r="I15" s="59"/>
      <c r="J15" s="60"/>
      <c r="K15" s="60"/>
      <c r="L15" s="50"/>
      <c r="M15" s="5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55" x14ac:dyDescent="0.25">
      <c r="A16" s="11"/>
      <c r="B16" s="59"/>
      <c r="C16" s="60"/>
      <c r="D16" s="60"/>
      <c r="E16" s="50"/>
      <c r="F16" s="60"/>
      <c r="G16" s="60"/>
      <c r="H16" s="61"/>
      <c r="I16" s="59"/>
      <c r="J16" s="60"/>
      <c r="K16" s="60"/>
      <c r="L16" s="50"/>
      <c r="M16" s="50"/>
      <c r="N16" s="61"/>
      <c r="O16" s="59"/>
      <c r="P16" s="60"/>
      <c r="Q16" s="60"/>
      <c r="R16" s="63"/>
      <c r="S16" s="60"/>
      <c r="T16" s="64"/>
      <c r="U16" s="65"/>
      <c r="V16" s="62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11"/>
      <c r="B17" s="49"/>
      <c r="C17" s="50"/>
      <c r="D17" s="50"/>
      <c r="E17" s="50"/>
      <c r="F17" s="50"/>
      <c r="G17" s="50"/>
      <c r="H17" s="51"/>
      <c r="I17" s="49"/>
      <c r="J17" s="50"/>
      <c r="K17" s="50"/>
      <c r="L17" s="50"/>
      <c r="M17" s="50"/>
      <c r="N17" s="51"/>
      <c r="O17" s="49"/>
      <c r="P17" s="50"/>
      <c r="Q17" s="50"/>
      <c r="R17" s="70"/>
      <c r="S17" s="50"/>
      <c r="T17" s="52"/>
      <c r="U17" s="71"/>
      <c r="V17" s="62"/>
      <c r="W17" s="62"/>
      <c r="X17" s="62"/>
      <c r="Y17" s="66"/>
      <c r="Z17" s="66"/>
      <c r="AA17" s="67"/>
      <c r="AB17" s="68"/>
      <c r="AC17" s="69"/>
      <c r="AD17" s="408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11"/>
      <c r="B18" s="59"/>
      <c r="C18" s="60"/>
      <c r="D18" s="60"/>
      <c r="E18" s="50"/>
      <c r="F18" s="60"/>
      <c r="G18" s="60"/>
      <c r="H18" s="61"/>
      <c r="I18" s="59"/>
      <c r="J18" s="60"/>
      <c r="K18" s="60"/>
      <c r="L18" s="50"/>
      <c r="M18" s="6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50"/>
      <c r="F19" s="60"/>
      <c r="G19" s="60"/>
      <c r="H19" s="61"/>
      <c r="I19" s="59"/>
      <c r="J19" s="60"/>
      <c r="K19" s="60"/>
      <c r="L19" s="50"/>
      <c r="M19" s="6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50"/>
      <c r="F20" s="60"/>
      <c r="G20" s="60"/>
      <c r="H20" s="61"/>
      <c r="I20" s="59"/>
      <c r="J20" s="60"/>
      <c r="K20" s="60"/>
      <c r="L20" s="5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50"/>
      <c r="F21" s="60"/>
      <c r="G21" s="60"/>
      <c r="H21" s="61"/>
      <c r="I21" s="59"/>
      <c r="J21" s="60"/>
      <c r="K21" s="60"/>
      <c r="L21" s="5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50"/>
      <c r="F22" s="60"/>
      <c r="G22" s="60"/>
      <c r="H22" s="61"/>
      <c r="I22" s="59"/>
      <c r="J22" s="60"/>
      <c r="K22" s="60"/>
      <c r="L22" s="5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50"/>
      <c r="F23" s="60"/>
      <c r="G23" s="60"/>
      <c r="H23" s="61"/>
      <c r="I23" s="59"/>
      <c r="J23" s="60"/>
      <c r="K23" s="60"/>
      <c r="L23" s="5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50"/>
      <c r="F24" s="60"/>
      <c r="G24" s="60"/>
      <c r="H24" s="61"/>
      <c r="I24" s="59"/>
      <c r="J24" s="60"/>
      <c r="K24" s="60"/>
      <c r="L24" s="5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11"/>
      <c r="B25" s="59"/>
      <c r="C25" s="60"/>
      <c r="D25" s="60"/>
      <c r="E25" s="50"/>
      <c r="F25" s="60"/>
      <c r="G25" s="60"/>
      <c r="H25" s="61"/>
      <c r="I25" s="59"/>
      <c r="J25" s="60"/>
      <c r="K25" s="60"/>
      <c r="L25" s="5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8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11"/>
      <c r="B26" s="59"/>
      <c r="C26" s="60"/>
      <c r="D26" s="60"/>
      <c r="E26" s="50"/>
      <c r="F26" s="60"/>
      <c r="G26" s="60"/>
      <c r="H26" s="61"/>
      <c r="I26" s="59"/>
      <c r="J26" s="60"/>
      <c r="K26" s="60"/>
      <c r="L26" s="5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6"/>
      <c r="Z26" s="66"/>
      <c r="AA26" s="67"/>
      <c r="AB26" s="68"/>
      <c r="AC26" s="69"/>
      <c r="AD26" s="408"/>
      <c r="AE26" s="408"/>
      <c r="AF26" s="69"/>
      <c r="AG26" s="68"/>
      <c r="AH26" s="68"/>
      <c r="AI26" s="68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50"/>
      <c r="F27" s="60"/>
      <c r="G27" s="60"/>
      <c r="H27" s="61"/>
      <c r="I27" s="59"/>
      <c r="J27" s="60"/>
      <c r="K27" s="60"/>
      <c r="L27" s="5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2"/>
      <c r="Z27" s="62"/>
      <c r="AA27" s="72"/>
      <c r="AB27" s="69"/>
      <c r="AC27" s="69"/>
      <c r="AD27" s="408"/>
      <c r="AE27" s="408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50"/>
      <c r="F28" s="60"/>
      <c r="G28" s="60"/>
      <c r="H28" s="61"/>
      <c r="I28" s="59"/>
      <c r="J28" s="60"/>
      <c r="K28" s="60"/>
      <c r="L28" s="5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50"/>
      <c r="F29" s="60"/>
      <c r="G29" s="60"/>
      <c r="H29" s="61"/>
      <c r="I29" s="59"/>
      <c r="J29" s="60"/>
      <c r="K29" s="60"/>
      <c r="L29" s="5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50"/>
      <c r="F30" s="60"/>
      <c r="G30" s="60"/>
      <c r="H30" s="61"/>
      <c r="I30" s="59"/>
      <c r="J30" s="60"/>
      <c r="K30" s="60"/>
      <c r="L30" s="5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50"/>
      <c r="F31" s="60"/>
      <c r="G31" s="60"/>
      <c r="H31" s="61"/>
      <c r="I31" s="59"/>
      <c r="J31" s="60"/>
      <c r="K31" s="60"/>
      <c r="L31" s="5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50"/>
      <c r="F32" s="60"/>
      <c r="G32" s="60"/>
      <c r="H32" s="61"/>
      <c r="I32" s="59"/>
      <c r="J32" s="60"/>
      <c r="K32" s="60"/>
      <c r="L32" s="5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50"/>
      <c r="F33" s="60"/>
      <c r="G33" s="60"/>
      <c r="H33" s="61"/>
      <c r="I33" s="59"/>
      <c r="J33" s="60"/>
      <c r="K33" s="60"/>
      <c r="L33" s="5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50"/>
      <c r="F34" s="60"/>
      <c r="G34" s="60"/>
      <c r="H34" s="61"/>
      <c r="I34" s="59"/>
      <c r="J34" s="60"/>
      <c r="K34" s="60"/>
      <c r="L34" s="5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59"/>
      <c r="C35" s="60"/>
      <c r="D35" s="60"/>
      <c r="E35" s="50"/>
      <c r="F35" s="60"/>
      <c r="G35" s="60"/>
      <c r="H35" s="61"/>
      <c r="I35" s="59"/>
      <c r="J35" s="60"/>
      <c r="K35" s="60"/>
      <c r="L35" s="5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8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x14ac:dyDescent="0.25">
      <c r="A36" s="11"/>
      <c r="B36" s="59"/>
      <c r="C36" s="60"/>
      <c r="D36" s="60"/>
      <c r="E36" s="50"/>
      <c r="F36" s="60"/>
      <c r="G36" s="60"/>
      <c r="H36" s="61"/>
      <c r="I36" s="59"/>
      <c r="J36" s="60"/>
      <c r="K36" s="60"/>
      <c r="L36" s="5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8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59"/>
      <c r="C37" s="60"/>
      <c r="D37" s="60"/>
      <c r="E37" s="50"/>
      <c r="F37" s="60"/>
      <c r="G37" s="60"/>
      <c r="H37" s="61"/>
      <c r="I37" s="59"/>
      <c r="J37" s="60"/>
      <c r="K37" s="60"/>
      <c r="L37" s="5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408"/>
      <c r="AE37" s="408"/>
      <c r="AF37" s="69"/>
      <c r="AG37" s="68"/>
      <c r="AH37" s="68"/>
      <c r="AI37" s="68"/>
      <c r="AJ37" s="69"/>
      <c r="AK37" s="69"/>
      <c r="AL37" s="69"/>
      <c r="AM37" s="69"/>
      <c r="AN37" s="69"/>
      <c r="AO37" s="69"/>
      <c r="AP37" s="69"/>
      <c r="AQ37" s="69"/>
      <c r="AR37" s="69"/>
      <c r="AS37" s="69"/>
    </row>
    <row r="38" spans="1:45" ht="15.75" thickBot="1" x14ac:dyDescent="0.3">
      <c r="A38" s="11"/>
      <c r="B38" s="73"/>
      <c r="C38" s="74"/>
      <c r="D38" s="74"/>
      <c r="E38" s="50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8"/>
      <c r="AE38" s="408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0</v>
      </c>
      <c r="AK39" s="272">
        <f t="shared" si="1"/>
        <v>0</v>
      </c>
      <c r="AL39" s="272">
        <f t="shared" si="1"/>
        <v>0</v>
      </c>
      <c r="AM39" s="272">
        <f t="shared" si="1"/>
        <v>0</v>
      </c>
      <c r="AN39" s="272">
        <f t="shared" si="1"/>
        <v>0</v>
      </c>
      <c r="AO39" s="272">
        <f t="shared" si="1"/>
        <v>0</v>
      </c>
      <c r="AP39" s="272">
        <f t="shared" si="1"/>
        <v>0</v>
      </c>
      <c r="AQ39" s="272">
        <f t="shared" si="1"/>
        <v>0</v>
      </c>
      <c r="AR39" s="272">
        <f t="shared" si="1"/>
        <v>0</v>
      </c>
      <c r="AS39" s="272">
        <f t="shared" si="1"/>
        <v>0</v>
      </c>
    </row>
    <row r="40" spans="1:45" ht="15.75" thickBot="1" x14ac:dyDescent="0.3">
      <c r="A40" s="47" t="s">
        <v>172</v>
      </c>
      <c r="B40" s="32">
        <f>Projection!$AD$30</f>
        <v>0</v>
      </c>
      <c r="C40" s="33">
        <f>Projection!$AD$28</f>
        <v>0</v>
      </c>
      <c r="D40" s="33">
        <f>Projection!$AD$31</f>
        <v>0</v>
      </c>
      <c r="E40" s="33">
        <f>Projection!$AD$26</f>
        <v>4.4235360000000004</v>
      </c>
      <c r="F40" s="33">
        <f>Projection!$AD$23</f>
        <v>0</v>
      </c>
      <c r="G40" s="33">
        <f>Projection!$AD$24</f>
        <v>0</v>
      </c>
      <c r="H40" s="34">
        <f>Projection!$AD$29</f>
        <v>0</v>
      </c>
      <c r="I40" s="32">
        <f>Projection!$AD$30</f>
        <v>0</v>
      </c>
      <c r="J40" s="33">
        <f>Projection!$AD$28</f>
        <v>0</v>
      </c>
      <c r="K40" s="33">
        <f>Projection!$AD$26</f>
        <v>4.4235360000000004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0</v>
      </c>
      <c r="T40" s="265">
        <f>Projection!$AD$28</f>
        <v>0</v>
      </c>
      <c r="U40" s="263">
        <f>Projection!$AD$27</f>
        <v>0.26450000000000001</v>
      </c>
      <c r="V40" s="264">
        <f>Projection!$AD$27</f>
        <v>0.26450000000000001</v>
      </c>
      <c r="W40" s="264">
        <f>Projection!$AD$22</f>
        <v>0</v>
      </c>
      <c r="X40" s="264">
        <f>Projection!$AD$22</f>
        <v>0</v>
      </c>
      <c r="Y40" s="264">
        <f>Projection!$AD$31</f>
        <v>0</v>
      </c>
      <c r="Z40" s="264">
        <f>Projection!$AD$31</f>
        <v>0</v>
      </c>
      <c r="AA40" s="270">
        <v>0</v>
      </c>
      <c r="AB40" s="273">
        <f>Projection!$AD$27</f>
        <v>0.26450000000000001</v>
      </c>
      <c r="AC40" s="273">
        <f>Projection!$AD$30</f>
        <v>0</v>
      </c>
      <c r="AD40" s="399">
        <f>SUM(AD8:AD38)</f>
        <v>0</v>
      </c>
      <c r="AE40" s="399">
        <f>SUM(AE8:AE38)</f>
        <v>0</v>
      </c>
      <c r="AF40" s="276">
        <f>SUM(AF8:AF38)</f>
        <v>0</v>
      </c>
      <c r="AG40" s="276">
        <f>SUM(AG8:AG38)</f>
        <v>0</v>
      </c>
      <c r="AH40" s="276">
        <f>SUM(AH8:AH38)</f>
        <v>0</v>
      </c>
      <c r="AI40" s="276">
        <f>IF(SUM(AG40:AH40)&gt;0, AG40/(AG40+AH40),0)</f>
        <v>0</v>
      </c>
      <c r="AJ40" s="311">
        <v>6.2E-2</v>
      </c>
      <c r="AK40" s="311">
        <f t="shared" ref="AK40:AS40" si="2">$AJ$40</f>
        <v>6.2E-2</v>
      </c>
      <c r="AL40" s="311">
        <f t="shared" si="2"/>
        <v>6.2E-2</v>
      </c>
      <c r="AM40" s="311">
        <f t="shared" si="2"/>
        <v>6.2E-2</v>
      </c>
      <c r="AN40" s="311">
        <f t="shared" si="2"/>
        <v>6.2E-2</v>
      </c>
      <c r="AO40" s="311">
        <f t="shared" si="2"/>
        <v>6.2E-2</v>
      </c>
      <c r="AP40" s="311">
        <f t="shared" si="2"/>
        <v>6.2E-2</v>
      </c>
      <c r="AQ40" s="311">
        <f t="shared" si="2"/>
        <v>6.2E-2</v>
      </c>
      <c r="AR40" s="311">
        <f t="shared" si="2"/>
        <v>6.2E-2</v>
      </c>
      <c r="AS40" s="311">
        <f t="shared" si="2"/>
        <v>6.2E-2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S41" si="4">AJ40*AJ39</f>
        <v>0</v>
      </c>
      <c r="AK41" s="277">
        <f t="shared" si="4"/>
        <v>0</v>
      </c>
      <c r="AL41" s="277">
        <f t="shared" si="4"/>
        <v>0</v>
      </c>
      <c r="AM41" s="277">
        <f t="shared" si="4"/>
        <v>0</v>
      </c>
      <c r="AN41" s="277">
        <f t="shared" si="4"/>
        <v>0</v>
      </c>
      <c r="AO41" s="277">
        <f t="shared" si="4"/>
        <v>0</v>
      </c>
      <c r="AP41" s="277">
        <f t="shared" si="4"/>
        <v>0</v>
      </c>
      <c r="AQ41" s="277">
        <f t="shared" si="4"/>
        <v>0</v>
      </c>
      <c r="AR41" s="277">
        <f t="shared" si="4"/>
        <v>0</v>
      </c>
      <c r="AS41" s="277">
        <f t="shared" si="4"/>
        <v>0</v>
      </c>
    </row>
    <row r="42" spans="1:45" ht="49.5" customHeight="1" thickTop="1" thickBot="1" x14ac:dyDescent="0.3">
      <c r="A42" s="636">
        <f>SEPTEMBER!$A$42+30</f>
        <v>44471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0</v>
      </c>
      <c r="C45" s="12"/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0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0</v>
      </c>
      <c r="U49" s="255">
        <f>(T49*8.34*1.04)/45000</f>
        <v>0</v>
      </c>
    </row>
    <row r="50" spans="1:25" ht="48" customHeight="1" thickTop="1" thickBot="1" x14ac:dyDescent="0.3">
      <c r="A50" s="290" t="s">
        <v>223</v>
      </c>
      <c r="B50" s="291">
        <f>SUM(E50+H50)</f>
        <v>0</v>
      </c>
      <c r="C50" s="1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0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398" t="e">
        <f>SUM(E44:E48)/E50</f>
        <v>#DIV/0!</v>
      </c>
      <c r="F51" s="23"/>
      <c r="G51" s="290" t="s">
        <v>189</v>
      </c>
      <c r="H51" s="398" t="e">
        <f>SUM(H44:H48)/H50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0</v>
      </c>
      <c r="U51" s="255">
        <f>T51/2000/8</f>
        <v>0</v>
      </c>
    </row>
    <row r="52" spans="1:25" ht="48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372" t="e">
        <f>E44/E49</f>
        <v>#DIV/0!</v>
      </c>
      <c r="G52" s="280" t="s">
        <v>193</v>
      </c>
      <c r="H52" s="293" t="e">
        <f>H51/1000</f>
        <v>#DIV/0!</v>
      </c>
      <c r="I52" s="372" t="e">
        <f>H44/H49</f>
        <v>#DIV/0!</v>
      </c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33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0</v>
      </c>
      <c r="U54" s="255">
        <f>(T54*8.34*1.029*0.03)/3300</f>
        <v>0</v>
      </c>
    </row>
    <row r="55" spans="1:25" ht="59.2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  <c r="V55" s="324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1"/>
      <c r="T56" s="671"/>
      <c r="U56" s="671"/>
      <c r="V56" s="322"/>
      <c r="W56" s="323"/>
      <c r="X56" s="321"/>
      <c r="Y56" s="321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1"/>
      <c r="T57" s="670"/>
      <c r="U57" s="670"/>
      <c r="V57" s="322"/>
      <c r="W57" s="323"/>
      <c r="X57" s="321"/>
      <c r="Y57" s="321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1"/>
      <c r="T58" s="670"/>
      <c r="U58" s="670"/>
      <c r="V58" s="322"/>
      <c r="W58" s="323"/>
      <c r="X58" s="321"/>
      <c r="Y58" s="321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1"/>
      <c r="T59" s="670"/>
      <c r="U59" s="670"/>
      <c r="V59" s="322"/>
      <c r="W59" s="323"/>
      <c r="X59" s="321"/>
      <c r="Y59" s="321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1"/>
      <c r="T60" s="670"/>
      <c r="U60" s="670"/>
      <c r="V60" s="322"/>
      <c r="W60" s="323"/>
      <c r="X60" s="321"/>
      <c r="Y60" s="321"/>
    </row>
    <row r="61" spans="1:25" x14ac:dyDescent="0.25">
      <c r="S61" s="321"/>
      <c r="T61" s="670"/>
      <c r="U61" s="670"/>
      <c r="V61" s="322"/>
      <c r="W61" s="323"/>
      <c r="X61" s="321"/>
      <c r="Y61" s="321"/>
    </row>
    <row r="62" spans="1:25" x14ac:dyDescent="0.25">
      <c r="S62" s="321"/>
      <c r="T62" s="670"/>
      <c r="U62" s="670"/>
      <c r="V62" s="322"/>
      <c r="W62" s="323"/>
      <c r="X62" s="321"/>
      <c r="Y62" s="321"/>
    </row>
    <row r="63" spans="1:25" x14ac:dyDescent="0.25">
      <c r="S63" s="321"/>
      <c r="T63" s="670"/>
      <c r="U63" s="670"/>
      <c r="V63" s="322"/>
      <c r="W63" s="323"/>
      <c r="X63" s="321"/>
      <c r="Y63" s="321"/>
    </row>
    <row r="64" spans="1:25" x14ac:dyDescent="0.25">
      <c r="S64" s="321"/>
      <c r="T64" s="321"/>
      <c r="U64" s="321"/>
      <c r="V64" s="321"/>
      <c r="W64" s="321"/>
      <c r="X64" s="321"/>
      <c r="Y64" s="321"/>
    </row>
    <row r="65" spans="19:25" x14ac:dyDescent="0.25">
      <c r="S65" s="321"/>
      <c r="T65" s="321"/>
      <c r="U65" s="321"/>
      <c r="V65" s="321"/>
      <c r="W65" s="321"/>
      <c r="X65" s="321"/>
      <c r="Y65" s="321"/>
    </row>
    <row r="66" spans="19:25" x14ac:dyDescent="0.25">
      <c r="S66" s="321"/>
      <c r="T66" s="321"/>
      <c r="U66" s="321"/>
      <c r="V66" s="321"/>
      <c r="W66" s="321"/>
      <c r="X66" s="321"/>
      <c r="Y66" s="321"/>
    </row>
    <row r="67" spans="19:25" x14ac:dyDescent="0.25">
      <c r="S67" s="321"/>
      <c r="T67" s="321"/>
      <c r="U67" s="321"/>
      <c r="V67" s="321"/>
      <c r="W67" s="321"/>
      <c r="X67" s="321"/>
      <c r="Y67" s="321"/>
    </row>
  </sheetData>
  <sheetProtection algorithmName="SHA-512" hashValue="YFf80d3z8e5LXHZQadI9qbv728VKBJMeNaijqr/G5pskltl9MgJ3ux+iwt2aCpag5Z7pgJbNSg0IHEDYZN5byg==" saltValue="XaAbXDbqy8rhFrf5MeAykA==" spinCount="100000" sheet="1" selectLockedCells="1" selectUnlockedCells="1"/>
  <mergeCells count="40">
    <mergeCell ref="AR4:AR5"/>
    <mergeCell ref="AS4:AS5"/>
    <mergeCell ref="AJ4:AJ5"/>
    <mergeCell ref="AK4:AK5"/>
    <mergeCell ref="AL4:AL5"/>
    <mergeCell ref="AM4:AM5"/>
    <mergeCell ref="AN4:AN5"/>
    <mergeCell ref="AO4:AO5"/>
    <mergeCell ref="O4:T5"/>
    <mergeCell ref="U4:AA5"/>
    <mergeCell ref="R43:U43"/>
    <mergeCell ref="AP4:AP5"/>
    <mergeCell ref="AQ4:AQ5"/>
    <mergeCell ref="AI4:AI5"/>
    <mergeCell ref="AB4:AB5"/>
    <mergeCell ref="AC4:AC5"/>
    <mergeCell ref="AF4:AF5"/>
    <mergeCell ref="AG4:AG5"/>
    <mergeCell ref="AH4:AH5"/>
    <mergeCell ref="AD4:AD5"/>
    <mergeCell ref="AE4:AE5"/>
    <mergeCell ref="B4:H5"/>
    <mergeCell ref="I4:N5"/>
    <mergeCell ref="G43:H43"/>
    <mergeCell ref="D43:E43"/>
    <mergeCell ref="A43:B43"/>
    <mergeCell ref="A42:K42"/>
    <mergeCell ref="J43:K43"/>
    <mergeCell ref="J46:K46"/>
    <mergeCell ref="A54:E54"/>
    <mergeCell ref="A55:E55"/>
    <mergeCell ref="R55:S55"/>
    <mergeCell ref="T62:U62"/>
    <mergeCell ref="T56:U56"/>
    <mergeCell ref="T63:U63"/>
    <mergeCell ref="T57:U57"/>
    <mergeCell ref="T58:U58"/>
    <mergeCell ref="T59:U59"/>
    <mergeCell ref="T60:U60"/>
    <mergeCell ref="T61:U61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C70"/>
  <sheetViews>
    <sheetView topLeftCell="A7" zoomScale="80" zoomScaleNormal="80" workbookViewId="0">
      <selection activeCell="A8" sqref="A8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9" t="s">
        <v>206</v>
      </c>
    </row>
    <row r="4" spans="1:55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</row>
    <row r="5" spans="1:55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/>
      <c r="B8" s="49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2"/>
      <c r="U8" s="53"/>
      <c r="V8" s="54"/>
      <c r="W8" s="54"/>
      <c r="X8" s="54"/>
      <c r="Y8" s="54"/>
      <c r="Z8" s="54"/>
      <c r="AA8" s="55"/>
      <c r="AB8" s="56"/>
      <c r="AC8" s="57"/>
      <c r="AD8" s="442"/>
      <c r="AE8" s="407"/>
      <c r="AF8" s="57"/>
      <c r="AG8" s="58"/>
      <c r="AH8" s="58"/>
      <c r="AI8" s="58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 spans="1:55" x14ac:dyDescent="0.25">
      <c r="A9" s="11"/>
      <c r="B9" s="59"/>
      <c r="C9" s="60"/>
      <c r="D9" s="60"/>
      <c r="E9" s="50"/>
      <c r="F9" s="60"/>
      <c r="G9" s="60"/>
      <c r="H9" s="61"/>
      <c r="I9" s="59"/>
      <c r="J9" s="60"/>
      <c r="K9" s="60"/>
      <c r="L9" s="50"/>
      <c r="M9" s="50"/>
      <c r="N9" s="61"/>
      <c r="O9" s="59"/>
      <c r="P9" s="60"/>
      <c r="Q9" s="62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4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55" x14ac:dyDescent="0.25">
      <c r="A10" s="11"/>
      <c r="B10" s="59"/>
      <c r="C10" s="60"/>
      <c r="D10" s="60"/>
      <c r="E10" s="50"/>
      <c r="F10" s="60"/>
      <c r="G10" s="60"/>
      <c r="H10" s="61"/>
      <c r="I10" s="59"/>
      <c r="J10" s="60"/>
      <c r="K10" s="60"/>
      <c r="L10" s="50"/>
      <c r="M10" s="5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4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55" x14ac:dyDescent="0.25">
      <c r="A11" s="11"/>
      <c r="B11" s="59"/>
      <c r="C11" s="60"/>
      <c r="D11" s="60"/>
      <c r="E11" s="50"/>
      <c r="F11" s="60"/>
      <c r="G11" s="60"/>
      <c r="H11" s="61"/>
      <c r="I11" s="59"/>
      <c r="J11" s="60"/>
      <c r="K11" s="60"/>
      <c r="L11" s="50"/>
      <c r="M11" s="5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4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55" x14ac:dyDescent="0.25">
      <c r="A12" s="11"/>
      <c r="B12" s="59"/>
      <c r="C12" s="60"/>
      <c r="D12" s="60"/>
      <c r="E12" s="50"/>
      <c r="F12" s="60"/>
      <c r="G12" s="60"/>
      <c r="H12" s="61"/>
      <c r="I12" s="59"/>
      <c r="J12" s="60"/>
      <c r="K12" s="60"/>
      <c r="L12" s="50"/>
      <c r="M12" s="5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4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55" x14ac:dyDescent="0.25">
      <c r="A13" s="11"/>
      <c r="B13" s="59"/>
      <c r="C13" s="60"/>
      <c r="D13" s="60"/>
      <c r="E13" s="50"/>
      <c r="F13" s="60"/>
      <c r="G13" s="60"/>
      <c r="H13" s="61"/>
      <c r="I13" s="59"/>
      <c r="J13" s="60"/>
      <c r="K13" s="60"/>
      <c r="L13" s="50"/>
      <c r="M13" s="5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4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55" x14ac:dyDescent="0.25">
      <c r="A14" s="11"/>
      <c r="B14" s="59"/>
      <c r="C14" s="60"/>
      <c r="D14" s="60"/>
      <c r="E14" s="50"/>
      <c r="F14" s="60"/>
      <c r="G14" s="60"/>
      <c r="H14" s="61"/>
      <c r="I14" s="59"/>
      <c r="J14" s="60"/>
      <c r="K14" s="60"/>
      <c r="L14" s="50"/>
      <c r="M14" s="5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4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55" x14ac:dyDescent="0.25">
      <c r="A15" s="11"/>
      <c r="B15" s="59"/>
      <c r="C15" s="60"/>
      <c r="D15" s="60"/>
      <c r="E15" s="50"/>
      <c r="F15" s="60"/>
      <c r="G15" s="60"/>
      <c r="H15" s="61"/>
      <c r="I15" s="59"/>
      <c r="J15" s="60"/>
      <c r="K15" s="60"/>
      <c r="L15" s="50"/>
      <c r="M15" s="5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4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55" x14ac:dyDescent="0.25">
      <c r="A16" s="11"/>
      <c r="B16" s="59"/>
      <c r="C16" s="60"/>
      <c r="D16" s="60"/>
      <c r="E16" s="50"/>
      <c r="F16" s="60"/>
      <c r="G16" s="60"/>
      <c r="H16" s="61"/>
      <c r="I16" s="59"/>
      <c r="J16" s="60"/>
      <c r="K16" s="60"/>
      <c r="L16" s="50"/>
      <c r="M16" s="50"/>
      <c r="N16" s="61"/>
      <c r="O16" s="59"/>
      <c r="P16" s="60"/>
      <c r="Q16" s="60"/>
      <c r="R16" s="63"/>
      <c r="S16" s="60"/>
      <c r="T16" s="64"/>
      <c r="U16" s="65"/>
      <c r="V16" s="62"/>
      <c r="W16" s="62"/>
      <c r="X16" s="62"/>
      <c r="Y16" s="66"/>
      <c r="Z16" s="66"/>
      <c r="AA16" s="67"/>
      <c r="AB16" s="68"/>
      <c r="AC16" s="69"/>
      <c r="AD16" s="404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11"/>
      <c r="B17" s="49"/>
      <c r="C17" s="50"/>
      <c r="D17" s="50"/>
      <c r="E17" s="50"/>
      <c r="F17" s="50"/>
      <c r="G17" s="50"/>
      <c r="H17" s="51"/>
      <c r="I17" s="49"/>
      <c r="J17" s="50"/>
      <c r="K17" s="50"/>
      <c r="L17" s="50"/>
      <c r="M17" s="50"/>
      <c r="N17" s="51"/>
      <c r="O17" s="49"/>
      <c r="P17" s="50"/>
      <c r="Q17" s="50"/>
      <c r="R17" s="70"/>
      <c r="S17" s="50"/>
      <c r="T17" s="52"/>
      <c r="U17" s="71"/>
      <c r="V17" s="66"/>
      <c r="W17" s="62"/>
      <c r="X17" s="62"/>
      <c r="Y17" s="66"/>
      <c r="Z17" s="66"/>
      <c r="AA17" s="67"/>
      <c r="AB17" s="68"/>
      <c r="AC17" s="69"/>
      <c r="AD17" s="404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11"/>
      <c r="B18" s="59"/>
      <c r="C18" s="60"/>
      <c r="D18" s="60"/>
      <c r="E18" s="50"/>
      <c r="F18" s="60"/>
      <c r="G18" s="60"/>
      <c r="H18" s="61"/>
      <c r="I18" s="59"/>
      <c r="J18" s="60"/>
      <c r="K18" s="60"/>
      <c r="L18" s="50"/>
      <c r="M18" s="6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4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50"/>
      <c r="F19" s="60"/>
      <c r="G19" s="60"/>
      <c r="H19" s="61"/>
      <c r="I19" s="59"/>
      <c r="J19" s="60"/>
      <c r="K19" s="60"/>
      <c r="L19" s="50"/>
      <c r="M19" s="6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4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50"/>
      <c r="F20" s="60"/>
      <c r="G20" s="60"/>
      <c r="H20" s="61"/>
      <c r="I20" s="59"/>
      <c r="J20" s="60"/>
      <c r="K20" s="60"/>
      <c r="L20" s="5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4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50"/>
      <c r="F21" s="60"/>
      <c r="G21" s="60"/>
      <c r="H21" s="61"/>
      <c r="I21" s="59"/>
      <c r="J21" s="60"/>
      <c r="K21" s="60"/>
      <c r="L21" s="5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4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50"/>
      <c r="F22" s="60"/>
      <c r="G22" s="60"/>
      <c r="H22" s="61"/>
      <c r="I22" s="59"/>
      <c r="J22" s="60"/>
      <c r="K22" s="60"/>
      <c r="L22" s="5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4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50"/>
      <c r="F23" s="60"/>
      <c r="G23" s="60"/>
      <c r="H23" s="61"/>
      <c r="I23" s="59"/>
      <c r="J23" s="60"/>
      <c r="K23" s="60"/>
      <c r="L23" s="5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4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50"/>
      <c r="F24" s="60"/>
      <c r="G24" s="60"/>
      <c r="H24" s="61"/>
      <c r="I24" s="59"/>
      <c r="J24" s="60"/>
      <c r="K24" s="60"/>
      <c r="L24" s="5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4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11"/>
      <c r="B25" s="59"/>
      <c r="C25" s="60"/>
      <c r="D25" s="60"/>
      <c r="E25" s="50"/>
      <c r="F25" s="60"/>
      <c r="G25" s="60"/>
      <c r="H25" s="61"/>
      <c r="I25" s="59"/>
      <c r="J25" s="60"/>
      <c r="K25" s="60"/>
      <c r="L25" s="5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4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11"/>
      <c r="B26" s="59"/>
      <c r="C26" s="60"/>
      <c r="D26" s="60"/>
      <c r="E26" s="50"/>
      <c r="F26" s="60"/>
      <c r="G26" s="60"/>
      <c r="H26" s="61"/>
      <c r="I26" s="59"/>
      <c r="J26" s="60"/>
      <c r="K26" s="60"/>
      <c r="L26" s="5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6"/>
      <c r="Z26" s="66"/>
      <c r="AA26" s="67"/>
      <c r="AB26" s="68"/>
      <c r="AC26" s="69"/>
      <c r="AD26" s="404"/>
      <c r="AE26" s="408"/>
      <c r="AF26" s="69"/>
      <c r="AG26" s="68"/>
      <c r="AH26" s="68"/>
      <c r="AI26" s="68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50"/>
      <c r="F27" s="60"/>
      <c r="G27" s="60"/>
      <c r="H27" s="61"/>
      <c r="I27" s="59"/>
      <c r="J27" s="60"/>
      <c r="K27" s="60"/>
      <c r="L27" s="5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2"/>
      <c r="Z27" s="62"/>
      <c r="AA27" s="72"/>
      <c r="AB27" s="69"/>
      <c r="AC27" s="69"/>
      <c r="AD27" s="404"/>
      <c r="AE27" s="408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50"/>
      <c r="F28" s="60"/>
      <c r="G28" s="60"/>
      <c r="H28" s="61"/>
      <c r="I28" s="59"/>
      <c r="J28" s="60"/>
      <c r="K28" s="60"/>
      <c r="L28" s="5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4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50"/>
      <c r="F29" s="60"/>
      <c r="G29" s="60"/>
      <c r="H29" s="61"/>
      <c r="I29" s="59"/>
      <c r="J29" s="60"/>
      <c r="K29" s="60"/>
      <c r="L29" s="5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4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50"/>
      <c r="F30" s="60"/>
      <c r="G30" s="60"/>
      <c r="H30" s="61"/>
      <c r="I30" s="59"/>
      <c r="J30" s="60"/>
      <c r="K30" s="60"/>
      <c r="L30" s="5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4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50"/>
      <c r="F31" s="60"/>
      <c r="G31" s="60"/>
      <c r="H31" s="61"/>
      <c r="I31" s="59"/>
      <c r="J31" s="60"/>
      <c r="K31" s="60"/>
      <c r="L31" s="5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4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50"/>
      <c r="F32" s="60"/>
      <c r="G32" s="60"/>
      <c r="H32" s="61"/>
      <c r="I32" s="59"/>
      <c r="J32" s="60"/>
      <c r="K32" s="60"/>
      <c r="L32" s="5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4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50"/>
      <c r="F33" s="60"/>
      <c r="G33" s="60"/>
      <c r="H33" s="61"/>
      <c r="I33" s="59"/>
      <c r="J33" s="60"/>
      <c r="K33" s="60"/>
      <c r="L33" s="5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4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50"/>
      <c r="F34" s="60"/>
      <c r="G34" s="60"/>
      <c r="H34" s="61"/>
      <c r="I34" s="59"/>
      <c r="J34" s="60"/>
      <c r="K34" s="60"/>
      <c r="L34" s="5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4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59"/>
      <c r="C35" s="60"/>
      <c r="D35" s="60"/>
      <c r="E35" s="50"/>
      <c r="F35" s="60"/>
      <c r="G35" s="60"/>
      <c r="H35" s="61"/>
      <c r="I35" s="59"/>
      <c r="J35" s="60"/>
      <c r="K35" s="60"/>
      <c r="L35" s="5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4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x14ac:dyDescent="0.25">
      <c r="A36" s="11"/>
      <c r="B36" s="59"/>
      <c r="C36" s="60"/>
      <c r="D36" s="60"/>
      <c r="E36" s="50"/>
      <c r="F36" s="60"/>
      <c r="G36" s="60"/>
      <c r="H36" s="61"/>
      <c r="I36" s="59"/>
      <c r="J36" s="60"/>
      <c r="K36" s="60"/>
      <c r="L36" s="5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4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59"/>
      <c r="C37" s="60"/>
      <c r="D37" s="60"/>
      <c r="E37" s="60"/>
      <c r="F37" s="60"/>
      <c r="G37" s="60"/>
      <c r="H37" s="61"/>
      <c r="I37" s="59"/>
      <c r="J37" s="60"/>
      <c r="K37" s="60"/>
      <c r="L37" s="6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404"/>
      <c r="AE37" s="443"/>
      <c r="AF37" s="69"/>
      <c r="AG37" s="68"/>
      <c r="AH37" s="68"/>
      <c r="AI37" s="68"/>
      <c r="AJ37" s="69"/>
      <c r="AK37" s="69"/>
      <c r="AL37" s="69"/>
      <c r="AM37" s="69"/>
      <c r="AN37" s="69"/>
      <c r="AO37" s="69"/>
      <c r="AP37" s="69"/>
      <c r="AQ37" s="69"/>
      <c r="AR37" s="69"/>
      <c r="AS37" s="69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4"/>
      <c r="AE38" s="443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0</v>
      </c>
      <c r="AK39" s="272">
        <f t="shared" si="1"/>
        <v>0</v>
      </c>
      <c r="AL39" s="272">
        <f t="shared" si="1"/>
        <v>0</v>
      </c>
      <c r="AM39" s="272">
        <f t="shared" si="1"/>
        <v>0</v>
      </c>
      <c r="AN39" s="272">
        <f t="shared" si="1"/>
        <v>0</v>
      </c>
      <c r="AO39" s="272">
        <f t="shared" si="1"/>
        <v>0</v>
      </c>
      <c r="AP39" s="272">
        <f t="shared" si="1"/>
        <v>0</v>
      </c>
      <c r="AQ39" s="272">
        <f t="shared" si="1"/>
        <v>0</v>
      </c>
      <c r="AR39" s="272">
        <f t="shared" si="1"/>
        <v>0</v>
      </c>
      <c r="AS39" s="272">
        <f t="shared" si="1"/>
        <v>0</v>
      </c>
    </row>
    <row r="40" spans="1:45" ht="15.75" thickBot="1" x14ac:dyDescent="0.3">
      <c r="A40" s="47" t="s">
        <v>172</v>
      </c>
      <c r="B40" s="32">
        <f>Projection!$AD$30</f>
        <v>0</v>
      </c>
      <c r="C40" s="33">
        <f>Projection!$AD$28</f>
        <v>0</v>
      </c>
      <c r="D40" s="33">
        <f>Projection!$AD$31</f>
        <v>0</v>
      </c>
      <c r="E40" s="33">
        <f>Projection!$AD$26</f>
        <v>4.4235360000000004</v>
      </c>
      <c r="F40" s="33">
        <f>Projection!$AD$23</f>
        <v>0</v>
      </c>
      <c r="G40" s="33">
        <f>Projection!$AD$24</f>
        <v>0</v>
      </c>
      <c r="H40" s="34">
        <f>Projection!$AD$29</f>
        <v>0</v>
      </c>
      <c r="I40" s="32">
        <f>Projection!$AD$30</f>
        <v>0</v>
      </c>
      <c r="J40" s="33">
        <f>Projection!$AD$28</f>
        <v>0</v>
      </c>
      <c r="K40" s="33">
        <f>Projection!$AD$26</f>
        <v>4.4235360000000004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0</v>
      </c>
      <c r="T40" s="265">
        <f>Projection!$AD$28</f>
        <v>0</v>
      </c>
      <c r="U40" s="263">
        <f>Projection!$AD$27</f>
        <v>0.26450000000000001</v>
      </c>
      <c r="V40" s="264">
        <f>Projection!$AD$27</f>
        <v>0.26450000000000001</v>
      </c>
      <c r="W40" s="264">
        <f>Projection!$AD$22</f>
        <v>0</v>
      </c>
      <c r="X40" s="264">
        <f>Projection!$AD$22</f>
        <v>0</v>
      </c>
      <c r="Y40" s="264">
        <f>Projection!$AD$31</f>
        <v>0</v>
      </c>
      <c r="Z40" s="264">
        <f>Projection!$AD$31</f>
        <v>0</v>
      </c>
      <c r="AA40" s="270">
        <v>0</v>
      </c>
      <c r="AB40" s="273">
        <f>Projection!$AD$27</f>
        <v>0.26450000000000001</v>
      </c>
      <c r="AC40" s="273">
        <f>Projection!$AD$30</f>
        <v>0</v>
      </c>
      <c r="AD40" s="399">
        <f>SUM(AD8:AD38)</f>
        <v>0</v>
      </c>
      <c r="AE40" s="399">
        <f>SUM(AE8:AE38)</f>
        <v>0</v>
      </c>
      <c r="AF40" s="276">
        <f>SUM(AF8:AF38)</f>
        <v>0</v>
      </c>
      <c r="AG40" s="276">
        <f>SUM(AG8:AG38)</f>
        <v>0</v>
      </c>
      <c r="AH40" s="276">
        <f>SUM(AH8:AH38)</f>
        <v>0</v>
      </c>
      <c r="AI40" s="276">
        <f>IF(SUM(AG40:AH40)&gt;0, AG40/(AG40+AH40),0)</f>
        <v>0</v>
      </c>
      <c r="AJ40" s="311">
        <v>7.6999999999999999E-2</v>
      </c>
      <c r="AK40" s="311">
        <f t="shared" ref="AK40:AS40" si="2">$AJ$40</f>
        <v>7.6999999999999999E-2</v>
      </c>
      <c r="AL40" s="311">
        <f t="shared" si="2"/>
        <v>7.6999999999999999E-2</v>
      </c>
      <c r="AM40" s="311">
        <f t="shared" si="2"/>
        <v>7.6999999999999999E-2</v>
      </c>
      <c r="AN40" s="311">
        <f t="shared" si="2"/>
        <v>7.6999999999999999E-2</v>
      </c>
      <c r="AO40" s="311">
        <f t="shared" si="2"/>
        <v>7.6999999999999999E-2</v>
      </c>
      <c r="AP40" s="311">
        <f t="shared" si="2"/>
        <v>7.6999999999999999E-2</v>
      </c>
      <c r="AQ40" s="311">
        <f t="shared" si="2"/>
        <v>7.6999999999999999E-2</v>
      </c>
      <c r="AR40" s="311">
        <f t="shared" si="2"/>
        <v>7.6999999999999999E-2</v>
      </c>
      <c r="AS40" s="311">
        <f t="shared" si="2"/>
        <v>7.6999999999999999E-2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S41" si="4">AJ40*AJ39</f>
        <v>0</v>
      </c>
      <c r="AK41" s="277">
        <f t="shared" si="4"/>
        <v>0</v>
      </c>
      <c r="AL41" s="277">
        <f t="shared" si="4"/>
        <v>0</v>
      </c>
      <c r="AM41" s="277">
        <f t="shared" si="4"/>
        <v>0</v>
      </c>
      <c r="AN41" s="277">
        <f t="shared" si="4"/>
        <v>0</v>
      </c>
      <c r="AO41" s="277">
        <f t="shared" si="4"/>
        <v>0</v>
      </c>
      <c r="AP41" s="277">
        <f t="shared" si="4"/>
        <v>0</v>
      </c>
      <c r="AQ41" s="277">
        <f t="shared" si="4"/>
        <v>0</v>
      </c>
      <c r="AR41" s="277">
        <f t="shared" si="4"/>
        <v>0</v>
      </c>
      <c r="AS41" s="277">
        <f t="shared" si="4"/>
        <v>0</v>
      </c>
    </row>
    <row r="42" spans="1:45" ht="49.5" customHeight="1" thickTop="1" thickBot="1" x14ac:dyDescent="0.3">
      <c r="A42" s="636">
        <f>OCTOBER!$A$42+31</f>
        <v>44502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0</v>
      </c>
      <c r="C45" s="12"/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0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0</v>
      </c>
      <c r="U49" s="255">
        <f>(T49*8.34*1.04)/45000</f>
        <v>0</v>
      </c>
    </row>
    <row r="50" spans="1:25" ht="48" customHeight="1" thickTop="1" thickBot="1" x14ac:dyDescent="0.3">
      <c r="A50" s="290" t="s">
        <v>223</v>
      </c>
      <c r="B50" s="291">
        <f>SUM(E50+H50)</f>
        <v>0</v>
      </c>
      <c r="C50" s="1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0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398" t="e">
        <f>SUM(E44:E48)/E50</f>
        <v>#DIV/0!</v>
      </c>
      <c r="F51" s="23"/>
      <c r="G51" s="290" t="s">
        <v>189</v>
      </c>
      <c r="H51" s="398" t="e">
        <f>SUM(H44:H48)/H50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0</v>
      </c>
      <c r="U51" s="255">
        <f>T51/2000/8</f>
        <v>0</v>
      </c>
    </row>
    <row r="52" spans="1:25" ht="48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12"/>
      <c r="G52" s="280" t="s">
        <v>193</v>
      </c>
      <c r="H52" s="293" t="e">
        <f>H51/1000</f>
        <v>#DIV/0!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33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0</v>
      </c>
      <c r="U54" s="255">
        <f>(T54*8.34*1.029*0.03)/3300</f>
        <v>0</v>
      </c>
    </row>
    <row r="55" spans="1:25" ht="66.7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  <c r="V55" s="324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1"/>
      <c r="T56" s="670"/>
      <c r="U56" s="670"/>
      <c r="V56" s="322"/>
      <c r="W56" s="323"/>
      <c r="X56" s="321"/>
      <c r="Y56" s="321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1"/>
      <c r="T57" s="670"/>
      <c r="U57" s="670"/>
      <c r="V57" s="322"/>
      <c r="W57" s="323"/>
      <c r="X57" s="321"/>
      <c r="Y57" s="321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1"/>
      <c r="T58" s="670"/>
      <c r="U58" s="670"/>
      <c r="V58" s="322"/>
      <c r="W58" s="323"/>
      <c r="X58" s="321"/>
      <c r="Y58" s="321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1"/>
      <c r="T59" s="670"/>
      <c r="U59" s="670"/>
      <c r="V59" s="322"/>
      <c r="W59" s="323"/>
      <c r="X59" s="321"/>
      <c r="Y59" s="321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1"/>
      <c r="T60" s="670"/>
      <c r="U60" s="670"/>
      <c r="V60" s="322"/>
      <c r="W60" s="323"/>
      <c r="X60" s="321"/>
      <c r="Y60" s="321"/>
    </row>
    <row r="61" spans="1:25" x14ac:dyDescent="0.25">
      <c r="S61" s="321"/>
      <c r="T61" s="670"/>
      <c r="U61" s="670"/>
      <c r="V61" s="322"/>
      <c r="W61" s="323"/>
      <c r="X61" s="321"/>
      <c r="Y61" s="327"/>
    </row>
    <row r="62" spans="1:25" x14ac:dyDescent="0.25">
      <c r="S62" s="321"/>
      <c r="T62" s="670"/>
      <c r="U62" s="670"/>
      <c r="V62" s="322"/>
      <c r="W62" s="323"/>
      <c r="X62" s="321"/>
      <c r="Y62" s="327"/>
    </row>
    <row r="63" spans="1:25" x14ac:dyDescent="0.25">
      <c r="S63" s="321"/>
      <c r="T63" s="670"/>
      <c r="U63" s="670"/>
      <c r="V63" s="322"/>
      <c r="W63" s="323"/>
      <c r="X63" s="321"/>
      <c r="Y63" s="327"/>
    </row>
    <row r="64" spans="1:25" x14ac:dyDescent="0.25">
      <c r="S64" s="321"/>
      <c r="T64" s="321"/>
      <c r="U64" s="321"/>
      <c r="V64" s="321"/>
      <c r="W64" s="321"/>
      <c r="X64" s="321"/>
      <c r="Y64" s="327"/>
    </row>
    <row r="65" spans="19:25" x14ac:dyDescent="0.25">
      <c r="S65" s="321"/>
      <c r="T65" s="321"/>
      <c r="U65" s="321"/>
      <c r="V65" s="321"/>
      <c r="W65" s="321"/>
      <c r="X65" s="321"/>
      <c r="Y65" s="327"/>
    </row>
    <row r="66" spans="19:25" x14ac:dyDescent="0.25">
      <c r="S66" s="12"/>
      <c r="T66" s="12"/>
      <c r="U66" s="12"/>
      <c r="V66" s="12"/>
      <c r="W66" s="12"/>
      <c r="X66" s="12"/>
    </row>
    <row r="67" spans="19:25" x14ac:dyDescent="0.25">
      <c r="S67" s="12"/>
      <c r="T67" s="12"/>
      <c r="U67" s="12"/>
      <c r="V67" s="12"/>
      <c r="W67" s="12"/>
      <c r="X67" s="12"/>
    </row>
    <row r="68" spans="19:25" x14ac:dyDescent="0.25">
      <c r="S68" s="12"/>
      <c r="T68" s="12"/>
      <c r="U68" s="12"/>
      <c r="V68" s="12"/>
      <c r="W68" s="12"/>
      <c r="X68" s="12"/>
    </row>
    <row r="69" spans="19:25" x14ac:dyDescent="0.25">
      <c r="S69" s="12"/>
      <c r="T69" s="12"/>
      <c r="U69" s="12"/>
      <c r="V69" s="12"/>
      <c r="W69" s="12"/>
      <c r="X69" s="12"/>
    </row>
    <row r="70" spans="19:25" x14ac:dyDescent="0.25">
      <c r="S70" s="12"/>
      <c r="T70" s="12"/>
      <c r="U70" s="12"/>
      <c r="V70" s="12"/>
      <c r="W70" s="12"/>
      <c r="X70" s="12"/>
    </row>
  </sheetData>
  <sheetProtection algorithmName="SHA-512" hashValue="Y6+8sdas0mDVMPcOj8F8zWq43JXePEzcU40uKbWQosu7Q6Z3uDH4ssK4zfq7pIo1U31eUkfcyXDmRoA8tA1mtQ==" saltValue="eM1rmkAuZdfhn3uHTl1IvA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C66"/>
  <sheetViews>
    <sheetView zoomScale="80" zoomScaleNormal="80" workbookViewId="0">
      <selection activeCell="A8" sqref="A8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9" t="s">
        <v>206</v>
      </c>
    </row>
    <row r="4" spans="1:55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</row>
    <row r="5" spans="1:55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s="370" customFormat="1" ht="15" customHeight="1" x14ac:dyDescent="0.25">
      <c r="A8" s="444"/>
      <c r="B8" s="364"/>
      <c r="C8" s="365"/>
      <c r="D8" s="365"/>
      <c r="E8" s="365"/>
      <c r="F8" s="365"/>
      <c r="G8" s="365"/>
      <c r="H8" s="366"/>
      <c r="I8" s="364"/>
      <c r="J8" s="365"/>
      <c r="K8" s="365"/>
      <c r="L8" s="367"/>
      <c r="M8" s="365"/>
      <c r="N8" s="366"/>
      <c r="O8" s="364"/>
      <c r="P8" s="365"/>
      <c r="Q8" s="365"/>
      <c r="R8" s="365"/>
      <c r="S8" s="365"/>
      <c r="T8" s="366"/>
      <c r="U8" s="364"/>
      <c r="V8" s="365"/>
      <c r="W8" s="365"/>
      <c r="X8" s="365"/>
      <c r="Y8" s="365"/>
      <c r="Z8" s="365"/>
      <c r="AA8" s="366"/>
      <c r="AB8" s="368"/>
      <c r="AC8" s="369"/>
      <c r="AD8" s="408"/>
      <c r="AE8" s="408"/>
      <c r="AF8" s="369"/>
      <c r="AG8" s="369"/>
      <c r="AH8" s="369"/>
      <c r="AI8" s="369"/>
      <c r="AJ8" s="369"/>
      <c r="AK8" s="369"/>
      <c r="AL8" s="369"/>
      <c r="AM8" s="369"/>
      <c r="AN8" s="369"/>
      <c r="AO8" s="369"/>
      <c r="AP8" s="369"/>
      <c r="AQ8" s="369"/>
      <c r="AR8" s="369"/>
      <c r="AS8" s="369"/>
    </row>
    <row r="9" spans="1:55" x14ac:dyDescent="0.25">
      <c r="A9" s="445"/>
      <c r="B9" s="59"/>
      <c r="C9" s="60"/>
      <c r="D9" s="60"/>
      <c r="E9" s="60"/>
      <c r="F9" s="60"/>
      <c r="G9" s="60"/>
      <c r="H9" s="61"/>
      <c r="I9" s="59"/>
      <c r="J9" s="60"/>
      <c r="K9" s="60"/>
      <c r="L9" s="50"/>
      <c r="M9" s="60"/>
      <c r="N9" s="61"/>
      <c r="O9" s="59"/>
      <c r="P9" s="60"/>
      <c r="Q9" s="60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8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55" x14ac:dyDescent="0.25">
      <c r="A10" s="445"/>
      <c r="B10" s="59"/>
      <c r="C10" s="60"/>
      <c r="D10" s="60"/>
      <c r="E10" s="60"/>
      <c r="F10" s="60"/>
      <c r="G10" s="60"/>
      <c r="H10" s="61"/>
      <c r="I10" s="59"/>
      <c r="J10" s="60"/>
      <c r="K10" s="60"/>
      <c r="L10" s="50"/>
      <c r="M10" s="6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8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55" x14ac:dyDescent="0.25">
      <c r="A11" s="445"/>
      <c r="B11" s="59"/>
      <c r="C11" s="60"/>
      <c r="D11" s="60"/>
      <c r="E11" s="60"/>
      <c r="F11" s="60"/>
      <c r="G11" s="60"/>
      <c r="H11" s="61"/>
      <c r="I11" s="59"/>
      <c r="J11" s="60"/>
      <c r="K11" s="60"/>
      <c r="L11" s="50"/>
      <c r="M11" s="6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8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55" x14ac:dyDescent="0.25">
      <c r="A12" s="445"/>
      <c r="B12" s="59"/>
      <c r="C12" s="60"/>
      <c r="D12" s="60"/>
      <c r="E12" s="60"/>
      <c r="F12" s="60"/>
      <c r="G12" s="60"/>
      <c r="H12" s="61"/>
      <c r="I12" s="59"/>
      <c r="J12" s="60"/>
      <c r="K12" s="60"/>
      <c r="L12" s="50"/>
      <c r="M12" s="6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8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55" x14ac:dyDescent="0.25">
      <c r="A13" s="445"/>
      <c r="B13" s="59"/>
      <c r="C13" s="60"/>
      <c r="D13" s="60"/>
      <c r="E13" s="60"/>
      <c r="F13" s="60"/>
      <c r="G13" s="60"/>
      <c r="H13" s="61"/>
      <c r="I13" s="59"/>
      <c r="J13" s="60"/>
      <c r="K13" s="60"/>
      <c r="L13" s="50"/>
      <c r="M13" s="6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55" x14ac:dyDescent="0.25">
      <c r="A14" s="445"/>
      <c r="B14" s="59"/>
      <c r="C14" s="60"/>
      <c r="D14" s="60"/>
      <c r="E14" s="60"/>
      <c r="F14" s="60"/>
      <c r="G14" s="60"/>
      <c r="H14" s="61"/>
      <c r="I14" s="59"/>
      <c r="J14" s="60"/>
      <c r="K14" s="60"/>
      <c r="L14" s="50"/>
      <c r="M14" s="6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55" x14ac:dyDescent="0.25">
      <c r="A15" s="445"/>
      <c r="B15" s="59"/>
      <c r="C15" s="60"/>
      <c r="D15" s="60"/>
      <c r="E15" s="60"/>
      <c r="F15" s="60"/>
      <c r="G15" s="60"/>
      <c r="H15" s="61"/>
      <c r="I15" s="59"/>
      <c r="J15" s="60"/>
      <c r="K15" s="60"/>
      <c r="L15" s="50"/>
      <c r="M15" s="6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55" x14ac:dyDescent="0.25">
      <c r="A16" s="445"/>
      <c r="B16" s="49"/>
      <c r="C16" s="50"/>
      <c r="D16" s="50"/>
      <c r="E16" s="50"/>
      <c r="F16" s="50"/>
      <c r="G16" s="50"/>
      <c r="H16" s="51"/>
      <c r="I16" s="49"/>
      <c r="J16" s="50"/>
      <c r="K16" s="50"/>
      <c r="L16" s="50"/>
      <c r="M16" s="50"/>
      <c r="N16" s="51"/>
      <c r="O16" s="49"/>
      <c r="P16" s="50"/>
      <c r="Q16" s="50"/>
      <c r="R16" s="70"/>
      <c r="S16" s="50"/>
      <c r="T16" s="52"/>
      <c r="U16" s="71"/>
      <c r="V16" s="66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445"/>
      <c r="B17" s="59"/>
      <c r="C17" s="60"/>
      <c r="D17" s="60"/>
      <c r="E17" s="60"/>
      <c r="F17" s="60"/>
      <c r="G17" s="60"/>
      <c r="H17" s="61"/>
      <c r="I17" s="59"/>
      <c r="J17" s="60"/>
      <c r="K17" s="60"/>
      <c r="L17" s="50"/>
      <c r="M17" s="60"/>
      <c r="N17" s="61"/>
      <c r="O17" s="59"/>
      <c r="P17" s="60"/>
      <c r="Q17" s="60"/>
      <c r="R17" s="63"/>
      <c r="S17" s="60"/>
      <c r="T17" s="64"/>
      <c r="U17" s="65"/>
      <c r="V17" s="62"/>
      <c r="W17" s="62"/>
      <c r="X17" s="62"/>
      <c r="Y17" s="66"/>
      <c r="Z17" s="66"/>
      <c r="AA17" s="67"/>
      <c r="AB17" s="68"/>
      <c r="AC17" s="69"/>
      <c r="AD17" s="408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445"/>
      <c r="B18" s="59"/>
      <c r="C18" s="60"/>
      <c r="D18" s="60"/>
      <c r="E18" s="60"/>
      <c r="F18" s="60"/>
      <c r="G18" s="60"/>
      <c r="H18" s="61"/>
      <c r="I18" s="59"/>
      <c r="J18" s="60"/>
      <c r="K18" s="60"/>
      <c r="L18" s="50"/>
      <c r="M18" s="6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445"/>
      <c r="B19" s="59"/>
      <c r="C19" s="60"/>
      <c r="D19" s="60"/>
      <c r="E19" s="60"/>
      <c r="F19" s="60"/>
      <c r="G19" s="60"/>
      <c r="H19" s="61"/>
      <c r="I19" s="59"/>
      <c r="J19" s="60"/>
      <c r="K19" s="60"/>
      <c r="L19" s="50"/>
      <c r="M19" s="6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445"/>
      <c r="B20" s="59"/>
      <c r="C20" s="60"/>
      <c r="D20" s="60"/>
      <c r="E20" s="60"/>
      <c r="F20" s="60"/>
      <c r="G20" s="60"/>
      <c r="H20" s="61"/>
      <c r="I20" s="59"/>
      <c r="J20" s="60"/>
      <c r="K20" s="60"/>
      <c r="L20" s="5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445"/>
      <c r="B21" s="59"/>
      <c r="C21" s="60"/>
      <c r="D21" s="60"/>
      <c r="E21" s="60"/>
      <c r="F21" s="60"/>
      <c r="G21" s="60"/>
      <c r="H21" s="61"/>
      <c r="I21" s="59"/>
      <c r="J21" s="60"/>
      <c r="K21" s="60"/>
      <c r="L21" s="5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445"/>
      <c r="B22" s="59"/>
      <c r="C22" s="60"/>
      <c r="D22" s="60"/>
      <c r="E22" s="60"/>
      <c r="F22" s="60"/>
      <c r="G22" s="60"/>
      <c r="H22" s="61"/>
      <c r="I22" s="59"/>
      <c r="J22" s="60"/>
      <c r="K22" s="60"/>
      <c r="L22" s="5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445"/>
      <c r="B23" s="59"/>
      <c r="C23" s="60"/>
      <c r="D23" s="60"/>
      <c r="E23" s="60"/>
      <c r="F23" s="60"/>
      <c r="G23" s="60"/>
      <c r="H23" s="61"/>
      <c r="I23" s="59"/>
      <c r="J23" s="60"/>
      <c r="K23" s="60"/>
      <c r="L23" s="5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445"/>
      <c r="B24" s="59"/>
      <c r="C24" s="60"/>
      <c r="D24" s="60"/>
      <c r="E24" s="60"/>
      <c r="F24" s="60"/>
      <c r="G24" s="60"/>
      <c r="H24" s="61"/>
      <c r="I24" s="59"/>
      <c r="J24" s="60"/>
      <c r="K24" s="60"/>
      <c r="L24" s="5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445"/>
      <c r="B25" s="59"/>
      <c r="C25" s="60"/>
      <c r="D25" s="60"/>
      <c r="E25" s="60"/>
      <c r="F25" s="60"/>
      <c r="G25" s="60"/>
      <c r="H25" s="61"/>
      <c r="I25" s="59"/>
      <c r="J25" s="60"/>
      <c r="K25" s="60"/>
      <c r="L25" s="5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8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445"/>
      <c r="B26" s="59"/>
      <c r="C26" s="60"/>
      <c r="D26" s="60"/>
      <c r="E26" s="60"/>
      <c r="F26" s="60"/>
      <c r="G26" s="60"/>
      <c r="H26" s="61"/>
      <c r="I26" s="59"/>
      <c r="J26" s="60"/>
      <c r="K26" s="60"/>
      <c r="L26" s="5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2"/>
      <c r="Z26" s="62"/>
      <c r="AA26" s="72"/>
      <c r="AB26" s="69"/>
      <c r="AC26" s="69"/>
      <c r="AD26" s="408"/>
      <c r="AE26" s="408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445"/>
      <c r="B27" s="59"/>
      <c r="C27" s="60"/>
      <c r="D27" s="60"/>
      <c r="E27" s="60"/>
      <c r="F27" s="60"/>
      <c r="G27" s="60"/>
      <c r="H27" s="61"/>
      <c r="I27" s="59"/>
      <c r="J27" s="60"/>
      <c r="K27" s="60"/>
      <c r="L27" s="5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6"/>
      <c r="Z27" s="66"/>
      <c r="AA27" s="67"/>
      <c r="AB27" s="68"/>
      <c r="AC27" s="69"/>
      <c r="AD27" s="408"/>
      <c r="AE27" s="408"/>
      <c r="AF27" s="69"/>
      <c r="AG27" s="68"/>
      <c r="AH27" s="68"/>
      <c r="AI27" s="68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445"/>
      <c r="B28" s="59"/>
      <c r="C28" s="60"/>
      <c r="D28" s="60"/>
      <c r="E28" s="60"/>
      <c r="F28" s="60"/>
      <c r="G28" s="60"/>
      <c r="H28" s="61"/>
      <c r="I28" s="59"/>
      <c r="J28" s="60"/>
      <c r="K28" s="60"/>
      <c r="L28" s="5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445"/>
      <c r="B29" s="59"/>
      <c r="C29" s="60"/>
      <c r="D29" s="60"/>
      <c r="E29" s="60"/>
      <c r="F29" s="60"/>
      <c r="G29" s="60"/>
      <c r="H29" s="61"/>
      <c r="I29" s="59"/>
      <c r="J29" s="60"/>
      <c r="K29" s="60"/>
      <c r="L29" s="5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445"/>
      <c r="B30" s="59"/>
      <c r="C30" s="60"/>
      <c r="D30" s="60"/>
      <c r="E30" s="60"/>
      <c r="F30" s="60"/>
      <c r="G30" s="60"/>
      <c r="H30" s="61"/>
      <c r="I30" s="59"/>
      <c r="J30" s="60"/>
      <c r="K30" s="60"/>
      <c r="L30" s="5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445"/>
      <c r="B31" s="59"/>
      <c r="C31" s="60"/>
      <c r="D31" s="60"/>
      <c r="E31" s="60"/>
      <c r="F31" s="60"/>
      <c r="G31" s="60"/>
      <c r="H31" s="61"/>
      <c r="I31" s="59"/>
      <c r="J31" s="60"/>
      <c r="K31" s="60"/>
      <c r="L31" s="5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445"/>
      <c r="B32" s="59"/>
      <c r="C32" s="60"/>
      <c r="D32" s="60"/>
      <c r="E32" s="60"/>
      <c r="F32" s="60"/>
      <c r="G32" s="60"/>
      <c r="H32" s="61"/>
      <c r="I32" s="59"/>
      <c r="J32" s="60"/>
      <c r="K32" s="60"/>
      <c r="L32" s="5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445"/>
      <c r="B33" s="59"/>
      <c r="C33" s="60"/>
      <c r="D33" s="60"/>
      <c r="E33" s="60"/>
      <c r="F33" s="60"/>
      <c r="G33" s="60"/>
      <c r="H33" s="61"/>
      <c r="I33" s="59"/>
      <c r="J33" s="60"/>
      <c r="K33" s="60"/>
      <c r="L33" s="5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445"/>
      <c r="B34" s="59"/>
      <c r="C34" s="60"/>
      <c r="D34" s="60"/>
      <c r="E34" s="60"/>
      <c r="F34" s="60"/>
      <c r="G34" s="60"/>
      <c r="H34" s="61"/>
      <c r="I34" s="59"/>
      <c r="J34" s="60"/>
      <c r="K34" s="60"/>
      <c r="L34" s="5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445"/>
      <c r="B35" s="59"/>
      <c r="C35" s="60"/>
      <c r="D35" s="60"/>
      <c r="E35" s="60"/>
      <c r="F35" s="60"/>
      <c r="G35" s="60"/>
      <c r="H35" s="61"/>
      <c r="I35" s="59"/>
      <c r="J35" s="60"/>
      <c r="K35" s="60"/>
      <c r="L35" s="5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8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x14ac:dyDescent="0.25">
      <c r="A36" s="445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8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445"/>
      <c r="B37" s="65"/>
      <c r="C37" s="382"/>
      <c r="D37" s="382"/>
      <c r="E37" s="382"/>
      <c r="F37" s="382"/>
      <c r="G37" s="382"/>
      <c r="H37" s="392"/>
      <c r="I37" s="381"/>
      <c r="J37" s="382"/>
      <c r="K37" s="382"/>
      <c r="L37" s="382"/>
      <c r="M37" s="382"/>
      <c r="N37" s="392"/>
      <c r="O37" s="381"/>
      <c r="P37" s="382"/>
      <c r="Q37" s="382"/>
      <c r="R37" s="393"/>
      <c r="S37" s="382"/>
      <c r="T37" s="394"/>
      <c r="U37" s="395"/>
      <c r="V37" s="81"/>
      <c r="W37" s="81"/>
      <c r="X37" s="81"/>
      <c r="Y37" s="80"/>
      <c r="Z37" s="80"/>
      <c r="AA37" s="82"/>
      <c r="AB37" s="396"/>
      <c r="AC37" s="390"/>
      <c r="AD37" s="408"/>
      <c r="AE37" s="408"/>
      <c r="AF37" s="85"/>
      <c r="AG37" s="396"/>
      <c r="AH37" s="396"/>
      <c r="AI37" s="396"/>
      <c r="AJ37" s="390"/>
      <c r="AK37" s="390"/>
      <c r="AL37" s="390"/>
      <c r="AM37" s="390"/>
      <c r="AN37" s="390"/>
      <c r="AO37" s="390"/>
      <c r="AP37" s="390"/>
      <c r="AQ37" s="390"/>
      <c r="AR37" s="390"/>
      <c r="AS37" s="390"/>
    </row>
    <row r="38" spans="1:45" ht="15.75" thickBot="1" x14ac:dyDescent="0.3">
      <c r="A38" s="445"/>
      <c r="B38" s="59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8"/>
      <c r="AE38" s="408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0</v>
      </c>
      <c r="AK39" s="272">
        <f t="shared" si="1"/>
        <v>0</v>
      </c>
      <c r="AL39" s="272">
        <f t="shared" si="1"/>
        <v>0</v>
      </c>
      <c r="AM39" s="272">
        <f t="shared" si="1"/>
        <v>0</v>
      </c>
      <c r="AN39" s="272">
        <f t="shared" si="1"/>
        <v>0</v>
      </c>
      <c r="AO39" s="272">
        <f t="shared" si="1"/>
        <v>0</v>
      </c>
      <c r="AP39" s="272">
        <f t="shared" si="1"/>
        <v>0</v>
      </c>
      <c r="AQ39" s="272">
        <f t="shared" si="1"/>
        <v>0</v>
      </c>
      <c r="AR39" s="272">
        <f t="shared" si="1"/>
        <v>0</v>
      </c>
      <c r="AS39" s="272">
        <f t="shared" si="1"/>
        <v>0</v>
      </c>
    </row>
    <row r="40" spans="1:45" ht="15.75" thickBot="1" x14ac:dyDescent="0.3">
      <c r="A40" s="47" t="s">
        <v>172</v>
      </c>
      <c r="B40" s="32">
        <f>Projection!$AD$30</f>
        <v>0</v>
      </c>
      <c r="C40" s="33">
        <f>Projection!$AD$28</f>
        <v>0</v>
      </c>
      <c r="D40" s="33">
        <f>Projection!$AD$31</f>
        <v>0</v>
      </c>
      <c r="E40" s="33">
        <f>Projection!$AD$26</f>
        <v>4.4235360000000004</v>
      </c>
      <c r="F40" s="33">
        <f>Projection!$AC$23</f>
        <v>0</v>
      </c>
      <c r="G40" s="33">
        <f>Projection!$AD$24</f>
        <v>0</v>
      </c>
      <c r="H40" s="34">
        <f>Projection!$AD$29</f>
        <v>0</v>
      </c>
      <c r="I40" s="32">
        <f>Projection!$AD$30</f>
        <v>0</v>
      </c>
      <c r="J40" s="33">
        <f>Projection!$AD$28</f>
        <v>0</v>
      </c>
      <c r="K40" s="33">
        <f>Projection!$AD$26</f>
        <v>4.4235360000000004</v>
      </c>
      <c r="L40" s="33">
        <f>Projection!$AD$25</f>
        <v>0</v>
      </c>
      <c r="M40" s="33">
        <f>Projection!$AC$23</f>
        <v>0</v>
      </c>
      <c r="N40" s="34">
        <f>Projection!$AC$23</f>
        <v>0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0</v>
      </c>
      <c r="T40" s="265">
        <f>Projection!$AD$28</f>
        <v>0</v>
      </c>
      <c r="U40" s="263">
        <f>Projection!$AD$27</f>
        <v>0.26450000000000001</v>
      </c>
      <c r="V40" s="264">
        <f>Projection!$AD$27</f>
        <v>0.26450000000000001</v>
      </c>
      <c r="W40" s="264">
        <f>Projection!$AD$22</f>
        <v>0</v>
      </c>
      <c r="X40" s="264">
        <f>Projection!$AD$22</f>
        <v>0</v>
      </c>
      <c r="Y40" s="264">
        <f>Projection!$AD$31</f>
        <v>0</v>
      </c>
      <c r="Z40" s="264">
        <f>Projection!$AD$31</f>
        <v>0</v>
      </c>
      <c r="AA40" s="270">
        <v>0</v>
      </c>
      <c r="AB40" s="273">
        <f>Projection!$AD$27</f>
        <v>0.26450000000000001</v>
      </c>
      <c r="AC40" s="273">
        <f>Projection!$AD$30</f>
        <v>0</v>
      </c>
      <c r="AD40" s="399">
        <f>SUM(AD8:AD38)</f>
        <v>0</v>
      </c>
      <c r="AE40" s="399">
        <f>SUM(AE8:AE38)</f>
        <v>0</v>
      </c>
      <c r="AF40" s="276">
        <f>SUM(AF8:AF38)</f>
        <v>0</v>
      </c>
      <c r="AG40" s="276">
        <f>SUM(AG8:AG38)</f>
        <v>0</v>
      </c>
      <c r="AH40" s="276">
        <f>SUM(AH8:AH38)</f>
        <v>0</v>
      </c>
      <c r="AI40" s="276">
        <f>IF(SUM(AG40:AH40)&gt;0, AG40/(AG40+AH40),0)</f>
        <v>0</v>
      </c>
      <c r="AJ40" s="311">
        <v>7.6999999999999999E-2</v>
      </c>
      <c r="AK40" s="311">
        <f t="shared" ref="AK40:AS40" si="2">$AJ$40</f>
        <v>7.6999999999999999E-2</v>
      </c>
      <c r="AL40" s="311">
        <f t="shared" si="2"/>
        <v>7.6999999999999999E-2</v>
      </c>
      <c r="AM40" s="311">
        <f t="shared" si="2"/>
        <v>7.6999999999999999E-2</v>
      </c>
      <c r="AN40" s="311">
        <f t="shared" si="2"/>
        <v>7.6999999999999999E-2</v>
      </c>
      <c r="AO40" s="311">
        <f t="shared" si="2"/>
        <v>7.6999999999999999E-2</v>
      </c>
      <c r="AP40" s="311">
        <f t="shared" si="2"/>
        <v>7.6999999999999999E-2</v>
      </c>
      <c r="AQ40" s="311">
        <f t="shared" si="2"/>
        <v>7.6999999999999999E-2</v>
      </c>
      <c r="AR40" s="311">
        <f t="shared" si="2"/>
        <v>7.6999999999999999E-2</v>
      </c>
      <c r="AS40" s="311">
        <f t="shared" si="2"/>
        <v>7.6999999999999999E-2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S41" si="4">AJ40*AJ39</f>
        <v>0</v>
      </c>
      <c r="AK41" s="277">
        <f t="shared" si="4"/>
        <v>0</v>
      </c>
      <c r="AL41" s="277">
        <f t="shared" si="4"/>
        <v>0</v>
      </c>
      <c r="AM41" s="277">
        <f t="shared" si="4"/>
        <v>0</v>
      </c>
      <c r="AN41" s="277">
        <f t="shared" si="4"/>
        <v>0</v>
      </c>
      <c r="AO41" s="277">
        <f t="shared" si="4"/>
        <v>0</v>
      </c>
      <c r="AP41" s="277">
        <f t="shared" si="4"/>
        <v>0</v>
      </c>
      <c r="AQ41" s="277">
        <f t="shared" si="4"/>
        <v>0</v>
      </c>
      <c r="AR41" s="277">
        <f t="shared" si="4"/>
        <v>0</v>
      </c>
      <c r="AS41" s="277">
        <f t="shared" si="4"/>
        <v>0</v>
      </c>
    </row>
    <row r="42" spans="1:45" ht="49.5" customHeight="1" thickTop="1" thickBot="1" x14ac:dyDescent="0.3">
      <c r="A42" s="636">
        <f>NOVEMBER!$A$42+30</f>
        <v>44532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0</v>
      </c>
      <c r="C45" s="12"/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0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0</v>
      </c>
      <c r="U49" s="255">
        <f>(T49*8.34*1.04)/45000</f>
        <v>0</v>
      </c>
    </row>
    <row r="50" spans="1:25" ht="48" customHeight="1" thickTop="1" thickBot="1" x14ac:dyDescent="0.3">
      <c r="A50" s="290" t="s">
        <v>223</v>
      </c>
      <c r="B50" s="291">
        <f>SUM(E50+H50)</f>
        <v>0</v>
      </c>
      <c r="C50" s="12"/>
      <c r="D50" s="290" t="s">
        <v>224</v>
      </c>
      <c r="E50" s="291">
        <f>AE40</f>
        <v>0</v>
      </c>
      <c r="F50" s="23"/>
      <c r="G50" s="290" t="s">
        <v>228</v>
      </c>
      <c r="H50" s="291">
        <f>AD40</f>
        <v>0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398" t="e">
        <f>SUM(E44:E48)/E50</f>
        <v>#DIV/0!</v>
      </c>
      <c r="F51" s="23"/>
      <c r="G51" s="290" t="s">
        <v>189</v>
      </c>
      <c r="H51" s="398" t="e">
        <f>SUM(H44:H48)/H50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0</v>
      </c>
      <c r="U51" s="255">
        <f>T51/2000/8</f>
        <v>0</v>
      </c>
    </row>
    <row r="52" spans="1:25" ht="48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12"/>
      <c r="G52" s="280" t="s">
        <v>193</v>
      </c>
      <c r="H52" s="293" t="e">
        <f>H51/1000</f>
        <v>#DIV/0!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33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0</v>
      </c>
      <c r="U54" s="255">
        <f>(T54*8.34*1.029*0.03)/3300</f>
        <v>0</v>
      </c>
    </row>
    <row r="55" spans="1:25" ht="54.7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72"/>
      <c r="T55" s="325">
        <f>$D$39+$Y$39+$Z$39</f>
        <v>0</v>
      </c>
      <c r="U55" s="326">
        <f>(T55*1.54*8.34)/45000</f>
        <v>0</v>
      </c>
      <c r="V55" s="324"/>
      <c r="W55" s="12"/>
      <c r="X55" s="12"/>
      <c r="Y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8"/>
      <c r="T56" s="617"/>
      <c r="U56" s="617"/>
      <c r="V56" s="322"/>
      <c r="W56" s="323"/>
      <c r="X56" s="321"/>
      <c r="Y56" s="321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1"/>
      <c r="T57" s="670"/>
      <c r="U57" s="670"/>
      <c r="V57" s="322"/>
      <c r="W57" s="323"/>
      <c r="X57" s="321"/>
      <c r="Y57" s="321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1"/>
      <c r="T58" s="670"/>
      <c r="U58" s="670"/>
      <c r="V58" s="322"/>
      <c r="W58" s="323"/>
      <c r="X58" s="321"/>
      <c r="Y58" s="321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1"/>
      <c r="T59" s="670"/>
      <c r="U59" s="670"/>
      <c r="V59" s="322"/>
      <c r="W59" s="323"/>
      <c r="X59" s="321"/>
      <c r="Y59" s="321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1"/>
      <c r="T60" s="670"/>
      <c r="U60" s="670"/>
      <c r="V60" s="322"/>
      <c r="W60" s="323"/>
      <c r="X60" s="321"/>
      <c r="Y60" s="321"/>
    </row>
    <row r="61" spans="1:25" x14ac:dyDescent="0.25">
      <c r="S61" s="321"/>
      <c r="T61" s="670"/>
      <c r="U61" s="670"/>
      <c r="V61" s="322"/>
      <c r="W61" s="323"/>
      <c r="X61" s="321"/>
      <c r="Y61" s="321"/>
    </row>
    <row r="62" spans="1:25" x14ac:dyDescent="0.25">
      <c r="S62" s="321"/>
      <c r="T62" s="670"/>
      <c r="U62" s="670"/>
      <c r="V62" s="322"/>
      <c r="W62" s="323"/>
      <c r="X62" s="321"/>
      <c r="Y62" s="321"/>
    </row>
    <row r="63" spans="1:25" x14ac:dyDescent="0.25">
      <c r="S63" s="321"/>
      <c r="T63" s="670"/>
      <c r="U63" s="670"/>
      <c r="V63" s="322"/>
      <c r="W63" s="323"/>
      <c r="X63" s="321"/>
      <c r="Y63" s="321"/>
    </row>
    <row r="64" spans="1:25" x14ac:dyDescent="0.25">
      <c r="S64" s="321"/>
      <c r="T64" s="321"/>
      <c r="U64" s="321"/>
      <c r="V64" s="321"/>
      <c r="W64" s="321"/>
      <c r="X64" s="321"/>
      <c r="Y64" s="321"/>
    </row>
    <row r="65" spans="19:25" x14ac:dyDescent="0.25">
      <c r="S65" s="321"/>
      <c r="T65" s="321"/>
      <c r="U65" s="321"/>
      <c r="V65" s="321"/>
      <c r="W65" s="321"/>
      <c r="X65" s="321"/>
      <c r="Y65" s="321"/>
    </row>
    <row r="66" spans="19:25" x14ac:dyDescent="0.25">
      <c r="S66" s="321"/>
      <c r="T66" s="321"/>
      <c r="U66" s="321"/>
      <c r="V66" s="321"/>
      <c r="W66" s="321"/>
      <c r="X66" s="321"/>
      <c r="Y66" s="321"/>
    </row>
  </sheetData>
  <sheetProtection algorithmName="SHA-512" hashValue="agVZYo7useDsbaDSdP/izdDzmf3u1eWmuUJuAWQGRaCyUzzHLHl5Ahwj7Fm+KY81CuMReDF8ICZ5caMGSmsU8Q==" saltValue="6F1Ki3+njIjnJP+p+b3zHQ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9"/>
  <sheetViews>
    <sheetView zoomScale="80" zoomScaleNormal="80" workbookViewId="0">
      <selection activeCell="G44" sqref="G44"/>
    </sheetView>
  </sheetViews>
  <sheetFormatPr defaultRowHeight="15" x14ac:dyDescent="0.25"/>
  <cols>
    <col min="1" max="1" width="10.140625" customWidth="1"/>
    <col min="2" max="2" width="25.5703125" bestFit="1" customWidth="1"/>
    <col min="3" max="5" width="9.85546875" bestFit="1" customWidth="1"/>
    <col min="6" max="10" width="8.7109375" customWidth="1"/>
    <col min="11" max="11" width="9.28515625" bestFit="1" customWidth="1"/>
    <col min="12" max="25" width="8.7109375" customWidth="1"/>
    <col min="26" max="26" width="9.28515625" bestFit="1" customWidth="1"/>
    <col min="27" max="37" width="8.7109375" customWidth="1"/>
  </cols>
  <sheetData>
    <row r="1" spans="1:37" ht="28.5" customHeight="1" thickTop="1" thickBot="1" x14ac:dyDescent="0.3">
      <c r="A1" s="460">
        <v>2016</v>
      </c>
      <c r="B1" s="461"/>
      <c r="C1" s="464" t="s">
        <v>89</v>
      </c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6"/>
      <c r="W1" s="466"/>
      <c r="X1" s="466"/>
      <c r="Y1" s="466"/>
      <c r="Z1" s="466"/>
      <c r="AA1" s="466"/>
      <c r="AB1" s="466"/>
      <c r="AC1" s="465"/>
      <c r="AD1" s="465"/>
      <c r="AE1" s="465"/>
      <c r="AF1" s="465"/>
      <c r="AG1" s="465"/>
      <c r="AH1" s="465"/>
      <c r="AI1" s="465"/>
      <c r="AJ1" s="465"/>
      <c r="AK1" s="467"/>
    </row>
    <row r="2" spans="1:37" ht="28.5" customHeight="1" thickTop="1" thickBot="1" x14ac:dyDescent="0.3">
      <c r="A2" s="468"/>
      <c r="B2" s="469"/>
      <c r="C2" s="475" t="s">
        <v>66</v>
      </c>
      <c r="D2" s="476"/>
      <c r="E2" s="476"/>
      <c r="F2" s="476"/>
      <c r="G2" s="476"/>
      <c r="H2" s="476"/>
      <c r="I2" s="477"/>
      <c r="J2" s="478" t="s">
        <v>71</v>
      </c>
      <c r="K2" s="479"/>
      <c r="L2" s="479"/>
      <c r="M2" s="479"/>
      <c r="N2" s="479"/>
      <c r="O2" s="480"/>
      <c r="P2" s="481" t="s">
        <v>73</v>
      </c>
      <c r="Q2" s="482"/>
      <c r="R2" s="482"/>
      <c r="S2" s="482"/>
      <c r="T2" s="482"/>
      <c r="U2" s="483"/>
      <c r="V2" s="484" t="s">
        <v>82</v>
      </c>
      <c r="W2" s="485"/>
      <c r="X2" s="485"/>
      <c r="Y2" s="485"/>
      <c r="Z2" s="485"/>
      <c r="AA2" s="485"/>
      <c r="AB2" s="486"/>
      <c r="AC2" s="487" t="s">
        <v>83</v>
      </c>
      <c r="AD2" s="488"/>
      <c r="AE2" s="489" t="s">
        <v>229</v>
      </c>
      <c r="AF2" s="490"/>
      <c r="AG2" s="491"/>
      <c r="AH2" s="472" t="s">
        <v>85</v>
      </c>
      <c r="AI2" s="473"/>
      <c r="AJ2" s="473"/>
      <c r="AK2" s="474"/>
    </row>
    <row r="3" spans="1:37" ht="119.25" customHeight="1" thickBot="1" x14ac:dyDescent="0.3">
      <c r="A3" s="470"/>
      <c r="B3" s="471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401" t="s">
        <v>230</v>
      </c>
      <c r="AF3" s="401" t="s">
        <v>231</v>
      </c>
      <c r="AG3" s="401"/>
      <c r="AH3" s="237" t="s">
        <v>27</v>
      </c>
      <c r="AI3" s="237" t="s">
        <v>31</v>
      </c>
      <c r="AJ3" s="237" t="s">
        <v>32</v>
      </c>
      <c r="AK3" s="238" t="s">
        <v>33</v>
      </c>
    </row>
    <row r="4" spans="1:37" ht="15.75" customHeight="1" thickTop="1" x14ac:dyDescent="0.25">
      <c r="A4" s="457" t="s">
        <v>86</v>
      </c>
      <c r="B4" s="89" t="s">
        <v>52</v>
      </c>
      <c r="C4" s="101">
        <f>JANUARY!B39</f>
        <v>0</v>
      </c>
      <c r="D4" s="101">
        <f>JANUARY!C39</f>
        <v>0</v>
      </c>
      <c r="E4" s="101">
        <f>JANUARY!D39</f>
        <v>0</v>
      </c>
      <c r="F4" s="101">
        <f>JANUARY!E39</f>
        <v>0</v>
      </c>
      <c r="G4" s="101">
        <f>JANUARY!F39</f>
        <v>0</v>
      </c>
      <c r="H4" s="101">
        <f>JANUARY!G39</f>
        <v>0</v>
      </c>
      <c r="I4" s="101">
        <f>JANUARY!H39</f>
        <v>0</v>
      </c>
      <c r="J4" s="101">
        <f>JANUARY!I39</f>
        <v>2418.4276976235715</v>
      </c>
      <c r="K4" s="101">
        <f>JANUARY!J39</f>
        <v>7551.3587319628532</v>
      </c>
      <c r="L4" s="239">
        <f>JANUARY!K39</f>
        <v>443.71849778254852</v>
      </c>
      <c r="M4" s="101">
        <f>JANUARY!L39</f>
        <v>0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4046.1086243862615</v>
      </c>
      <c r="W4" s="101">
        <f>JANUARY!V39</f>
        <v>1799.1544368955938</v>
      </c>
      <c r="X4" s="101">
        <f>JANUARY!W39</f>
        <v>664.20536592324595</v>
      </c>
      <c r="Y4" s="101">
        <f>JANUARY!X39</f>
        <v>0</v>
      </c>
      <c r="Z4" s="101">
        <f>JANUARY!Y39</f>
        <v>2729.5528009605409</v>
      </c>
      <c r="AA4" s="101">
        <f>JANUARY!Z39</f>
        <v>0</v>
      </c>
      <c r="AB4" s="101">
        <f>JANUARY!AA39</f>
        <v>0</v>
      </c>
      <c r="AC4" s="102">
        <f>JANUARY!AB39</f>
        <v>2265.8143177464444</v>
      </c>
      <c r="AD4" s="102">
        <f>JANUARY!AC39</f>
        <v>0</v>
      </c>
      <c r="AE4" s="240">
        <f>JANUARY!AD40</f>
        <v>171.10299803260384</v>
      </c>
      <c r="AF4" s="240">
        <f>JANUARY!AE40</f>
        <v>0</v>
      </c>
      <c r="AG4" s="240">
        <f>SUM(AE4+AF4)</f>
        <v>171.10299803260384</v>
      </c>
      <c r="AH4" s="240">
        <f>JANUARY!AF40</f>
        <v>164.49809895336622</v>
      </c>
      <c r="AI4" s="240">
        <f>JANUARY!AG40</f>
        <v>162.15918437863633</v>
      </c>
      <c r="AJ4" s="240">
        <f>JANUARY!AH40</f>
        <v>0</v>
      </c>
      <c r="AK4" s="241">
        <f>JANUARY!AI40</f>
        <v>1</v>
      </c>
    </row>
    <row r="5" spans="1:37" ht="15.75" customHeight="1" x14ac:dyDescent="0.25">
      <c r="A5" s="458"/>
      <c r="B5" s="90" t="s">
        <v>53</v>
      </c>
      <c r="C5" s="103">
        <f>FEBRUARY!B39</f>
        <v>0</v>
      </c>
      <c r="D5" s="103">
        <f>FEBRUARY!C39</f>
        <v>0</v>
      </c>
      <c r="E5" s="103">
        <f>FEBRUARY!D39</f>
        <v>0</v>
      </c>
      <c r="F5" s="103">
        <f>FEBRUARY!E39</f>
        <v>0</v>
      </c>
      <c r="G5" s="103">
        <f>FEBRUARY!F39</f>
        <v>0</v>
      </c>
      <c r="H5" s="103">
        <f>FEBRUARY!G39</f>
        <v>0</v>
      </c>
      <c r="I5" s="103">
        <f>FEBRUARY!H39</f>
        <v>0</v>
      </c>
      <c r="J5" s="103">
        <f>FEBRUARY!I39</f>
        <v>38.152637946605665</v>
      </c>
      <c r="K5" s="103">
        <f>FEBRUARY!J39</f>
        <v>0</v>
      </c>
      <c r="L5" s="104">
        <f>FEBRUARY!K39</f>
        <v>0.54161211500565209</v>
      </c>
      <c r="M5" s="103">
        <f>FEBRUARY!L39</f>
        <v>0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0</v>
      </c>
      <c r="W5" s="103">
        <f>FEBRUARY!V39</f>
        <v>0</v>
      </c>
      <c r="X5" s="103">
        <f>FEBRUARY!W39</f>
        <v>0</v>
      </c>
      <c r="Y5" s="103">
        <f>FEBRUARY!X39</f>
        <v>0</v>
      </c>
      <c r="Z5" s="103">
        <f>FEBRUARY!Y39</f>
        <v>0</v>
      </c>
      <c r="AA5" s="103">
        <f>FEBRUARY!Z39</f>
        <v>0</v>
      </c>
      <c r="AB5" s="103">
        <f>FEBRUARY!AA39</f>
        <v>0</v>
      </c>
      <c r="AC5" s="105">
        <f>FEBRUARY!AB39</f>
        <v>0</v>
      </c>
      <c r="AD5" s="105">
        <f>FEBRUARY!AC39</f>
        <v>0</v>
      </c>
      <c r="AE5" s="99">
        <f>FEBRUARY!AD40</f>
        <v>3.8905596750640871E-3</v>
      </c>
      <c r="AF5" s="99">
        <f>FEBRUARY!AE40</f>
        <v>3.739196304073334E-3</v>
      </c>
      <c r="AG5" s="99">
        <f t="shared" ref="AG5:AG15" si="0">SUM(AE5+AF5)</f>
        <v>7.6297559791374207E-3</v>
      </c>
      <c r="AH5" s="99">
        <f>FEBRUARY!AF40</f>
        <v>2.0961370733049186E-3</v>
      </c>
      <c r="AI5" s="99">
        <f>FEBRUARY!AG40</f>
        <v>0</v>
      </c>
      <c r="AJ5" s="99">
        <f>FEBRUARY!AH40</f>
        <v>0</v>
      </c>
      <c r="AK5" s="91">
        <f>FEBRUARY!AI40</f>
        <v>0</v>
      </c>
    </row>
    <row r="6" spans="1:37" ht="15.75" customHeight="1" x14ac:dyDescent="0.25">
      <c r="A6" s="458"/>
      <c r="B6" s="90" t="s">
        <v>54</v>
      </c>
      <c r="C6" s="103">
        <f>MARCH!B39</f>
        <v>0</v>
      </c>
      <c r="D6" s="103">
        <f>MARCH!C39</f>
        <v>8.6883535722891487</v>
      </c>
      <c r="E6" s="103">
        <f>MARCH!D39</f>
        <v>0</v>
      </c>
      <c r="F6" s="103">
        <f>MARCH!E39</f>
        <v>1.8779419591029485</v>
      </c>
      <c r="G6" s="103">
        <f>MARCH!F39</f>
        <v>0</v>
      </c>
      <c r="H6" s="103">
        <f>MARCH!G39</f>
        <v>0</v>
      </c>
      <c r="I6" s="103">
        <f>MARCH!H39</f>
        <v>0</v>
      </c>
      <c r="J6" s="103">
        <f>MARCH!I39</f>
        <v>597.194743800163</v>
      </c>
      <c r="K6" s="103">
        <f>MARCH!J39</f>
        <v>1417.9519757111875</v>
      </c>
      <c r="L6" s="104">
        <f>MARCH!K39</f>
        <v>77.152252783874715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779.08317466842027</v>
      </c>
      <c r="W6" s="103">
        <f>MARCH!V39</f>
        <v>10.508231075604757</v>
      </c>
      <c r="X6" s="103">
        <f>MARCH!W39</f>
        <v>108.49624337355294</v>
      </c>
      <c r="Y6" s="103">
        <f>MARCH!X39</f>
        <v>0</v>
      </c>
      <c r="Z6" s="103">
        <f>MARCH!Y39</f>
        <v>363.38470171292585</v>
      </c>
      <c r="AA6" s="103">
        <f>MARCH!Z39</f>
        <v>0</v>
      </c>
      <c r="AB6" s="103">
        <f>MARCH!AA39</f>
        <v>0</v>
      </c>
      <c r="AC6" s="105">
        <f>MARCH!AB39</f>
        <v>191.73575749927062</v>
      </c>
      <c r="AD6" s="105">
        <f>MARCH!AC39</f>
        <v>0</v>
      </c>
      <c r="AE6" s="99">
        <f>MARCH!AD40</f>
        <v>36.498297171714931</v>
      </c>
      <c r="AF6" s="99">
        <f>MARCH!AE40</f>
        <v>5.614546515870094E-2</v>
      </c>
      <c r="AG6" s="99">
        <f t="shared" si="0"/>
        <v>36.554442636873631</v>
      </c>
      <c r="AH6" s="99">
        <f>MARCH!AF40</f>
        <v>19.299665060639377</v>
      </c>
      <c r="AI6" s="99">
        <f>MARCH!AG40</f>
        <v>25.374641444624956</v>
      </c>
      <c r="AJ6" s="99">
        <f>MARCH!AH40</f>
        <v>0</v>
      </c>
      <c r="AK6" s="91">
        <f>MARCH!AI40</f>
        <v>1</v>
      </c>
    </row>
    <row r="7" spans="1:37" ht="15.75" customHeight="1" x14ac:dyDescent="0.25">
      <c r="A7" s="458"/>
      <c r="B7" s="90" t="s">
        <v>55</v>
      </c>
      <c r="C7" s="103">
        <f>APRIL!B39</f>
        <v>0</v>
      </c>
      <c r="D7" s="103">
        <f>APRIL!C39</f>
        <v>0</v>
      </c>
      <c r="E7" s="103">
        <f>APRIL!D39</f>
        <v>0</v>
      </c>
      <c r="F7" s="103">
        <f>APRIL!E39</f>
        <v>0</v>
      </c>
      <c r="G7" s="103">
        <f>APRIL!F39</f>
        <v>0</v>
      </c>
      <c r="H7" s="103">
        <f>APRIL!G39</f>
        <v>0</v>
      </c>
      <c r="I7" s="103">
        <f>APRIL!H39</f>
        <v>0</v>
      </c>
      <c r="J7" s="103">
        <f>APRIL!I39</f>
        <v>0</v>
      </c>
      <c r="K7" s="103">
        <f>APRIL!J39</f>
        <v>0</v>
      </c>
      <c r="L7" s="104">
        <f>APRIL!K39</f>
        <v>0</v>
      </c>
      <c r="M7" s="103">
        <f>APRIL!L39</f>
        <v>0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0</v>
      </c>
      <c r="W7" s="103">
        <f>APRIL!V39</f>
        <v>0</v>
      </c>
      <c r="X7" s="103">
        <f>APRIL!W39</f>
        <v>0</v>
      </c>
      <c r="Y7" s="103">
        <f>APRIL!X39</f>
        <v>0</v>
      </c>
      <c r="Z7" s="103">
        <f>APRIL!Y39</f>
        <v>0</v>
      </c>
      <c r="AA7" s="103">
        <f>APRIL!Z39</f>
        <v>0</v>
      </c>
      <c r="AB7" s="103">
        <f>APRIL!AA39</f>
        <v>0</v>
      </c>
      <c r="AC7" s="105">
        <f>APRIL!AB39</f>
        <v>0</v>
      </c>
      <c r="AD7" s="105">
        <f>APRIL!AC39</f>
        <v>0</v>
      </c>
      <c r="AE7" s="99">
        <f>APRIL!AD40</f>
        <v>0</v>
      </c>
      <c r="AF7" s="99">
        <f>APRIL!AE40</f>
        <v>0</v>
      </c>
      <c r="AG7" s="99">
        <f t="shared" si="0"/>
        <v>0</v>
      </c>
      <c r="AH7" s="99">
        <f>APRIL!AF40</f>
        <v>0</v>
      </c>
      <c r="AI7" s="99">
        <f>APRIL!AG40</f>
        <v>0</v>
      </c>
      <c r="AJ7" s="99">
        <f>APRIL!AH40</f>
        <v>0</v>
      </c>
      <c r="AK7" s="91">
        <f>APRIL!AI40</f>
        <v>0</v>
      </c>
    </row>
    <row r="8" spans="1:37" ht="15.75" customHeight="1" x14ac:dyDescent="0.25">
      <c r="A8" s="458"/>
      <c r="B8" s="90" t="s">
        <v>56</v>
      </c>
      <c r="C8" s="103">
        <f>MAY!B39</f>
        <v>0</v>
      </c>
      <c r="D8" s="103">
        <f>MAY!C39</f>
        <v>0</v>
      </c>
      <c r="E8" s="103">
        <f>MAY!D39</f>
        <v>0</v>
      </c>
      <c r="F8" s="103">
        <f>MAY!E39</f>
        <v>0</v>
      </c>
      <c r="G8" s="103">
        <f>MAY!F39</f>
        <v>0</v>
      </c>
      <c r="H8" s="103">
        <f>MAY!G39</f>
        <v>0</v>
      </c>
      <c r="I8" s="103">
        <f>MAY!H39</f>
        <v>0</v>
      </c>
      <c r="J8" s="103">
        <f>MAY!I39</f>
        <v>0</v>
      </c>
      <c r="K8" s="103">
        <f>MAY!J39</f>
        <v>0</v>
      </c>
      <c r="L8" s="104">
        <f>MAY!K39</f>
        <v>0</v>
      </c>
      <c r="M8" s="103">
        <f>MAY!L39</f>
        <v>0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0</v>
      </c>
      <c r="W8" s="103">
        <f>MAY!V39</f>
        <v>0</v>
      </c>
      <c r="X8" s="103">
        <f>MAY!W39</f>
        <v>0</v>
      </c>
      <c r="Y8" s="103">
        <f>MAY!X39</f>
        <v>0</v>
      </c>
      <c r="Z8" s="103">
        <f>MAY!Y39</f>
        <v>0</v>
      </c>
      <c r="AA8" s="103">
        <f>MAY!Z39</f>
        <v>0</v>
      </c>
      <c r="AB8" s="103">
        <f>MAY!AA39</f>
        <v>0</v>
      </c>
      <c r="AC8" s="105">
        <f>MAY!AB39</f>
        <v>0</v>
      </c>
      <c r="AD8" s="105">
        <f>MAY!AC39</f>
        <v>0</v>
      </c>
      <c r="AE8" s="99">
        <f>MAY!AD40</f>
        <v>0</v>
      </c>
      <c r="AF8" s="99">
        <f>MAY!AE40</f>
        <v>0</v>
      </c>
      <c r="AG8" s="99">
        <f t="shared" si="0"/>
        <v>0</v>
      </c>
      <c r="AH8" s="99">
        <f>MAY!AF40</f>
        <v>0</v>
      </c>
      <c r="AI8" s="99">
        <f>MAY!AG40</f>
        <v>0</v>
      </c>
      <c r="AJ8" s="99">
        <f>MAY!AH40</f>
        <v>0</v>
      </c>
      <c r="AK8" s="91">
        <f>MAY!AI40</f>
        <v>0</v>
      </c>
    </row>
    <row r="9" spans="1:37" ht="15.75" customHeight="1" x14ac:dyDescent="0.25">
      <c r="A9" s="458"/>
      <c r="B9" s="90" t="s">
        <v>57</v>
      </c>
      <c r="C9" s="103">
        <f>JUNE!B39</f>
        <v>0</v>
      </c>
      <c r="D9" s="103">
        <f>JUNE!C39</f>
        <v>0</v>
      </c>
      <c r="E9" s="103">
        <f>JUNE!D39</f>
        <v>0</v>
      </c>
      <c r="F9" s="103">
        <f>JUNE!E39</f>
        <v>0</v>
      </c>
      <c r="G9" s="103">
        <f>JUNE!F39</f>
        <v>0</v>
      </c>
      <c r="H9" s="103">
        <f>JUNE!G39</f>
        <v>0</v>
      </c>
      <c r="I9" s="103">
        <f>JUNE!H39</f>
        <v>0</v>
      </c>
      <c r="J9" s="103">
        <f>JUNE!I39</f>
        <v>0</v>
      </c>
      <c r="K9" s="103">
        <f>JUNE!J39</f>
        <v>0</v>
      </c>
      <c r="L9" s="104">
        <f>JUNE!K39</f>
        <v>0</v>
      </c>
      <c r="M9" s="103">
        <f>JUNE!L39</f>
        <v>0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0</v>
      </c>
      <c r="W9" s="103">
        <f>JUNE!V39</f>
        <v>0</v>
      </c>
      <c r="X9" s="103">
        <f>JUNE!W39</f>
        <v>0</v>
      </c>
      <c r="Y9" s="103">
        <f>JUNE!X39</f>
        <v>0</v>
      </c>
      <c r="Z9" s="103">
        <f>JUNE!Y39</f>
        <v>0</v>
      </c>
      <c r="AA9" s="103">
        <f>JUNE!Z39</f>
        <v>0</v>
      </c>
      <c r="AB9" s="103">
        <f>JUNE!AA39</f>
        <v>0</v>
      </c>
      <c r="AC9" s="105">
        <f>JUNE!AB39</f>
        <v>0</v>
      </c>
      <c r="AD9" s="105">
        <f>JUNE!AC39</f>
        <v>0</v>
      </c>
      <c r="AE9" s="99">
        <f>JUNE!AD40</f>
        <v>0</v>
      </c>
      <c r="AF9" s="99">
        <f>JUNE!AE40</f>
        <v>0</v>
      </c>
      <c r="AG9" s="99">
        <f t="shared" si="0"/>
        <v>0</v>
      </c>
      <c r="AH9" s="99">
        <f>JUNE!AF40</f>
        <v>0</v>
      </c>
      <c r="AI9" s="99">
        <f>JUNE!AG40</f>
        <v>0</v>
      </c>
      <c r="AJ9" s="99">
        <f>JUNE!AH40</f>
        <v>0</v>
      </c>
      <c r="AK9" s="91">
        <f>JUNE!AI40</f>
        <v>0</v>
      </c>
    </row>
    <row r="10" spans="1:37" ht="15.75" customHeight="1" x14ac:dyDescent="0.25">
      <c r="A10" s="458"/>
      <c r="B10" s="90" t="s">
        <v>58</v>
      </c>
      <c r="C10" s="103">
        <f>JULY!B39</f>
        <v>0</v>
      </c>
      <c r="D10" s="103">
        <f>JULY!C39</f>
        <v>0</v>
      </c>
      <c r="E10" s="103">
        <f>JULY!D39</f>
        <v>0</v>
      </c>
      <c r="F10" s="103">
        <f>JULY!E39</f>
        <v>0</v>
      </c>
      <c r="G10" s="103">
        <f>JULY!F39</f>
        <v>0</v>
      </c>
      <c r="H10" s="103">
        <f>JULY!G39</f>
        <v>0</v>
      </c>
      <c r="I10" s="103">
        <f>JULY!H39</f>
        <v>0</v>
      </c>
      <c r="J10" s="103">
        <f>JULY!I39</f>
        <v>0</v>
      </c>
      <c r="K10" s="103">
        <f>JULY!J39</f>
        <v>0</v>
      </c>
      <c r="L10" s="104">
        <f>JULY!K39</f>
        <v>0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0</v>
      </c>
      <c r="W10" s="103">
        <f>JULY!V39</f>
        <v>0</v>
      </c>
      <c r="X10" s="103">
        <f>JULY!W39</f>
        <v>0</v>
      </c>
      <c r="Y10" s="103">
        <f>JULY!X39</f>
        <v>0</v>
      </c>
      <c r="Z10" s="103">
        <f>JULY!Y39</f>
        <v>0</v>
      </c>
      <c r="AA10" s="103">
        <f>JULY!Z39</f>
        <v>0</v>
      </c>
      <c r="AB10" s="103">
        <f>JULY!AA39</f>
        <v>0</v>
      </c>
      <c r="AC10" s="105">
        <f>JULY!AB39</f>
        <v>0</v>
      </c>
      <c r="AD10" s="105">
        <f>JULY!AC39</f>
        <v>0</v>
      </c>
      <c r="AE10" s="99">
        <f>JULY!AD40</f>
        <v>0</v>
      </c>
      <c r="AF10" s="99">
        <f>JULY!AE40</f>
        <v>0</v>
      </c>
      <c r="AG10" s="99">
        <f t="shared" si="0"/>
        <v>0</v>
      </c>
      <c r="AH10" s="99">
        <f>JULY!AF40</f>
        <v>0</v>
      </c>
      <c r="AI10" s="99">
        <f>JULY!AG40</f>
        <v>0</v>
      </c>
      <c r="AJ10" s="99">
        <f>JULY!AH40</f>
        <v>0</v>
      </c>
      <c r="AK10" s="91">
        <f>JULY!AI40</f>
        <v>0</v>
      </c>
    </row>
    <row r="11" spans="1:37" ht="15.75" customHeight="1" x14ac:dyDescent="0.25">
      <c r="A11" s="458"/>
      <c r="B11" s="90" t="s">
        <v>59</v>
      </c>
      <c r="C11" s="103">
        <f>AUGUST!B39</f>
        <v>0</v>
      </c>
      <c r="D11" s="103">
        <f>AUGUST!C39</f>
        <v>0</v>
      </c>
      <c r="E11" s="103">
        <f>AUGUST!D39</f>
        <v>0</v>
      </c>
      <c r="F11" s="103">
        <f>AUGUST!E39</f>
        <v>0</v>
      </c>
      <c r="G11" s="103">
        <f>AUGUST!F39</f>
        <v>0</v>
      </c>
      <c r="H11" s="103">
        <f>AUGUST!G39</f>
        <v>0</v>
      </c>
      <c r="I11" s="103">
        <f>AUGUST!H39</f>
        <v>0</v>
      </c>
      <c r="J11" s="103">
        <f>AUGUST!I39</f>
        <v>0</v>
      </c>
      <c r="K11" s="103">
        <f>AUGUST!J39</f>
        <v>0</v>
      </c>
      <c r="L11" s="104">
        <f>AUGUST!K39</f>
        <v>0</v>
      </c>
      <c r="M11" s="103">
        <f>AUGUST!L39</f>
        <v>0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0</v>
      </c>
      <c r="W11" s="103">
        <f>AUGUST!V39</f>
        <v>0</v>
      </c>
      <c r="X11" s="103">
        <f>AUGUST!W39</f>
        <v>0</v>
      </c>
      <c r="Y11" s="103">
        <f>AUGUST!X39</f>
        <v>0</v>
      </c>
      <c r="Z11" s="103">
        <f>AUGUST!Y39</f>
        <v>0</v>
      </c>
      <c r="AA11" s="103">
        <f>AUGUST!Z39</f>
        <v>0</v>
      </c>
      <c r="AB11" s="103">
        <f>AUGUST!AA39</f>
        <v>0</v>
      </c>
      <c r="AC11" s="105">
        <f>AUGUST!AB39</f>
        <v>0</v>
      </c>
      <c r="AD11" s="105">
        <f>AUGUST!AC39</f>
        <v>0</v>
      </c>
      <c r="AE11" s="99">
        <f>AUGUST!AD40</f>
        <v>0</v>
      </c>
      <c r="AF11" s="99">
        <f>AUGUST!AE40</f>
        <v>0</v>
      </c>
      <c r="AG11" s="99">
        <f t="shared" si="0"/>
        <v>0</v>
      </c>
      <c r="AH11" s="99">
        <f>AUGUST!AF40</f>
        <v>0</v>
      </c>
      <c r="AI11" s="99">
        <f>AUGUST!AG40</f>
        <v>0</v>
      </c>
      <c r="AJ11" s="99">
        <f>AUGUST!AH40</f>
        <v>0</v>
      </c>
      <c r="AK11" s="91">
        <f>AUGUST!AI40</f>
        <v>0</v>
      </c>
    </row>
    <row r="12" spans="1:37" ht="15.75" customHeight="1" x14ac:dyDescent="0.25">
      <c r="A12" s="458"/>
      <c r="B12" s="90" t="s">
        <v>60</v>
      </c>
      <c r="C12" s="103">
        <f>SEPTEMBER!B39</f>
        <v>0</v>
      </c>
      <c r="D12" s="103">
        <f>SEPTEMBER!C39</f>
        <v>0</v>
      </c>
      <c r="E12" s="103">
        <f>SEPTEMBER!D39</f>
        <v>0</v>
      </c>
      <c r="F12" s="103">
        <f>SEPTEMBER!E39</f>
        <v>0</v>
      </c>
      <c r="G12" s="103">
        <f>SEPTEMBER!F39</f>
        <v>0</v>
      </c>
      <c r="H12" s="103">
        <f>SEPTEMBER!G39</f>
        <v>0</v>
      </c>
      <c r="I12" s="103">
        <f>SEPTEMBER!H39</f>
        <v>0</v>
      </c>
      <c r="J12" s="103">
        <f>SEPTEMBER!I39</f>
        <v>0</v>
      </c>
      <c r="K12" s="103">
        <f>SEPTEMBER!J39</f>
        <v>0</v>
      </c>
      <c r="L12" s="104">
        <f>SEPTEMBER!K39</f>
        <v>0</v>
      </c>
      <c r="M12" s="103">
        <f>SEPTEMBER!L39</f>
        <v>0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0</v>
      </c>
      <c r="W12" s="103">
        <f>SEPTEMBER!V39</f>
        <v>0</v>
      </c>
      <c r="X12" s="103">
        <f>SEPTEMBER!W39</f>
        <v>0</v>
      </c>
      <c r="Y12" s="103">
        <f>SEPTEMBER!X39</f>
        <v>0</v>
      </c>
      <c r="Z12" s="103">
        <f>SEPTEMBER!Y39</f>
        <v>0</v>
      </c>
      <c r="AA12" s="103">
        <f>SEPTEMBER!Z39</f>
        <v>0</v>
      </c>
      <c r="AB12" s="103">
        <f>SEPTEMBER!AA39</f>
        <v>0</v>
      </c>
      <c r="AC12" s="105">
        <f>SEPTEMBER!AB39</f>
        <v>0</v>
      </c>
      <c r="AD12" s="105">
        <f>SEPTEMBER!AC39</f>
        <v>0</v>
      </c>
      <c r="AE12" s="99">
        <f>SEPTEMBER!AD40</f>
        <v>0</v>
      </c>
      <c r="AF12" s="99">
        <f>SEPTEMBER!AE40</f>
        <v>0</v>
      </c>
      <c r="AG12" s="99">
        <f t="shared" si="0"/>
        <v>0</v>
      </c>
      <c r="AH12" s="99">
        <f>SEPTEMBER!AF40</f>
        <v>0</v>
      </c>
      <c r="AI12" s="99">
        <f>SEPTEMBER!AG40</f>
        <v>0</v>
      </c>
      <c r="AJ12" s="99">
        <f>SEPTEMBER!AH40</f>
        <v>0</v>
      </c>
      <c r="AK12" s="91">
        <f>SEPTEMBER!AI40</f>
        <v>0</v>
      </c>
    </row>
    <row r="13" spans="1:37" ht="15.75" customHeight="1" x14ac:dyDescent="0.25">
      <c r="A13" s="458"/>
      <c r="B13" s="90" t="s">
        <v>61</v>
      </c>
      <c r="C13" s="103">
        <f>OCTOBER!B39</f>
        <v>0</v>
      </c>
      <c r="D13" s="103">
        <f>OCTOBER!C39</f>
        <v>0</v>
      </c>
      <c r="E13" s="103">
        <f>OCTOBER!D39</f>
        <v>0</v>
      </c>
      <c r="F13" s="103">
        <f>OCTOBER!E39</f>
        <v>0</v>
      </c>
      <c r="G13" s="103">
        <f>OCTOBER!F39</f>
        <v>0</v>
      </c>
      <c r="H13" s="103">
        <f>OCTOBER!G39</f>
        <v>0</v>
      </c>
      <c r="I13" s="103">
        <f>OCTOBER!H39</f>
        <v>0</v>
      </c>
      <c r="J13" s="103">
        <f>OCTOBER!I39</f>
        <v>0</v>
      </c>
      <c r="K13" s="103">
        <f>OCTOBER!J39</f>
        <v>0</v>
      </c>
      <c r="L13" s="104">
        <f>OCTOBER!K39</f>
        <v>0</v>
      </c>
      <c r="M13" s="103">
        <f>OCTOBER!L39</f>
        <v>0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0</v>
      </c>
      <c r="W13" s="103">
        <f>OCTOBER!V39</f>
        <v>0</v>
      </c>
      <c r="X13" s="103">
        <f>OCTOBER!W39</f>
        <v>0</v>
      </c>
      <c r="Y13" s="103">
        <f>OCTOBER!X39</f>
        <v>0</v>
      </c>
      <c r="Z13" s="103">
        <f>OCTOBER!Y39</f>
        <v>0</v>
      </c>
      <c r="AA13" s="103">
        <f>OCTOBER!Z39</f>
        <v>0</v>
      </c>
      <c r="AB13" s="103">
        <f>OCTOBER!AA39</f>
        <v>0</v>
      </c>
      <c r="AC13" s="105">
        <f>OCTOBER!AB39</f>
        <v>0</v>
      </c>
      <c r="AD13" s="105">
        <f>OCTOBER!AC39</f>
        <v>0</v>
      </c>
      <c r="AE13" s="99">
        <f>OCTOBER!AD40</f>
        <v>0</v>
      </c>
      <c r="AF13" s="99">
        <f>OCTOBER!AE40</f>
        <v>0</v>
      </c>
      <c r="AG13" s="99">
        <f t="shared" si="0"/>
        <v>0</v>
      </c>
      <c r="AH13" s="99">
        <f>OCTOBER!AF40</f>
        <v>0</v>
      </c>
      <c r="AI13" s="99">
        <f>OCTOBER!AG40</f>
        <v>0</v>
      </c>
      <c r="AJ13" s="99">
        <f>OCTOBER!AH40</f>
        <v>0</v>
      </c>
      <c r="AK13" s="91">
        <f>OCTOBER!AI40</f>
        <v>0</v>
      </c>
    </row>
    <row r="14" spans="1:37" ht="15.75" customHeight="1" x14ac:dyDescent="0.25">
      <c r="A14" s="458"/>
      <c r="B14" s="90" t="s">
        <v>62</v>
      </c>
      <c r="C14" s="103">
        <f>NOVEMBER!B39</f>
        <v>0</v>
      </c>
      <c r="D14" s="103">
        <f>NOVEMBER!C39</f>
        <v>0</v>
      </c>
      <c r="E14" s="103">
        <f>NOVEMBER!D39</f>
        <v>0</v>
      </c>
      <c r="F14" s="103">
        <f>NOVEMBER!E39</f>
        <v>0</v>
      </c>
      <c r="G14" s="103">
        <f>NOVEMBER!F39</f>
        <v>0</v>
      </c>
      <c r="H14" s="103">
        <f>NOVEMBER!G39</f>
        <v>0</v>
      </c>
      <c r="I14" s="103">
        <f>NOVEMBER!H39</f>
        <v>0</v>
      </c>
      <c r="J14" s="103">
        <f>NOVEMBER!I39</f>
        <v>0</v>
      </c>
      <c r="K14" s="103">
        <f>NOVEMBER!J39</f>
        <v>0</v>
      </c>
      <c r="L14" s="104">
        <f>NOVEMBER!K39</f>
        <v>0</v>
      </c>
      <c r="M14" s="103">
        <f>NOVEMBER!L39</f>
        <v>0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0</v>
      </c>
      <c r="W14" s="103">
        <f>NOVEMBER!V39</f>
        <v>0</v>
      </c>
      <c r="X14" s="103">
        <f>NOVEMBER!W39</f>
        <v>0</v>
      </c>
      <c r="Y14" s="103">
        <f>NOVEMBER!X39</f>
        <v>0</v>
      </c>
      <c r="Z14" s="103">
        <f>NOVEMBER!Y39</f>
        <v>0</v>
      </c>
      <c r="AA14" s="103">
        <f>NOVEMBER!Z39</f>
        <v>0</v>
      </c>
      <c r="AB14" s="103">
        <f>NOVEMBER!AA39</f>
        <v>0</v>
      </c>
      <c r="AC14" s="105">
        <f>NOVEMBER!AB39</f>
        <v>0</v>
      </c>
      <c r="AD14" s="105">
        <f>NOVEMBER!AC39</f>
        <v>0</v>
      </c>
      <c r="AE14" s="99">
        <f>NOVEMBER!AD40</f>
        <v>0</v>
      </c>
      <c r="AF14" s="99">
        <f>NOVEMBER!AE40</f>
        <v>0</v>
      </c>
      <c r="AG14" s="99">
        <f t="shared" si="0"/>
        <v>0</v>
      </c>
      <c r="AH14" s="99">
        <f>NOVEMBER!AF40</f>
        <v>0</v>
      </c>
      <c r="AI14" s="99">
        <f>NOVEMBER!AG40</f>
        <v>0</v>
      </c>
      <c r="AJ14" s="99">
        <f>NOVEMBER!AH40</f>
        <v>0</v>
      </c>
      <c r="AK14" s="91">
        <f>NOVEMBER!AI40</f>
        <v>0</v>
      </c>
    </row>
    <row r="15" spans="1:37" ht="15.75" customHeight="1" x14ac:dyDescent="0.25">
      <c r="A15" s="459"/>
      <c r="B15" s="92" t="s">
        <v>63</v>
      </c>
      <c r="C15" s="106">
        <f>DECEMBER!B39</f>
        <v>0</v>
      </c>
      <c r="D15" s="106">
        <f>DECEMBER!C39</f>
        <v>0</v>
      </c>
      <c r="E15" s="106">
        <f>DECEMBER!D39</f>
        <v>0</v>
      </c>
      <c r="F15" s="106">
        <f>DECEMBER!E39</f>
        <v>0</v>
      </c>
      <c r="G15" s="106">
        <f>DECEMBER!F39</f>
        <v>0</v>
      </c>
      <c r="H15" s="106">
        <f>DECEMBER!G39</f>
        <v>0</v>
      </c>
      <c r="I15" s="106">
        <f>DECEMBER!H39</f>
        <v>0</v>
      </c>
      <c r="J15" s="106">
        <f>DECEMBER!I39</f>
        <v>0</v>
      </c>
      <c r="K15" s="106">
        <f>DECEMBER!J39</f>
        <v>0</v>
      </c>
      <c r="L15" s="107">
        <f>DECEMBER!K39</f>
        <v>0</v>
      </c>
      <c r="M15" s="106">
        <f>DECEMBER!L39</f>
        <v>0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0</v>
      </c>
      <c r="W15" s="106">
        <f>DECEMBER!V39</f>
        <v>0</v>
      </c>
      <c r="X15" s="106">
        <f>DECEMBER!W39</f>
        <v>0</v>
      </c>
      <c r="Y15" s="106">
        <f>DECEMBER!X39</f>
        <v>0</v>
      </c>
      <c r="Z15" s="106">
        <f>DECEMBER!Y39</f>
        <v>0</v>
      </c>
      <c r="AA15" s="106">
        <f>DECEMBER!Z39</f>
        <v>0</v>
      </c>
      <c r="AB15" s="106">
        <f>DECEMBER!AA39</f>
        <v>0</v>
      </c>
      <c r="AC15" s="108">
        <f>DECEMBER!AB39</f>
        <v>0</v>
      </c>
      <c r="AD15" s="108">
        <f>DECEMBER!AC39</f>
        <v>0</v>
      </c>
      <c r="AE15" s="100">
        <f>DECEMBER!AD40</f>
        <v>0</v>
      </c>
      <c r="AF15" s="100">
        <f>DECEMBER!AE40</f>
        <v>0</v>
      </c>
      <c r="AG15" s="100">
        <f t="shared" si="0"/>
        <v>0</v>
      </c>
      <c r="AH15" s="100">
        <f>DECEMBER!AF40</f>
        <v>0</v>
      </c>
      <c r="AI15" s="100">
        <f>DECEMBER!AG40</f>
        <v>0</v>
      </c>
      <c r="AJ15" s="100">
        <f>DECEMBER!AH40</f>
        <v>0</v>
      </c>
      <c r="AK15" s="93">
        <f>DECEMBER!AI40</f>
        <v>0</v>
      </c>
    </row>
    <row r="16" spans="1:37" ht="15.75" customHeight="1" x14ac:dyDescent="0.25">
      <c r="A16" s="462" t="s">
        <v>160</v>
      </c>
      <c r="B16" s="463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2" t="s">
        <v>28</v>
      </c>
      <c r="AI16" s="242" t="s">
        <v>28</v>
      </c>
      <c r="AJ16" s="242" t="s">
        <v>28</v>
      </c>
      <c r="AK16" s="243" t="s">
        <v>34</v>
      </c>
    </row>
    <row r="17" spans="1:37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J17" si="1">SUM(D4:D15)</f>
        <v>8.6883535722891487</v>
      </c>
      <c r="E17" s="109">
        <f t="shared" si="1"/>
        <v>0</v>
      </c>
      <c r="F17" s="109">
        <f t="shared" si="1"/>
        <v>1.8779419591029485</v>
      </c>
      <c r="G17" s="109">
        <f t="shared" si="1"/>
        <v>0</v>
      </c>
      <c r="H17" s="109">
        <f t="shared" si="1"/>
        <v>0</v>
      </c>
      <c r="I17" s="109">
        <f t="shared" si="1"/>
        <v>0</v>
      </c>
      <c r="J17" s="109">
        <f t="shared" si="1"/>
        <v>3053.7750793703403</v>
      </c>
      <c r="K17" s="109">
        <f t="shared" si="1"/>
        <v>8969.3107076740416</v>
      </c>
      <c r="L17" s="109">
        <f t="shared" si="1"/>
        <v>521.41236268142893</v>
      </c>
      <c r="M17" s="109">
        <f t="shared" si="1"/>
        <v>0</v>
      </c>
      <c r="N17" s="109">
        <f t="shared" si="1"/>
        <v>0</v>
      </c>
      <c r="O17" s="109">
        <f t="shared" si="1"/>
        <v>0</v>
      </c>
      <c r="P17" s="109">
        <f t="shared" si="1"/>
        <v>0</v>
      </c>
      <c r="Q17" s="109">
        <f t="shared" si="1"/>
        <v>0</v>
      </c>
      <c r="R17" s="109">
        <f t="shared" si="1"/>
        <v>0</v>
      </c>
      <c r="S17" s="109">
        <f t="shared" si="1"/>
        <v>0</v>
      </c>
      <c r="T17" s="109">
        <f t="shared" si="1"/>
        <v>0</v>
      </c>
      <c r="U17" s="109">
        <f t="shared" si="1"/>
        <v>0</v>
      </c>
      <c r="V17" s="109">
        <f t="shared" si="1"/>
        <v>4825.1917990546817</v>
      </c>
      <c r="W17" s="109">
        <f t="shared" si="1"/>
        <v>1809.6626679711985</v>
      </c>
      <c r="X17" s="109">
        <f t="shared" si="1"/>
        <v>772.70160929679889</v>
      </c>
      <c r="Y17" s="109">
        <f t="shared" si="1"/>
        <v>0</v>
      </c>
      <c r="Z17" s="109">
        <f t="shared" si="1"/>
        <v>3092.937502673467</v>
      </c>
      <c r="AA17" s="109">
        <f t="shared" si="1"/>
        <v>0</v>
      </c>
      <c r="AB17" s="109">
        <f t="shared" si="1"/>
        <v>0</v>
      </c>
      <c r="AC17" s="109">
        <f t="shared" si="1"/>
        <v>2457.5500752457151</v>
      </c>
      <c r="AD17" s="109">
        <f t="shared" si="1"/>
        <v>0</v>
      </c>
      <c r="AE17" s="96">
        <f>SUM(AE4:AE15)</f>
        <v>207.60518576399383</v>
      </c>
      <c r="AF17" s="96">
        <f>SUM(AF4:AF15)</f>
        <v>5.9884661462774276E-2</v>
      </c>
      <c r="AG17" s="96">
        <f>SUM(AG4:AG15)</f>
        <v>207.66507042545661</v>
      </c>
      <c r="AH17" s="96">
        <f t="shared" si="1"/>
        <v>183.79986015107889</v>
      </c>
      <c r="AI17" s="96">
        <f t="shared" si="1"/>
        <v>187.53382582326128</v>
      </c>
      <c r="AJ17" s="96">
        <f t="shared" si="1"/>
        <v>0</v>
      </c>
      <c r="AK17" s="226">
        <f>IF(SUM(AI17:AJ17)&gt;0, AI17/(AI17+AJ17), "")</f>
        <v>1</v>
      </c>
    </row>
    <row r="18" spans="1:37" ht="15.75" customHeight="1" thickTop="1" x14ac:dyDescent="0.25">
      <c r="A18" s="457" t="s">
        <v>87</v>
      </c>
      <c r="B18" s="89" t="s">
        <v>52</v>
      </c>
      <c r="C18" s="110">
        <f>JANUARY!B41</f>
        <v>0</v>
      </c>
      <c r="D18" s="110">
        <f>JANUARY!C41</f>
        <v>0</v>
      </c>
      <c r="E18" s="110">
        <f>JANUARY!D41</f>
        <v>0</v>
      </c>
      <c r="F18" s="110">
        <f>JANUARY!E41</f>
        <v>0</v>
      </c>
      <c r="G18" s="110">
        <f>JANUARY!F41</f>
        <v>0</v>
      </c>
      <c r="H18" s="110">
        <f>JANUARY!G41</f>
        <v>0</v>
      </c>
      <c r="I18" s="110">
        <f>JANUARY!H41</f>
        <v>0</v>
      </c>
      <c r="J18" s="110">
        <f>JANUARY!I41</f>
        <v>1612.6330354716317</v>
      </c>
      <c r="K18" s="110">
        <f>JANUARY!J41</f>
        <v>10788.440154876173</v>
      </c>
      <c r="L18" s="111">
        <f>JANUARY!K41</f>
        <v>1962.8047488070238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1070.1957311501662</v>
      </c>
      <c r="W18" s="110">
        <f>JANUARY!V41</f>
        <v>475.87634855888456</v>
      </c>
      <c r="X18" s="110">
        <f>JANUARY!W41</f>
        <v>570.78727234545875</v>
      </c>
      <c r="Y18" s="110">
        <f>JANUARY!X41</f>
        <v>0</v>
      </c>
      <c r="Z18" s="110">
        <f>JANUARY!Y41</f>
        <v>5763.4175478661218</v>
      </c>
      <c r="AA18" s="110">
        <f>JANUARY!Z41</f>
        <v>0</v>
      </c>
      <c r="AB18" s="110">
        <f>JANUARY!AA41</f>
        <v>0</v>
      </c>
      <c r="AC18" s="113">
        <f>JANUARY!AB41</f>
        <v>599.30788704393456</v>
      </c>
      <c r="AD18" s="113">
        <f>JANUARY!AC41</f>
        <v>0</v>
      </c>
      <c r="AE18" s="123"/>
      <c r="AF18" s="123"/>
      <c r="AG18" s="123"/>
      <c r="AH18" s="123"/>
      <c r="AI18" s="123"/>
      <c r="AJ18" s="123"/>
      <c r="AK18" s="124"/>
    </row>
    <row r="19" spans="1:37" ht="15.75" customHeight="1" x14ac:dyDescent="0.25">
      <c r="A19" s="458"/>
      <c r="B19" s="90" t="s">
        <v>53</v>
      </c>
      <c r="C19" s="114">
        <f>FEBRUARY!B41</f>
        <v>0</v>
      </c>
      <c r="D19" s="114">
        <f>FEBRUARY!C41</f>
        <v>0</v>
      </c>
      <c r="E19" s="114">
        <f>FEBRUARY!D41</f>
        <v>0</v>
      </c>
      <c r="F19" s="114">
        <f>FEBRUARY!E41</f>
        <v>0</v>
      </c>
      <c r="G19" s="114">
        <f>FEBRUARY!F41</f>
        <v>0</v>
      </c>
      <c r="H19" s="114">
        <f>FEBRUARY!G41</f>
        <v>0</v>
      </c>
      <c r="I19" s="114">
        <f>FEBRUARY!H41</f>
        <v>0</v>
      </c>
      <c r="J19" s="114">
        <f>FEBRUARY!I41</f>
        <v>25.440580424853128</v>
      </c>
      <c r="K19" s="114">
        <f>FEBRUARY!J41</f>
        <v>0</v>
      </c>
      <c r="L19" s="115">
        <f>FEBRUARY!K41</f>
        <v>2.3958406887636423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0</v>
      </c>
      <c r="W19" s="114">
        <f>FEBRUARY!V41</f>
        <v>0</v>
      </c>
      <c r="X19" s="114">
        <f>FEBRUARY!W41</f>
        <v>0</v>
      </c>
      <c r="Y19" s="114">
        <f>FEBRUARY!X41</f>
        <v>0</v>
      </c>
      <c r="Z19" s="114">
        <f>FEBRUARY!Y41</f>
        <v>0</v>
      </c>
      <c r="AA19" s="114">
        <f>FEBRUARY!Z41</f>
        <v>0</v>
      </c>
      <c r="AB19" s="114">
        <f>FEBRUARY!AA41</f>
        <v>0</v>
      </c>
      <c r="AC19" s="117">
        <f>FEBRUARY!AB41</f>
        <v>0</v>
      </c>
      <c r="AD19" s="117">
        <f>FEBRUARY!AC41</f>
        <v>0</v>
      </c>
      <c r="AE19" s="125"/>
      <c r="AF19" s="125"/>
      <c r="AG19" s="125"/>
      <c r="AH19" s="125"/>
      <c r="AI19" s="125"/>
      <c r="AJ19" s="125"/>
      <c r="AK19" s="126"/>
    </row>
    <row r="20" spans="1:37" ht="15.75" customHeight="1" x14ac:dyDescent="0.25">
      <c r="A20" s="458"/>
      <c r="B20" s="90" t="s">
        <v>54</v>
      </c>
      <c r="C20" s="114">
        <f>MARCH!B41</f>
        <v>0</v>
      </c>
      <c r="D20" s="114">
        <f>MARCH!C41</f>
        <v>12.412836667697485</v>
      </c>
      <c r="E20" s="114">
        <f>MARCH!D41</f>
        <v>0</v>
      </c>
      <c r="F20" s="114">
        <f>MARCH!E41</f>
        <v>8.3071438620024214</v>
      </c>
      <c r="G20" s="114">
        <f>MARCH!F41</f>
        <v>0</v>
      </c>
      <c r="H20" s="114">
        <f>MARCH!G41</f>
        <v>0</v>
      </c>
      <c r="I20" s="114">
        <f>MARCH!H41</f>
        <v>0</v>
      </c>
      <c r="J20" s="114">
        <f>MARCH!I41</f>
        <v>398.21573884904291</v>
      </c>
      <c r="K20" s="114">
        <f>MARCH!J41</f>
        <v>2025.7930493618919</v>
      </c>
      <c r="L20" s="115">
        <f>MARCH!K41</f>
        <v>341.28576767057007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206.06749969979717</v>
      </c>
      <c r="W20" s="114">
        <f>MARCH!V41</f>
        <v>2.7794271194974582</v>
      </c>
      <c r="X20" s="114">
        <f>MARCH!W41</f>
        <v>93.236637329538866</v>
      </c>
      <c r="Y20" s="114">
        <f>MARCH!X41</f>
        <v>0</v>
      </c>
      <c r="Z20" s="114">
        <f>MARCH!Y41</f>
        <v>767.28237890886999</v>
      </c>
      <c r="AA20" s="114">
        <f>MARCH!Z41</f>
        <v>0</v>
      </c>
      <c r="AB20" s="114">
        <f>MARCH!AA41</f>
        <v>0</v>
      </c>
      <c r="AC20" s="117">
        <f>MARCH!AB41</f>
        <v>50.714107858557078</v>
      </c>
      <c r="AD20" s="117">
        <f>MARCH!AC41</f>
        <v>0</v>
      </c>
      <c r="AE20" s="125"/>
      <c r="AF20" s="125"/>
      <c r="AG20" s="125"/>
      <c r="AH20" s="125"/>
      <c r="AI20" s="125"/>
      <c r="AJ20" s="125"/>
      <c r="AK20" s="126"/>
    </row>
    <row r="21" spans="1:37" ht="15.75" customHeight="1" x14ac:dyDescent="0.25">
      <c r="A21" s="458"/>
      <c r="B21" s="90" t="s">
        <v>55</v>
      </c>
      <c r="C21" s="114">
        <f>APRIL!B41</f>
        <v>0</v>
      </c>
      <c r="D21" s="114">
        <f>APRIL!C41</f>
        <v>0</v>
      </c>
      <c r="E21" s="114">
        <f>APRIL!D41</f>
        <v>0</v>
      </c>
      <c r="F21" s="114">
        <f>APRIL!E41</f>
        <v>0</v>
      </c>
      <c r="G21" s="114">
        <f>APRIL!F41</f>
        <v>0</v>
      </c>
      <c r="H21" s="114">
        <f>APRIL!G41</f>
        <v>0</v>
      </c>
      <c r="I21" s="114">
        <f>APRIL!H41</f>
        <v>0</v>
      </c>
      <c r="J21" s="114">
        <f>APRIL!I41</f>
        <v>0</v>
      </c>
      <c r="K21" s="114">
        <f>APRIL!J41</f>
        <v>0</v>
      </c>
      <c r="L21" s="115">
        <f>APRIL!K41</f>
        <v>0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0</v>
      </c>
      <c r="W21" s="114">
        <f>APRIL!V41</f>
        <v>0</v>
      </c>
      <c r="X21" s="114">
        <f>APRIL!W41</f>
        <v>0</v>
      </c>
      <c r="Y21" s="114">
        <f>APRIL!X41</f>
        <v>0</v>
      </c>
      <c r="Z21" s="114">
        <f>APRIL!Y41</f>
        <v>0</v>
      </c>
      <c r="AA21" s="114">
        <f>APRIL!Z41</f>
        <v>0</v>
      </c>
      <c r="AB21" s="114">
        <f>APRIL!AA41</f>
        <v>0</v>
      </c>
      <c r="AC21" s="117">
        <f>APRIL!AB41</f>
        <v>0</v>
      </c>
      <c r="AD21" s="117">
        <f>APRIL!AC41</f>
        <v>0</v>
      </c>
      <c r="AE21" s="125"/>
      <c r="AF21" s="125"/>
      <c r="AG21" s="125"/>
      <c r="AH21" s="125"/>
      <c r="AI21" s="125"/>
      <c r="AJ21" s="125"/>
      <c r="AK21" s="126"/>
    </row>
    <row r="22" spans="1:37" ht="15.75" customHeight="1" x14ac:dyDescent="0.25">
      <c r="A22" s="458"/>
      <c r="B22" s="90" t="s">
        <v>56</v>
      </c>
      <c r="C22" s="114">
        <f>MAY!B41</f>
        <v>0</v>
      </c>
      <c r="D22" s="114">
        <f>MAY!C41</f>
        <v>0</v>
      </c>
      <c r="E22" s="114">
        <f>MAY!D41</f>
        <v>0</v>
      </c>
      <c r="F22" s="114">
        <f>MAY!E41</f>
        <v>0</v>
      </c>
      <c r="G22" s="114">
        <f>MAY!F41</f>
        <v>0</v>
      </c>
      <c r="H22" s="114">
        <f>MAY!G41</f>
        <v>0</v>
      </c>
      <c r="I22" s="114">
        <f>MAY!H41</f>
        <v>0</v>
      </c>
      <c r="J22" s="114">
        <f>MAY!I41</f>
        <v>0</v>
      </c>
      <c r="K22" s="114">
        <f>MAY!J41</f>
        <v>0</v>
      </c>
      <c r="L22" s="115">
        <f>MAY!K41</f>
        <v>0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0</v>
      </c>
      <c r="W22" s="114">
        <f>MAY!V41</f>
        <v>0</v>
      </c>
      <c r="X22" s="114">
        <f>MAY!W41</f>
        <v>0</v>
      </c>
      <c r="Y22" s="114">
        <f>MAY!X41</f>
        <v>0</v>
      </c>
      <c r="Z22" s="114">
        <f>MAY!Y41</f>
        <v>0</v>
      </c>
      <c r="AA22" s="114">
        <f>MAY!Z41</f>
        <v>0</v>
      </c>
      <c r="AB22" s="114">
        <f>MAY!AA41</f>
        <v>0</v>
      </c>
      <c r="AC22" s="117">
        <f>MAY!AB41</f>
        <v>0</v>
      </c>
      <c r="AD22" s="117">
        <f>MAY!AC41</f>
        <v>0</v>
      </c>
      <c r="AE22" s="125"/>
      <c r="AF22" s="125"/>
      <c r="AG22" s="125"/>
      <c r="AH22" s="125"/>
      <c r="AI22" s="125"/>
      <c r="AJ22" s="125"/>
      <c r="AK22" s="126"/>
    </row>
    <row r="23" spans="1:37" ht="15.75" customHeight="1" x14ac:dyDescent="0.25">
      <c r="A23" s="458"/>
      <c r="B23" s="90" t="s">
        <v>57</v>
      </c>
      <c r="C23" s="114">
        <f>JUNE!B41</f>
        <v>0</v>
      </c>
      <c r="D23" s="114">
        <f>JUNE!C41</f>
        <v>0</v>
      </c>
      <c r="E23" s="114">
        <f>JUNE!D41</f>
        <v>0</v>
      </c>
      <c r="F23" s="114">
        <f>JUNE!E41</f>
        <v>0</v>
      </c>
      <c r="G23" s="114">
        <f>JUNE!F41</f>
        <v>0</v>
      </c>
      <c r="H23" s="114">
        <f>JUNE!G41</f>
        <v>0</v>
      </c>
      <c r="I23" s="114">
        <f>JUNE!H41</f>
        <v>0</v>
      </c>
      <c r="J23" s="114">
        <f>JUNE!I41</f>
        <v>0</v>
      </c>
      <c r="K23" s="114">
        <f>JUNE!J41</f>
        <v>0</v>
      </c>
      <c r="L23" s="115">
        <f>JUNE!K41</f>
        <v>0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0</v>
      </c>
      <c r="W23" s="114">
        <f>JUNE!V41</f>
        <v>0</v>
      </c>
      <c r="X23" s="114">
        <f>JUNE!W41</f>
        <v>0</v>
      </c>
      <c r="Y23" s="114">
        <f>JUNE!X41</f>
        <v>0</v>
      </c>
      <c r="Z23" s="114">
        <f>JUNE!Y41</f>
        <v>0</v>
      </c>
      <c r="AA23" s="114">
        <f>JUNE!Z41</f>
        <v>0</v>
      </c>
      <c r="AB23" s="114">
        <f>JUNE!AA41</f>
        <v>0</v>
      </c>
      <c r="AC23" s="117">
        <f>JUNE!AB41</f>
        <v>0</v>
      </c>
      <c r="AD23" s="117">
        <f>JUNE!AC41</f>
        <v>0</v>
      </c>
      <c r="AE23" s="125"/>
      <c r="AF23" s="125"/>
      <c r="AG23" s="125"/>
      <c r="AH23" s="125"/>
      <c r="AI23" s="125"/>
      <c r="AJ23" s="125"/>
      <c r="AK23" s="126"/>
    </row>
    <row r="24" spans="1:37" ht="15.75" customHeight="1" x14ac:dyDescent="0.25">
      <c r="A24" s="458"/>
      <c r="B24" s="90" t="s">
        <v>58</v>
      </c>
      <c r="C24" s="114">
        <f>JULY!B41</f>
        <v>0</v>
      </c>
      <c r="D24" s="114">
        <f>JULY!C41</f>
        <v>0</v>
      </c>
      <c r="E24" s="114">
        <f>JULY!D41</f>
        <v>0</v>
      </c>
      <c r="F24" s="114">
        <f>JULY!E41</f>
        <v>0</v>
      </c>
      <c r="G24" s="114">
        <f>JULY!F41</f>
        <v>0</v>
      </c>
      <c r="H24" s="114">
        <f>JULY!G41</f>
        <v>0</v>
      </c>
      <c r="I24" s="114">
        <f>JULY!H41</f>
        <v>0</v>
      </c>
      <c r="J24" s="114">
        <f>JULY!I41</f>
        <v>0</v>
      </c>
      <c r="K24" s="114">
        <f>JULY!J41</f>
        <v>0</v>
      </c>
      <c r="L24" s="115">
        <f>JULY!K41</f>
        <v>0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0</v>
      </c>
      <c r="W24" s="114">
        <f>JULY!V41</f>
        <v>0</v>
      </c>
      <c r="X24" s="114">
        <f>JULY!W41</f>
        <v>0</v>
      </c>
      <c r="Y24" s="114">
        <f>JULY!X41</f>
        <v>0</v>
      </c>
      <c r="Z24" s="114">
        <f>JULY!Y41</f>
        <v>0</v>
      </c>
      <c r="AA24" s="114">
        <f>JULY!Z41</f>
        <v>0</v>
      </c>
      <c r="AB24" s="114">
        <f>JULY!AA41</f>
        <v>0</v>
      </c>
      <c r="AC24" s="117">
        <f>JULY!AB41</f>
        <v>0</v>
      </c>
      <c r="AD24" s="117">
        <f>JULY!AC41</f>
        <v>0</v>
      </c>
      <c r="AE24" s="125"/>
      <c r="AF24" s="125"/>
      <c r="AG24" s="125"/>
      <c r="AH24" s="125"/>
      <c r="AI24" s="125"/>
      <c r="AJ24" s="125"/>
      <c r="AK24" s="126"/>
    </row>
    <row r="25" spans="1:37" ht="15.75" customHeight="1" x14ac:dyDescent="0.25">
      <c r="A25" s="458"/>
      <c r="B25" s="90" t="s">
        <v>59</v>
      </c>
      <c r="C25" s="114">
        <f>AUGUST!B41</f>
        <v>0</v>
      </c>
      <c r="D25" s="114">
        <f>AUGUST!C41</f>
        <v>0</v>
      </c>
      <c r="E25" s="114">
        <f>AUGUST!D41</f>
        <v>0</v>
      </c>
      <c r="F25" s="114">
        <f>AUGUST!E41</f>
        <v>0</v>
      </c>
      <c r="G25" s="114">
        <f>AUGUST!F41</f>
        <v>0</v>
      </c>
      <c r="H25" s="114">
        <f>AUGUST!G41</f>
        <v>0</v>
      </c>
      <c r="I25" s="114">
        <f>AUGUST!H41</f>
        <v>0</v>
      </c>
      <c r="J25" s="114">
        <f>AUGUST!I41</f>
        <v>0</v>
      </c>
      <c r="K25" s="114">
        <f>AUGUST!J41</f>
        <v>0</v>
      </c>
      <c r="L25" s="115">
        <f>AUGUST!K41</f>
        <v>0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0</v>
      </c>
      <c r="W25" s="114">
        <f>AUGUST!V41</f>
        <v>0</v>
      </c>
      <c r="X25" s="114">
        <f>AUGUST!W41</f>
        <v>0</v>
      </c>
      <c r="Y25" s="114">
        <f>AUGUST!X41</f>
        <v>0</v>
      </c>
      <c r="Z25" s="114">
        <f>AUGUST!Y41</f>
        <v>0</v>
      </c>
      <c r="AA25" s="114">
        <f>AUGUST!Z41</f>
        <v>0</v>
      </c>
      <c r="AB25" s="114">
        <f>AUGUST!AA41</f>
        <v>0</v>
      </c>
      <c r="AC25" s="117">
        <f>AUGUST!AB41</f>
        <v>0</v>
      </c>
      <c r="AD25" s="117">
        <f>AUGUST!AC41</f>
        <v>0</v>
      </c>
      <c r="AE25" s="125"/>
      <c r="AF25" s="125"/>
      <c r="AG25" s="125"/>
      <c r="AH25" s="125"/>
      <c r="AI25" s="125"/>
      <c r="AJ25" s="125"/>
      <c r="AK25" s="126"/>
    </row>
    <row r="26" spans="1:37" ht="15.75" customHeight="1" x14ac:dyDescent="0.25">
      <c r="A26" s="458"/>
      <c r="B26" s="90" t="s">
        <v>60</v>
      </c>
      <c r="C26" s="114">
        <f>SEPTEMBER!B41</f>
        <v>0</v>
      </c>
      <c r="D26" s="114">
        <f>SEPTEMBER!C41</f>
        <v>0</v>
      </c>
      <c r="E26" s="114">
        <f>SEPTEMBER!D41</f>
        <v>0</v>
      </c>
      <c r="F26" s="114">
        <f>SEPTEMBER!E41</f>
        <v>0</v>
      </c>
      <c r="G26" s="114">
        <f>SEPTEMBER!F41</f>
        <v>0</v>
      </c>
      <c r="H26" s="114">
        <f>SEPTEMBER!G41</f>
        <v>0</v>
      </c>
      <c r="I26" s="114">
        <f>SEPTEMBER!H41</f>
        <v>0</v>
      </c>
      <c r="J26" s="114">
        <f>SEPTEMBER!I41</f>
        <v>0</v>
      </c>
      <c r="K26" s="114">
        <f>SEPTEMBER!J41</f>
        <v>0</v>
      </c>
      <c r="L26" s="115">
        <f>SEPTEMBER!K41</f>
        <v>0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0</v>
      </c>
      <c r="W26" s="114">
        <f>SEPTEMBER!V41</f>
        <v>0</v>
      </c>
      <c r="X26" s="114">
        <f>SEPTEMBER!W41</f>
        <v>0</v>
      </c>
      <c r="Y26" s="114">
        <f>SEPTEMBER!X41</f>
        <v>0</v>
      </c>
      <c r="Z26" s="114">
        <f>SEPTEMBER!Y41</f>
        <v>0</v>
      </c>
      <c r="AA26" s="114">
        <f>SEPTEMBER!Z41</f>
        <v>0</v>
      </c>
      <c r="AB26" s="114">
        <f>SEPTEMBER!AA41</f>
        <v>0</v>
      </c>
      <c r="AC26" s="117">
        <f>SEPTEMBER!AB41</f>
        <v>0</v>
      </c>
      <c r="AD26" s="117">
        <f>SEPTEMBER!AC41</f>
        <v>0</v>
      </c>
      <c r="AE26" s="125"/>
      <c r="AF26" s="125"/>
      <c r="AG26" s="125"/>
      <c r="AH26" s="125"/>
      <c r="AI26" s="125"/>
      <c r="AJ26" s="125"/>
      <c r="AK26" s="126"/>
    </row>
    <row r="27" spans="1:37" ht="15.75" customHeight="1" x14ac:dyDescent="0.25">
      <c r="A27" s="458"/>
      <c r="B27" s="90" t="s">
        <v>61</v>
      </c>
      <c r="C27" s="114">
        <f>OCTOBER!B41</f>
        <v>0</v>
      </c>
      <c r="D27" s="114">
        <f>OCTOBER!C41</f>
        <v>0</v>
      </c>
      <c r="E27" s="114">
        <f>OCTOBER!D41</f>
        <v>0</v>
      </c>
      <c r="F27" s="114">
        <f>OCTOBER!E41</f>
        <v>0</v>
      </c>
      <c r="G27" s="114">
        <f>OCTOBER!F41</f>
        <v>0</v>
      </c>
      <c r="H27" s="114">
        <f>OCTOBER!G41</f>
        <v>0</v>
      </c>
      <c r="I27" s="114">
        <f>OCTOBER!H41</f>
        <v>0</v>
      </c>
      <c r="J27" s="114">
        <f>OCTOBER!I41</f>
        <v>0</v>
      </c>
      <c r="K27" s="114">
        <f>OCTOBER!J41</f>
        <v>0</v>
      </c>
      <c r="L27" s="115">
        <f>OCTOBER!K41</f>
        <v>0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0</v>
      </c>
      <c r="W27" s="114">
        <f>OCTOBER!V41</f>
        <v>0</v>
      </c>
      <c r="X27" s="114">
        <f>OCTOBER!W41</f>
        <v>0</v>
      </c>
      <c r="Y27" s="114">
        <f>OCTOBER!X41</f>
        <v>0</v>
      </c>
      <c r="Z27" s="114">
        <f>OCTOBER!Y41</f>
        <v>0</v>
      </c>
      <c r="AA27" s="114">
        <f>OCTOBER!Z41</f>
        <v>0</v>
      </c>
      <c r="AB27" s="114">
        <f>OCTOBER!AA41</f>
        <v>0</v>
      </c>
      <c r="AC27" s="117">
        <f>OCTOBER!AB41</f>
        <v>0</v>
      </c>
      <c r="AD27" s="117">
        <f>OCTOBER!AC41</f>
        <v>0</v>
      </c>
      <c r="AE27" s="125"/>
      <c r="AF27" s="125"/>
      <c r="AG27" s="125"/>
      <c r="AH27" s="125"/>
      <c r="AI27" s="125"/>
      <c r="AJ27" s="125"/>
      <c r="AK27" s="126"/>
    </row>
    <row r="28" spans="1:37" ht="15.75" customHeight="1" x14ac:dyDescent="0.25">
      <c r="A28" s="458"/>
      <c r="B28" s="90" t="s">
        <v>62</v>
      </c>
      <c r="C28" s="114">
        <f>NOVEMBER!B41</f>
        <v>0</v>
      </c>
      <c r="D28" s="114">
        <f>NOVEMBER!C41</f>
        <v>0</v>
      </c>
      <c r="E28" s="114">
        <f>NOVEMBER!D41</f>
        <v>0</v>
      </c>
      <c r="F28" s="114">
        <f>NOVEMBER!E41</f>
        <v>0</v>
      </c>
      <c r="G28" s="114">
        <f>NOVEMBER!F41</f>
        <v>0</v>
      </c>
      <c r="H28" s="114">
        <f>NOVEMBER!G41</f>
        <v>0</v>
      </c>
      <c r="I28" s="114">
        <f>NOVEMBER!H41</f>
        <v>0</v>
      </c>
      <c r="J28" s="114">
        <f>NOVEMBER!I41</f>
        <v>0</v>
      </c>
      <c r="K28" s="114">
        <f>NOVEMBER!J41</f>
        <v>0</v>
      </c>
      <c r="L28" s="115">
        <f>NOVEMBER!K41</f>
        <v>0</v>
      </c>
      <c r="M28" s="114">
        <f>NOVEMBER!L41</f>
        <v>0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0</v>
      </c>
      <c r="W28" s="114">
        <f>NOVEMBER!V41</f>
        <v>0</v>
      </c>
      <c r="X28" s="114">
        <f>NOVEMBER!W41</f>
        <v>0</v>
      </c>
      <c r="Y28" s="114">
        <f>NOVEMBER!X41</f>
        <v>0</v>
      </c>
      <c r="Z28" s="114">
        <f>NOVEMBER!Y41</f>
        <v>0</v>
      </c>
      <c r="AA28" s="114">
        <f>NOVEMBER!Z41</f>
        <v>0</v>
      </c>
      <c r="AB28" s="114">
        <f>NOVEMBER!AA41</f>
        <v>0</v>
      </c>
      <c r="AC28" s="117">
        <f>NOVEMBER!AB41</f>
        <v>0</v>
      </c>
      <c r="AD28" s="117">
        <f>NOVEMBER!AC41</f>
        <v>0</v>
      </c>
      <c r="AE28" s="125"/>
      <c r="AF28" s="125"/>
      <c r="AG28" s="125"/>
      <c r="AH28" s="125"/>
      <c r="AI28" s="125"/>
      <c r="AJ28" s="125"/>
      <c r="AK28" s="126"/>
    </row>
    <row r="29" spans="1:37" ht="15.75" customHeight="1" x14ac:dyDescent="0.25">
      <c r="A29" s="459"/>
      <c r="B29" s="92" t="s">
        <v>63</v>
      </c>
      <c r="C29" s="118">
        <f>DECEMBER!B41</f>
        <v>0</v>
      </c>
      <c r="D29" s="118">
        <f>DECEMBER!C41</f>
        <v>0</v>
      </c>
      <c r="E29" s="118">
        <f>DECEMBER!D41</f>
        <v>0</v>
      </c>
      <c r="F29" s="118">
        <f>DECEMBER!E41</f>
        <v>0</v>
      </c>
      <c r="G29" s="118">
        <f>DECEMBER!F41</f>
        <v>0</v>
      </c>
      <c r="H29" s="118">
        <f>DECEMBER!G41</f>
        <v>0</v>
      </c>
      <c r="I29" s="118">
        <f>DECEMBER!H41</f>
        <v>0</v>
      </c>
      <c r="J29" s="118">
        <f>DECEMBER!I41</f>
        <v>0</v>
      </c>
      <c r="K29" s="118">
        <f>DECEMBER!J41</f>
        <v>0</v>
      </c>
      <c r="L29" s="119">
        <f>DECEMBER!K41</f>
        <v>0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0</v>
      </c>
      <c r="W29" s="118">
        <f>DECEMBER!V41</f>
        <v>0</v>
      </c>
      <c r="X29" s="118">
        <f>DECEMBER!W41</f>
        <v>0</v>
      </c>
      <c r="Y29" s="118">
        <f>DECEMBER!X41</f>
        <v>0</v>
      </c>
      <c r="Z29" s="118">
        <f>DECEMBER!Y41</f>
        <v>0</v>
      </c>
      <c r="AA29" s="118">
        <f>DECEMBER!Z41</f>
        <v>0</v>
      </c>
      <c r="AB29" s="118">
        <f>DECEMBER!AA41</f>
        <v>0</v>
      </c>
      <c r="AC29" s="121">
        <f>DECEMBER!AB41</f>
        <v>0</v>
      </c>
      <c r="AD29" s="121">
        <f>DECEMBER!AC41</f>
        <v>0</v>
      </c>
      <c r="AE29" s="125"/>
      <c r="AF29" s="125"/>
      <c r="AG29" s="127"/>
      <c r="AH29" s="127"/>
      <c r="AI29" s="127"/>
      <c r="AJ29" s="127"/>
      <c r="AK29" s="128"/>
    </row>
    <row r="30" spans="1:37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2">SUM(D18:D29)</f>
        <v>12.412836667697485</v>
      </c>
      <c r="E30" s="122">
        <f t="shared" si="2"/>
        <v>0</v>
      </c>
      <c r="F30" s="122">
        <f t="shared" si="2"/>
        <v>8.3071438620024214</v>
      </c>
      <c r="G30" s="122">
        <f t="shared" si="2"/>
        <v>0</v>
      </c>
      <c r="H30" s="122">
        <f t="shared" si="2"/>
        <v>0</v>
      </c>
      <c r="I30" s="122">
        <f t="shared" si="2"/>
        <v>0</v>
      </c>
      <c r="J30" s="122">
        <f t="shared" si="2"/>
        <v>2036.2893547455278</v>
      </c>
      <c r="K30" s="122">
        <f t="shared" si="2"/>
        <v>12814.233204238064</v>
      </c>
      <c r="L30" s="122">
        <f t="shared" si="2"/>
        <v>2306.4863571663573</v>
      </c>
      <c r="M30" s="122">
        <f t="shared" si="2"/>
        <v>0</v>
      </c>
      <c r="N30" s="122">
        <f t="shared" si="2"/>
        <v>0</v>
      </c>
      <c r="O30" s="122">
        <f t="shared" si="2"/>
        <v>0</v>
      </c>
      <c r="P30" s="122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122">
        <f t="shared" si="2"/>
        <v>0</v>
      </c>
      <c r="U30" s="122">
        <f t="shared" si="2"/>
        <v>0</v>
      </c>
      <c r="V30" s="122">
        <f t="shared" si="2"/>
        <v>1276.2632308499633</v>
      </c>
      <c r="W30" s="122">
        <f t="shared" si="2"/>
        <v>478.65577567838204</v>
      </c>
      <c r="X30" s="122">
        <f t="shared" si="2"/>
        <v>664.02390967499764</v>
      </c>
      <c r="Y30" s="122">
        <f t="shared" si="2"/>
        <v>0</v>
      </c>
      <c r="Z30" s="122">
        <f t="shared" si="2"/>
        <v>6530.6999267749916</v>
      </c>
      <c r="AA30" s="122">
        <f t="shared" si="2"/>
        <v>0</v>
      </c>
      <c r="AB30" s="122">
        <f t="shared" si="2"/>
        <v>0</v>
      </c>
      <c r="AC30" s="122">
        <f t="shared" si="2"/>
        <v>650.02199490249166</v>
      </c>
      <c r="AD30" s="122">
        <f t="shared" si="2"/>
        <v>0</v>
      </c>
      <c r="AE30" s="129"/>
      <c r="AF30" s="129"/>
      <c r="AG30" s="129"/>
      <c r="AH30" s="129" t="str">
        <f>IF(SUM(AH18:AH29)&gt;0, AVERAGE(AH18:AH29), "")</f>
        <v/>
      </c>
      <c r="AI30" s="129" t="str">
        <f>IF(SUM(AI18:AI29)&gt;0, AVERAGE(AI18:AI29), "")</f>
        <v/>
      </c>
      <c r="AJ30" s="129" t="str">
        <f>IF(SUM(AJ18:AJ29)&gt;0, AVERAGE(AJ18:AJ29), "")</f>
        <v/>
      </c>
      <c r="AK30" s="227" t="str">
        <f>IF(SUM(AK18:AK29)&gt;0, AVERAGE(AK18:AK29), "")</f>
        <v/>
      </c>
    </row>
    <row r="31" spans="1:37" ht="16.5" customHeight="1" thickTop="1" x14ac:dyDescent="0.25"/>
    <row r="32" spans="1:37" ht="15.75" thickBot="1" x14ac:dyDescent="0.3">
      <c r="C32" s="334" t="s">
        <v>201</v>
      </c>
      <c r="D32" s="334" t="s">
        <v>202</v>
      </c>
      <c r="E32" s="334" t="s">
        <v>203</v>
      </c>
    </row>
    <row r="33" spans="1:5" ht="15.75" customHeight="1" thickTop="1" x14ac:dyDescent="0.25">
      <c r="A33" s="454" t="s">
        <v>204</v>
      </c>
      <c r="B33" s="89" t="s">
        <v>52</v>
      </c>
      <c r="C33" s="329">
        <f>IF(ISNUMBER(JANUARY!B52)=TRUE,JANUARY!B52,"")</f>
        <v>0.22843311375632952</v>
      </c>
      <c r="D33" s="329" t="str">
        <f>IF(ISNUMBER(JANUARY!E52)=TRUE,JANUARY!E52,"")</f>
        <v/>
      </c>
      <c r="E33" s="329">
        <f>IF(ISNUMBER(JANUARY!H52)=TRUE,JANUARY!H52,"")</f>
        <v>0.18896339521247693</v>
      </c>
    </row>
    <row r="34" spans="1:5" ht="15.75" customHeight="1" x14ac:dyDescent="0.25">
      <c r="A34" s="455"/>
      <c r="B34" s="90" t="s">
        <v>53</v>
      </c>
      <c r="C34" s="330">
        <f>IF(ISNUMBER(FEBRUARY!$B$52)=TRUE,FEBRUARY!$B$52,"")</f>
        <v>1784.5761951309257</v>
      </c>
      <c r="D34" s="330">
        <f>IF(ISNUMBER(FEBRUARY!$E$52)=TRUE,FEBRUARY!$E$52,"")</f>
        <v>3115.4580356938272</v>
      </c>
      <c r="E34" s="330">
        <f>IF(ISNUMBER(FEBRUARY!$H$52)=TRUE,FEBRUARY!$H$52,"")</f>
        <v>505.47270488330611</v>
      </c>
    </row>
    <row r="35" spans="1:5" x14ac:dyDescent="0.25">
      <c r="A35" s="455"/>
      <c r="B35" s="90" t="s">
        <v>54</v>
      </c>
      <c r="C35" s="330">
        <f>IF(ISNUMBER(MARCH!$B$52)=TRUE,MARCH!$B$52,"")</f>
        <v>0.1811014621941992</v>
      </c>
      <c r="D35" s="330">
        <f>IF(ISNUMBER(MARCH!$E$52)=TRUE,MARCH!$E$52,"")</f>
        <v>18.137053060078166</v>
      </c>
      <c r="E35" s="330">
        <f>IF(ISNUMBER(MARCH!$H$52)=TRUE,MARCH!$H$52,"")</f>
        <v>0.15209026318655192</v>
      </c>
    </row>
    <row r="36" spans="1:5" x14ac:dyDescent="0.25">
      <c r="A36" s="455"/>
      <c r="B36" s="90" t="s">
        <v>55</v>
      </c>
      <c r="C36" s="330" t="str">
        <f>IF(ISNUMBER(APRIL!$B$52)=TRUE,APRIL!$B$52,"")</f>
        <v/>
      </c>
      <c r="D36" s="330" t="str">
        <f>IF(ISNUMBER(APRIL!$E$52)=TRUE,APRIL!$E$52,"")</f>
        <v/>
      </c>
      <c r="E36" s="330" t="str">
        <f>IF(ISNUMBER(APRIL!$H$52)=TRUE,APRIL!$H$52,"")</f>
        <v/>
      </c>
    </row>
    <row r="37" spans="1:5" x14ac:dyDescent="0.25">
      <c r="A37" s="455"/>
      <c r="B37" s="90" t="s">
        <v>56</v>
      </c>
      <c r="C37" s="330" t="str">
        <f>IF(ISNUMBER(MAY!$B$52)=TRUE,MAY!$B$52,"")</f>
        <v/>
      </c>
      <c r="D37" s="330" t="str">
        <f>IF(ISNUMBER(MAY!$E$52)=TRUE,MAY!$E$52,"")</f>
        <v/>
      </c>
      <c r="E37" s="330" t="str">
        <f>IF(ISNUMBER(MAY!$H$52)=TRUE,MAY!$H$52,"")</f>
        <v/>
      </c>
    </row>
    <row r="38" spans="1:5" x14ac:dyDescent="0.25">
      <c r="A38" s="455"/>
      <c r="B38" s="90" t="s">
        <v>57</v>
      </c>
      <c r="C38" s="330" t="str">
        <f>IF(ISNUMBER(JUNE!$B$52)=TRUE,JUNE!$B$52,"")</f>
        <v/>
      </c>
      <c r="D38" s="330" t="str">
        <f>IF(ISNUMBER(JUNE!$E$52)=TRUE,JUNE!$E$52,"")</f>
        <v/>
      </c>
      <c r="E38" s="330" t="str">
        <f>IF(ISNUMBER(JUNE!$H$52)=TRUE,JUNE!$H$52,"")</f>
        <v/>
      </c>
    </row>
    <row r="39" spans="1:5" x14ac:dyDescent="0.25">
      <c r="A39" s="455"/>
      <c r="B39" s="90" t="s">
        <v>58</v>
      </c>
      <c r="C39" s="330" t="str">
        <f>IF(ISNUMBER(JULY!$B$52)=TRUE,JULY!$B$52,"")</f>
        <v/>
      </c>
      <c r="D39" s="330" t="str">
        <f>IF(ISNUMBER(JULY!$E$52)=TRUE,JULY!$E$52,"")</f>
        <v/>
      </c>
      <c r="E39" s="330" t="str">
        <f>IF(ISNUMBER(JULY!$H$52)=TRUE,JULY!$H$52,"")</f>
        <v/>
      </c>
    </row>
    <row r="40" spans="1:5" x14ac:dyDescent="0.25">
      <c r="A40" s="455"/>
      <c r="B40" s="90" t="s">
        <v>59</v>
      </c>
      <c r="C40" s="330" t="str">
        <f>IF(ISNUMBER(AUGUST!$B$52)=TRUE,AUGUST!$B$52,"")</f>
        <v/>
      </c>
      <c r="D40" s="330" t="str">
        <f>IF(ISNUMBER(AUGUST!$E$52)=TRUE,AUGUST!$E$52,"")</f>
        <v/>
      </c>
      <c r="E40" s="330" t="str">
        <f>IF(ISNUMBER(AUGUST!$H$52)=TRUE,AUGUST!$H$52,"")</f>
        <v/>
      </c>
    </row>
    <row r="41" spans="1:5" x14ac:dyDescent="0.25">
      <c r="A41" s="455"/>
      <c r="B41" s="90" t="s">
        <v>60</v>
      </c>
      <c r="C41" s="330" t="str">
        <f>IF(ISNUMBER(SEPTEMBER!$B$52)=TRUE,SEPTEMBER!$B$52,"")</f>
        <v/>
      </c>
      <c r="D41" s="330" t="str">
        <f>IF(ISNUMBER(SEPTEMBER!$E$52)=TRUE,SEPTEMBER!$E$52,"")</f>
        <v/>
      </c>
      <c r="E41" s="330" t="str">
        <f>IF(ISNUMBER(SEPTEMBER!$H$52)=TRUE,SEPTEMBER!$H$52,"")</f>
        <v/>
      </c>
    </row>
    <row r="42" spans="1:5" x14ac:dyDescent="0.25">
      <c r="A42" s="455"/>
      <c r="B42" s="90" t="s">
        <v>61</v>
      </c>
      <c r="C42" s="330" t="str">
        <f>IF(ISNUMBER(OCTOBER!$B$52)=TRUE,OCTOBER!$B$52,"")</f>
        <v/>
      </c>
      <c r="D42" s="330" t="str">
        <f>IF(ISNUMBER(OCTOBER!$E$52)=TRUE,OCTOBER!$E$52,"")</f>
        <v/>
      </c>
      <c r="E42" s="330" t="str">
        <f>IF(ISNUMBER(OCTOBER!$H$52)=TRUE,OCTOBER!$H$52,"")</f>
        <v/>
      </c>
    </row>
    <row r="43" spans="1:5" x14ac:dyDescent="0.25">
      <c r="A43" s="455"/>
      <c r="B43" s="90" t="s">
        <v>62</v>
      </c>
      <c r="C43" s="330" t="str">
        <f>IF(ISNUMBER(NOVEMBER!$B$52)=TRUE,NOVEMBER!$B$52,"")</f>
        <v/>
      </c>
      <c r="D43" s="330" t="str">
        <f>IF(ISNUMBER(NOVEMBER!$E$52)=TRUE,NOVEMBER!$E$52,"")</f>
        <v/>
      </c>
      <c r="E43" s="330" t="str">
        <f>IF(ISNUMBER(NOVEMBER!$H$52)=TRUE,NOVEMBER!$H$52,"")</f>
        <v/>
      </c>
    </row>
    <row r="44" spans="1:5" ht="15.75" thickBot="1" x14ac:dyDescent="0.3">
      <c r="A44" s="455"/>
      <c r="B44" s="92" t="s">
        <v>63</v>
      </c>
      <c r="C44" s="331" t="str">
        <f>IF(ISNUMBER(DECEMBER!$B$52)=TRUE,DECEMBER!$B$52,"")</f>
        <v/>
      </c>
      <c r="D44" s="331" t="str">
        <f>IF(ISNUMBER(DECEMBER!$E$52)=TRUE,DECEMBER!$E$52,"")</f>
        <v/>
      </c>
      <c r="E44" s="331" t="str">
        <f>IF(ISNUMBER(DECEMBER!$H$52)=TRUE,DECEMBER!$H$52,"")</f>
        <v/>
      </c>
    </row>
    <row r="45" spans="1:5" ht="15.75" thickBot="1" x14ac:dyDescent="0.3">
      <c r="A45" s="456"/>
      <c r="B45" s="333" t="s">
        <v>205</v>
      </c>
      <c r="C45" s="332">
        <f>AVERAGE(C33:C44)</f>
        <v>594.99524323562548</v>
      </c>
      <c r="D45" s="332">
        <f>AVERAGE(D33:D44)</f>
        <v>1566.7975443769526</v>
      </c>
      <c r="E45" s="332">
        <f>AVERAGE(E33:E44)</f>
        <v>168.60458618056836</v>
      </c>
    </row>
    <row r="47" spans="1:5" ht="15.75" thickBot="1" x14ac:dyDescent="0.3">
      <c r="C47" s="334" t="s">
        <v>201</v>
      </c>
      <c r="D47" s="334" t="s">
        <v>202</v>
      </c>
      <c r="E47" s="334" t="s">
        <v>203</v>
      </c>
    </row>
    <row r="48" spans="1:5" ht="15" customHeight="1" thickTop="1" x14ac:dyDescent="0.25">
      <c r="A48" s="450" t="s">
        <v>208</v>
      </c>
      <c r="B48" s="338" t="s">
        <v>217</v>
      </c>
      <c r="C48" s="339">
        <f>(JANUARY!B44+FEBRUARY!B44+MARCH!B44+APRIL!B44+MAY!B44+JUNE!B44+JULY!B44+AUGUST!B44+SEPTEMBER!B44+OCTOBER!B44+NOVEMBER!B44+DECEMBER!B44)/$AG$17</f>
        <v>128.94510222494296</v>
      </c>
      <c r="D48" s="340">
        <f>(JANUARY!E44+FEBRUARY!E44+MARCH!E44+APRIL!E44+MAY!E44+JUNE!E44+JULY!E44+AUGUST!E44+SEPTEMBER!E44+OCTOBER!E44+NOVEMBER!E44+DECEMBER!E44)/$AF$17</f>
        <v>8338.9593263127281</v>
      </c>
      <c r="E48" s="341">
        <f>(JANUARY!H44+FEBRUARY!H44+MARCH!H44+APRIL!H44+MAY!H44+JUNE!H44+JULY!H44+AUGUST!H44+SEPTEMBER!H44+OCTOBER!H44+NOVEMBER!H44+DECEMBER!H44)/$AE$17</f>
        <v>123.44583729514291</v>
      </c>
    </row>
    <row r="49" spans="1:5" ht="15" customHeight="1" x14ac:dyDescent="0.25">
      <c r="A49" s="451"/>
      <c r="B49" s="342" t="s">
        <v>209</v>
      </c>
      <c r="C49" s="330">
        <f>(JANUARY!B47+FEBRUARY!B47+MARCH!B47+APRIL!B47+MAY!B47+JUNE!B47+JULY!B47+AUGUST!B47+SEPTEMBER!B47+OCTOBER!B47+NOVEMBER!B47+DECEMBER!B47)/$AG$17</f>
        <v>0</v>
      </c>
      <c r="D49" s="330">
        <f>(JANUARY!E47+FEBRUARY!E47+MARCH!E47+APRIL!E47+MAY!E47+JUNE!E47+JULY!E47+AUGUST!E47+SEPTEMBER!E47+OCTOBER!E47+NOVEMBER!E47+DECEMBER!E47)/$AF$17</f>
        <v>0</v>
      </c>
      <c r="E49" s="343">
        <f>(JANUARY!H47+FEBRUARY!H47+MARCH!H47+APRIL!H47+MAY!H47+JUNE!H47+JULY!H47+AUGUST!H47+SEPTEMBER!H47+OCTOBER!H47+NOVEMBER!H47+DECEMBER!H47)/$AE$17</f>
        <v>0</v>
      </c>
    </row>
    <row r="50" spans="1:5" ht="15" customHeight="1" x14ac:dyDescent="0.25">
      <c r="A50" s="451"/>
      <c r="B50" s="342" t="s">
        <v>210</v>
      </c>
      <c r="C50" s="344">
        <f>C49+C51</f>
        <v>0</v>
      </c>
      <c r="D50" s="344">
        <f>D49+D51</f>
        <v>0</v>
      </c>
      <c r="E50" s="345">
        <f>E49+E51</f>
        <v>0</v>
      </c>
    </row>
    <row r="51" spans="1:5" ht="15" customHeight="1" x14ac:dyDescent="0.25">
      <c r="A51" s="451"/>
      <c r="B51" s="342" t="s">
        <v>211</v>
      </c>
      <c r="C51" s="330">
        <f>(JANUARY!B48+FEBRUARY!B48+MARCH!B48+APRIL!B48+MAY!B48+JUNE!B48+JULY!B48+AUGUST!B48+SEPTEMBER!B48+OCTOBER!B48+NOVEMBER!B48+DECEMBER!B48)/$AG$17</f>
        <v>0</v>
      </c>
      <c r="D51" s="330">
        <f>(JANUARY!E48+FEBRUARY!E48+MARCH!E48+APRIL!E48+MAY!E48+JUNE!E48+JULY!E48+AUGUST!E48+SEPTEMBER!E48+OCTOBER!E48+NOVEMBER!E48+DECEMBER!E48)/$AF$17</f>
        <v>0</v>
      </c>
      <c r="E51" s="343">
        <f>(JANUARY!H48+FEBRUARY!H48+MARCH!H48+APRIL!H48+MAY!H48+JUNE!H48+JULY!H48+AUGUST!H48+SEPTEMBER!H48+OCTOBER!H48+NOVEMBER!H48+DECEMBER!H48)/$AE$17</f>
        <v>0</v>
      </c>
    </row>
    <row r="52" spans="1:5" ht="15" customHeight="1" x14ac:dyDescent="0.25">
      <c r="A52" s="451"/>
      <c r="B52" s="342" t="s">
        <v>212</v>
      </c>
      <c r="C52" s="330">
        <f>(JANUARY!B46+FEBRUARY!B46+MARCH!B46+APRIL!B46+MAY!B46+JUNE!B46+JULY!B46+AUGUST!B46+SEPTEMBER!B46+OCTOBER!B46+NOVEMBER!B46+DECEMBER!B46)/$AG$17</f>
        <v>0</v>
      </c>
      <c r="D52" s="330">
        <f>(JANUARY!E46+FEBRUARY!E46+MARCH!E46+APRIL!E46+MAY!E46+JUNE!E46+JULY!E46+AUGUST!E46+SEPTEMBER!E46+OCTOBER!E46+NOVEMBER!E46+DECEMBER!E46)/$AF$17</f>
        <v>0</v>
      </c>
      <c r="E52" s="343">
        <f>(JANUARY!H46+FEBRUARY!H46+MARCH!H46+APRIL!H46+MAY!H46+JUNE!H46+JULY!H46+AUGUST!H46+SEPTEMBER!H46+OCTOBER!H46+NOVEMBER!H46+DECEMBER!H46)/$AE$17</f>
        <v>0</v>
      </c>
    </row>
    <row r="53" spans="1:5" ht="15" customHeight="1" x14ac:dyDescent="0.25">
      <c r="A53" s="451"/>
      <c r="B53" s="346" t="s">
        <v>213</v>
      </c>
      <c r="C53" s="331">
        <f>(JANUARY!B45+FEBRUARY!B45+MARCH!B45+APRIL!B45+MAY!B45+JUNE!B45+JULY!B45+AUGUST!B45+SEPTEMBER!B45+OCTOBER!B45+NOVEMBER!B45+DECEMBER!B45)/$AG$17</f>
        <v>156.71456311190599</v>
      </c>
      <c r="D53" s="331">
        <f>(JANUARY!E45+FEBRUARY!E45+MARCH!E45+APRIL!E45+MAY!E45+JUNE!E45+JULY!E45+AUGUST!E45+SEPTEMBER!E45+OCTOBER!E45+NOVEMBER!E45+DECEMBER!E45)/$AF$17</f>
        <v>305960.24986668519</v>
      </c>
      <c r="E53" s="347">
        <f>(JANUARY!H45+FEBRUARY!H45+MARCH!H45+APRIL!H45+MAY!H45+JUNE!H45+JULY!H45+AUGUST!H45+SEPTEMBER!H45+OCTOBER!H45+NOVEMBER!H45+DECEMBER!H45)/$AE$17</f>
        <v>68.504140436856659</v>
      </c>
    </row>
    <row r="54" spans="1:5" ht="15" customHeight="1" x14ac:dyDescent="0.25">
      <c r="A54" s="452"/>
      <c r="B54" s="346" t="s">
        <v>218</v>
      </c>
      <c r="C54" s="355">
        <f>(SUM(JANUARY!AJ39:AS39)+SUM(FEBRUARY!AJ39:AS39)+SUM(MARCH!AJ39:AS39)+SUM(APRIL!AJ39:AS39)+SUM(MAY!AJ39:AS39)+SUM(JUNE!AJ39:AS39)+SUM(JULY!AJ39:AS39)+SUM(AUGUST!AJ39:AS39)+SUM(SEPTEMBER!AJ39:AS39)+SUM(OCTOBER!AJ39:AS39)+SUM(NOVEMBER!AJ39:AS39)+SUM(DECEMBER!AJ39:AS39))</f>
        <v>488806.27234409808</v>
      </c>
      <c r="D54" s="355">
        <f>(JANUARY!E45/JANUARY!AJ40+FEBRUARY!E45/FEBRUARY!AJ40+MARCH!E45/MARCH!AJ40+APRIL!E45/APRIL!AJ40+MAY!E45/MAY!AJ40+JUNE!E45/JUNE!AJ40+JULY!E45/JULY!AJ40+AUGUST!E45/AUGUST!AJ40+SEPTEMBER!E45/SEPTEMBER!AJ40+OCTOBER!E45/OCTOBER!AJ40+NOVEMBER!E45/NOVEMBER!AJ40+DECEMBER!E45/DECEMBER!AJ40)</f>
        <v>276101.95028007502</v>
      </c>
      <c r="E54" s="356">
        <f>C54-D54</f>
        <v>212704.32206402306</v>
      </c>
    </row>
    <row r="55" spans="1:5" ht="15" customHeight="1" thickBot="1" x14ac:dyDescent="0.3">
      <c r="A55" s="452"/>
      <c r="B55" s="346" t="s">
        <v>219</v>
      </c>
      <c r="C55" s="357">
        <f>C54/C58</f>
        <v>2353.8203672993714</v>
      </c>
      <c r="D55" s="357">
        <f>D54/D58</f>
        <v>4610562.096133858</v>
      </c>
      <c r="E55" s="358">
        <f>E54/E58</f>
        <v>1024.5617000426278</v>
      </c>
    </row>
    <row r="56" spans="1:5" ht="15" customHeight="1" thickTop="1" x14ac:dyDescent="0.25">
      <c r="A56" s="452"/>
      <c r="B56" s="348" t="s">
        <v>214</v>
      </c>
      <c r="C56" s="349">
        <f>C48+C49+C51+C52+C53</f>
        <v>285.65966533684895</v>
      </c>
      <c r="D56" s="349">
        <f>D48+D49+D51+D52+D53</f>
        <v>314299.20919299789</v>
      </c>
      <c r="E56" s="350">
        <f>E48+E49+E51+E52+E53</f>
        <v>191.94997773199958</v>
      </c>
    </row>
    <row r="57" spans="1:5" ht="15" customHeight="1" x14ac:dyDescent="0.25">
      <c r="A57" s="452"/>
      <c r="B57" s="351" t="s">
        <v>215</v>
      </c>
      <c r="C57" s="352">
        <f>C56/1000</f>
        <v>0.28565966533684894</v>
      </c>
      <c r="D57" s="352">
        <f>D56/1000</f>
        <v>314.29920919299786</v>
      </c>
      <c r="E57" s="353">
        <f>E56/1000</f>
        <v>0.19194997773199959</v>
      </c>
    </row>
    <row r="58" spans="1:5" ht="15" customHeight="1" thickBot="1" x14ac:dyDescent="0.3">
      <c r="A58" s="453"/>
      <c r="B58" s="354" t="s">
        <v>216</v>
      </c>
      <c r="C58" s="402">
        <f>AG17</f>
        <v>207.66507042545661</v>
      </c>
      <c r="D58" s="402">
        <f>AF17</f>
        <v>5.9884661462774276E-2</v>
      </c>
      <c r="E58" s="403">
        <f>AE17</f>
        <v>207.60518576399383</v>
      </c>
    </row>
    <row r="59" spans="1:5" ht="15.75" thickTop="1" x14ac:dyDescent="0.25"/>
  </sheetData>
  <sheetProtection algorithmName="SHA-512" hashValue="9MSSyR6MwsmG8TFDAxLxigBaokdiOfv4HJmmFaEuwG7gkJJwXsQO6XQzQK1Sg1soQ/PQNuhvafFk6WTQ3RdLqQ==" saltValue="AAz+ThVOkHn4ZgL+AAiZpw==" spinCount="100000" sheet="1" objects="1" scenarios="1" selectLockedCells="1" selectUnlockedCells="1"/>
  <mergeCells count="15">
    <mergeCell ref="C1:AK1"/>
    <mergeCell ref="A2:B3"/>
    <mergeCell ref="AH2:AK2"/>
    <mergeCell ref="C2:I2"/>
    <mergeCell ref="J2:O2"/>
    <mergeCell ref="P2:U2"/>
    <mergeCell ref="V2:AB2"/>
    <mergeCell ref="AC2:AD2"/>
    <mergeCell ref="AE2:AG2"/>
    <mergeCell ref="A48:A58"/>
    <mergeCell ref="A33:A45"/>
    <mergeCell ref="A4:A15"/>
    <mergeCell ref="A18:A29"/>
    <mergeCell ref="A1:B1"/>
    <mergeCell ref="A16:B16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36" t="s">
        <v>220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45"/>
  <sheetViews>
    <sheetView topLeftCell="N16" zoomScaleNormal="100" workbookViewId="0">
      <selection activeCell="V30" sqref="V30"/>
    </sheetView>
  </sheetViews>
  <sheetFormatPr defaultRowHeight="15" x14ac:dyDescent="0.25"/>
  <cols>
    <col min="1" max="2" width="12.7109375" customWidth="1"/>
    <col min="3" max="35" width="9.140625" customWidth="1"/>
  </cols>
  <sheetData>
    <row r="1" spans="1:35" ht="21.75" thickBot="1" x14ac:dyDescent="0.3">
      <c r="A1" s="505">
        <v>2021</v>
      </c>
      <c r="B1" s="506"/>
      <c r="C1" s="507" t="s">
        <v>90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9"/>
      <c r="R1" s="509"/>
      <c r="S1" s="509"/>
      <c r="T1" s="509"/>
      <c r="U1" s="509"/>
      <c r="V1" s="509"/>
      <c r="W1" s="509"/>
      <c r="X1" s="509"/>
      <c r="Y1" s="509"/>
      <c r="Z1" s="509"/>
      <c r="AA1" s="509"/>
      <c r="AB1" s="509"/>
      <c r="AC1" s="509"/>
      <c r="AD1" s="509"/>
      <c r="AE1" s="509"/>
      <c r="AF1" s="509"/>
      <c r="AG1" s="509"/>
      <c r="AH1" s="509"/>
      <c r="AI1" s="510"/>
    </row>
    <row r="2" spans="1:35" ht="28.5" customHeight="1" thickBot="1" x14ac:dyDescent="0.3">
      <c r="A2" s="511"/>
      <c r="B2" s="471"/>
      <c r="C2" s="514" t="s">
        <v>66</v>
      </c>
      <c r="D2" s="476"/>
      <c r="E2" s="476"/>
      <c r="F2" s="476"/>
      <c r="G2" s="476"/>
      <c r="H2" s="476"/>
      <c r="I2" s="476"/>
      <c r="J2" s="476"/>
      <c r="K2" s="476"/>
      <c r="L2" s="476"/>
      <c r="M2" s="515"/>
      <c r="N2" s="515"/>
      <c r="O2" s="515"/>
      <c r="P2" s="516"/>
      <c r="Q2" s="517" t="s">
        <v>71</v>
      </c>
      <c r="R2" s="518"/>
      <c r="S2" s="518"/>
      <c r="T2" s="518"/>
      <c r="U2" s="518"/>
      <c r="V2" s="518"/>
      <c r="W2" s="518"/>
      <c r="X2" s="518"/>
      <c r="Y2" s="518"/>
      <c r="Z2" s="518"/>
      <c r="AA2" s="518"/>
      <c r="AB2" s="518"/>
      <c r="AC2" s="519"/>
      <c r="AD2" s="520" t="s">
        <v>83</v>
      </c>
      <c r="AE2" s="521"/>
      <c r="AF2" s="524" t="s">
        <v>232</v>
      </c>
      <c r="AG2" s="525"/>
      <c r="AH2" s="525"/>
      <c r="AI2" s="526"/>
    </row>
    <row r="3" spans="1:35" ht="28.5" customHeight="1" thickBot="1" x14ac:dyDescent="0.3">
      <c r="A3" s="511"/>
      <c r="B3" s="471"/>
      <c r="C3" s="514" t="s">
        <v>91</v>
      </c>
      <c r="D3" s="476"/>
      <c r="E3" s="476"/>
      <c r="F3" s="476"/>
      <c r="G3" s="476"/>
      <c r="H3" s="476"/>
      <c r="I3" s="477"/>
      <c r="J3" s="481" t="s">
        <v>92</v>
      </c>
      <c r="K3" s="482"/>
      <c r="L3" s="483"/>
      <c r="M3" s="530" t="s">
        <v>93</v>
      </c>
      <c r="N3" s="531"/>
      <c r="O3" s="531"/>
      <c r="P3" s="532"/>
      <c r="Q3" s="541" t="s">
        <v>94</v>
      </c>
      <c r="R3" s="479"/>
      <c r="S3" s="479"/>
      <c r="T3" s="479"/>
      <c r="U3" s="479"/>
      <c r="V3" s="480"/>
      <c r="W3" s="481" t="s">
        <v>95</v>
      </c>
      <c r="X3" s="482"/>
      <c r="Y3" s="483"/>
      <c r="Z3" s="530" t="s">
        <v>96</v>
      </c>
      <c r="AA3" s="531"/>
      <c r="AB3" s="531"/>
      <c r="AC3" s="532"/>
      <c r="AD3" s="522"/>
      <c r="AE3" s="523"/>
      <c r="AF3" s="527"/>
      <c r="AG3" s="528"/>
      <c r="AH3" s="528"/>
      <c r="AI3" s="529"/>
    </row>
    <row r="4" spans="1:35" ht="129.75" thickBot="1" x14ac:dyDescent="0.3">
      <c r="A4" s="512"/>
      <c r="B4" s="513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542" t="s">
        <v>99</v>
      </c>
      <c r="B5" s="543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544"/>
      <c r="B6" s="545"/>
      <c r="C6" s="144">
        <f>'Yearly Summary '!$C$17</f>
        <v>0</v>
      </c>
      <c r="D6" s="142">
        <f>'Yearly Summary '!$D$17</f>
        <v>8.6883535722891487</v>
      </c>
      <c r="E6" s="142">
        <f>'Yearly Summary '!$E$17</f>
        <v>0</v>
      </c>
      <c r="F6" s="142">
        <f>'Yearly Summary '!$F$17</f>
        <v>1.8779419591029485</v>
      </c>
      <c r="G6" s="142">
        <f>'Yearly Summary '!$G$17</f>
        <v>0</v>
      </c>
      <c r="H6" s="142">
        <f>'Yearly Summary '!$H$17</f>
        <v>0</v>
      </c>
      <c r="I6" s="142">
        <f>'Yearly Summary '!$I$17</f>
        <v>0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1809.6626679711985</v>
      </c>
      <c r="N6" s="142">
        <f>'Yearly Summary '!$Y$17</f>
        <v>0</v>
      </c>
      <c r="O6" s="142">
        <f>'Yearly Summary '!$AA$17</f>
        <v>0</v>
      </c>
      <c r="P6" s="143">
        <f>('Yearly Summary '!$AB$17)*(1-AI6)</f>
        <v>0</v>
      </c>
      <c r="Q6" s="141">
        <f>'Yearly Summary '!$J$17</f>
        <v>3053.7750793703403</v>
      </c>
      <c r="R6" s="142">
        <f>'Yearly Summary '!$K$17</f>
        <v>8969.3107076740416</v>
      </c>
      <c r="S6" s="142">
        <f>'Yearly Summary '!$L$17</f>
        <v>521.41236268142893</v>
      </c>
      <c r="T6" s="142">
        <f>'Yearly Summary '!$M$17</f>
        <v>0</v>
      </c>
      <c r="U6" s="142">
        <f>'Yearly Summary '!N17</f>
        <v>0</v>
      </c>
      <c r="V6" s="142">
        <f>'Yearly Summary '!O17</f>
        <v>0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4825.1917990546817</v>
      </c>
      <c r="AA6" s="142">
        <f>'Yearly Summary '!$X$17</f>
        <v>772.70160929679889</v>
      </c>
      <c r="AB6" s="142">
        <f>'Yearly Summary '!$Z$17</f>
        <v>3092.937502673467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'!$AH$17</f>
        <v>183.79986015107889</v>
      </c>
      <c r="AG6" s="147">
        <f>'Yearly Summary '!$AI$17</f>
        <v>187.53382582326128</v>
      </c>
      <c r="AH6" s="147">
        <f>'Yearly Summary '!$AJ$17</f>
        <v>0</v>
      </c>
      <c r="AI6" s="148">
        <f>'Yearly Summary '!$AK$17</f>
        <v>1</v>
      </c>
    </row>
    <row r="7" spans="1:35" ht="15" customHeight="1" x14ac:dyDescent="0.25">
      <c r="A7" s="546" t="s">
        <v>103</v>
      </c>
      <c r="B7" s="547"/>
      <c r="C7" s="152">
        <f>(C6*(1.029*8.34)*0.03)/2000</f>
        <v>0</v>
      </c>
      <c r="D7" s="150">
        <f>(D6*(1.4*8.34)*0.38)/2000</f>
        <v>1.9274591098909135E-2</v>
      </c>
      <c r="E7" s="150">
        <f>(E6*(1.54*8.34)*0.5)/2000</f>
        <v>0</v>
      </c>
      <c r="F7" s="150">
        <f>(F6*(1.04*8.34)*1)/2000</f>
        <v>8.1442586882376662E-3</v>
      </c>
      <c r="G7" s="150">
        <f>(G6*(1.055*8.34)*0.005)/2000</f>
        <v>0</v>
      </c>
      <c r="H7" s="150">
        <f>H6/2000</f>
        <v>0</v>
      </c>
      <c r="I7" s="150">
        <f>(I6*(1.135*8.34)*0.35)/2000</f>
        <v>0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0.90483133398559923</v>
      </c>
      <c r="N7" s="150">
        <f>(N6*(0.895*8.34)*0.29)/2000</f>
        <v>0</v>
      </c>
      <c r="O7" s="150">
        <f>(O6*(1.54*8.34)*0.5)/2000</f>
        <v>0</v>
      </c>
      <c r="P7" s="151">
        <f>(P6*(1.135*8.34)*0.35)/2000</f>
        <v>0</v>
      </c>
      <c r="Q7" s="149">
        <f>(Q6*(1.029*8.34)*0.03)/2000</f>
        <v>0.39310605303967722</v>
      </c>
      <c r="R7" s="150">
        <f>(R6*(1.4*8.34)*0.38)/2000</f>
        <v>19.8978776463324</v>
      </c>
      <c r="S7" s="150">
        <f>(S6*(1.04*8.34)*1)/2000</f>
        <v>2.261261134476821</v>
      </c>
      <c r="T7" s="150">
        <f>(T6*(1.135*8.34)*0.35)/2000</f>
        <v>0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2.4125958995273407</v>
      </c>
      <c r="AA7" s="150">
        <f>(AA6*(0.895*8.34)*0.29)/2000</f>
        <v>0.83631311022974386</v>
      </c>
      <c r="AB7" s="150">
        <f>(AB6*(1.54*8.34)*0.5)/2000</f>
        <v>9.9311130273342343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492" t="s">
        <v>233</v>
      </c>
      <c r="AG7" s="493"/>
      <c r="AH7" s="493"/>
      <c r="AI7" s="494"/>
    </row>
    <row r="8" spans="1:35" x14ac:dyDescent="0.25">
      <c r="A8" s="501" t="s">
        <v>104</v>
      </c>
      <c r="B8" s="502"/>
      <c r="C8" s="156" t="e">
        <f>C7/$AH$6</f>
        <v>#DIV/0!</v>
      </c>
      <c r="D8" s="154" t="e">
        <f>D7/$AH$6</f>
        <v>#DIV/0!</v>
      </c>
      <c r="E8" s="154" t="e">
        <f t="shared" ref="E8:P8" si="0">E7/$AH$6</f>
        <v>#DIV/0!</v>
      </c>
      <c r="F8" s="154" t="e">
        <f t="shared" si="0"/>
        <v>#DIV/0!</v>
      </c>
      <c r="G8" s="154" t="e">
        <f t="shared" si="0"/>
        <v>#DIV/0!</v>
      </c>
      <c r="H8" s="154" t="e">
        <f t="shared" si="0"/>
        <v>#DIV/0!</v>
      </c>
      <c r="I8" s="154" t="e">
        <f t="shared" si="0"/>
        <v>#DIV/0!</v>
      </c>
      <c r="J8" s="154" t="e">
        <f t="shared" si="0"/>
        <v>#DIV/0!</v>
      </c>
      <c r="K8" s="154" t="e">
        <f t="shared" si="0"/>
        <v>#DIV/0!</v>
      </c>
      <c r="L8" s="154" t="e">
        <f t="shared" si="0"/>
        <v>#DIV/0!</v>
      </c>
      <c r="M8" s="154" t="e">
        <f t="shared" si="0"/>
        <v>#DIV/0!</v>
      </c>
      <c r="N8" s="154" t="e">
        <f t="shared" si="0"/>
        <v>#DIV/0!</v>
      </c>
      <c r="O8" s="154" t="e">
        <f t="shared" si="0"/>
        <v>#DIV/0!</v>
      </c>
      <c r="P8" s="155" t="e">
        <f t="shared" si="0"/>
        <v>#DIV/0!</v>
      </c>
      <c r="Q8" s="153">
        <f>Q7/$AG$6</f>
        <v>2.0961874547909811E-3</v>
      </c>
      <c r="R8" s="154">
        <f t="shared" ref="R8:AD8" si="1">R7/$AG$6</f>
        <v>0.10610287268967085</v>
      </c>
      <c r="S8" s="154">
        <f t="shared" si="1"/>
        <v>1.2057884088643911E-2</v>
      </c>
      <c r="T8" s="154">
        <f t="shared" si="1"/>
        <v>0</v>
      </c>
      <c r="U8" s="154">
        <f t="shared" si="1"/>
        <v>0</v>
      </c>
      <c r="V8" s="154">
        <f t="shared" si="1"/>
        <v>0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1.2864857254077773E-2</v>
      </c>
      <c r="AA8" s="154">
        <f t="shared" si="1"/>
        <v>4.4595320687261823E-3</v>
      </c>
      <c r="AB8" s="154">
        <f t="shared" si="1"/>
        <v>5.2956382581847809E-2</v>
      </c>
      <c r="AC8" s="155">
        <f t="shared" si="1"/>
        <v>0</v>
      </c>
      <c r="AD8" s="156">
        <f t="shared" si="1"/>
        <v>1.2500103882422361E-2</v>
      </c>
      <c r="AE8" s="154"/>
      <c r="AF8" s="495"/>
      <c r="AG8" s="496"/>
      <c r="AH8" s="496"/>
      <c r="AI8" s="497"/>
    </row>
    <row r="9" spans="1:35" ht="15.75" thickBot="1" x14ac:dyDescent="0.3">
      <c r="A9" s="503" t="s">
        <v>105</v>
      </c>
      <c r="B9" s="504"/>
      <c r="C9" s="219">
        <f t="shared" ref="C9:P9" si="2">C7/$AH$19</f>
        <v>0</v>
      </c>
      <c r="D9" s="157">
        <f t="shared" si="2"/>
        <v>3.7005394129638833E-5</v>
      </c>
      <c r="E9" s="157">
        <f t="shared" si="2"/>
        <v>0</v>
      </c>
      <c r="F9" s="157">
        <f t="shared" si="2"/>
        <v>1.5636207331476268E-5</v>
      </c>
      <c r="G9" s="157">
        <f t="shared" si="2"/>
        <v>0</v>
      </c>
      <c r="H9" s="157">
        <f t="shared" si="2"/>
        <v>0</v>
      </c>
      <c r="I9" s="157">
        <f t="shared" si="2"/>
        <v>0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1.7371906860778495E-3</v>
      </c>
      <c r="N9" s="157">
        <f t="shared" si="2"/>
        <v>0</v>
      </c>
      <c r="O9" s="157">
        <f t="shared" si="2"/>
        <v>0</v>
      </c>
      <c r="P9" s="158">
        <f t="shared" si="2"/>
        <v>0</v>
      </c>
      <c r="Q9" s="159">
        <f t="shared" ref="Q9:AD9" si="3">Q7/$AF$19</f>
        <v>1.2904951916447067E-4</v>
      </c>
      <c r="R9" s="160">
        <f t="shared" si="3"/>
        <v>6.5321088871493158E-3</v>
      </c>
      <c r="S9" s="160">
        <f t="shared" si="3"/>
        <v>7.4233062516614468E-4</v>
      </c>
      <c r="T9" s="160">
        <f t="shared" si="3"/>
        <v>0</v>
      </c>
      <c r="U9" s="160">
        <f t="shared" si="3"/>
        <v>0</v>
      </c>
      <c r="V9" s="160">
        <f t="shared" si="3"/>
        <v>0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7.9201105748618965E-4</v>
      </c>
      <c r="AA9" s="160">
        <f t="shared" si="3"/>
        <v>2.7454628060687272E-4</v>
      </c>
      <c r="AB9" s="160">
        <f t="shared" si="3"/>
        <v>3.2602025612058889E-3</v>
      </c>
      <c r="AC9" s="161">
        <f t="shared" si="3"/>
        <v>0</v>
      </c>
      <c r="AD9" s="162">
        <f t="shared" si="3"/>
        <v>7.6955540967751392E-4</v>
      </c>
      <c r="AE9" s="160"/>
      <c r="AF9" s="498"/>
      <c r="AG9" s="499"/>
      <c r="AH9" s="499"/>
      <c r="AI9" s="500"/>
    </row>
    <row r="10" spans="1:35" ht="15.75" thickBot="1" x14ac:dyDescent="0.3">
      <c r="A10" s="533" t="s">
        <v>106</v>
      </c>
      <c r="B10" s="534"/>
      <c r="C10" s="166">
        <f>'Yearly Summary '!$C$30</f>
        <v>0</v>
      </c>
      <c r="D10" s="164">
        <f>'Yearly Summary '!D30</f>
        <v>12.412836667697485</v>
      </c>
      <c r="E10" s="164">
        <f>'Yearly Summary '!E30</f>
        <v>0</v>
      </c>
      <c r="F10" s="164">
        <f>'Yearly Summary '!F30</f>
        <v>8.3071438620024214</v>
      </c>
      <c r="G10" s="164">
        <f>'Yearly Summary '!G30</f>
        <v>0</v>
      </c>
      <c r="H10" s="164">
        <f>'Yearly Summary '!H30</f>
        <v>0</v>
      </c>
      <c r="I10" s="164">
        <f>'Yearly Summary '!I30</f>
        <v>0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478.65577567838204</v>
      </c>
      <c r="N10" s="164">
        <f>'Yearly Summary '!$Y$30</f>
        <v>0</v>
      </c>
      <c r="O10" s="164">
        <f>'Yearly Summary '!$AA$30</f>
        <v>0</v>
      </c>
      <c r="P10" s="165">
        <f>('Yearly Summary '!$AB$30)*(1-AI6)</f>
        <v>0</v>
      </c>
      <c r="Q10" s="163">
        <f>'Yearly Summary '!J30</f>
        <v>2036.2893547455278</v>
      </c>
      <c r="R10" s="164">
        <f>'Yearly Summary '!K30</f>
        <v>12814.233204238064</v>
      </c>
      <c r="S10" s="164">
        <f>'Yearly Summary '!L30</f>
        <v>2306.4863571663573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1276.2632308499633</v>
      </c>
      <c r="AA10" s="164">
        <f>'Yearly Summary '!$X$30</f>
        <v>664.02390967499764</v>
      </c>
      <c r="AB10" s="164">
        <f>'Yearly Summary '!$Z$30</f>
        <v>6530.6999267749916</v>
      </c>
      <c r="AC10" s="165">
        <f>('Yearly Summary '!$AB$30)*AI6</f>
        <v>0</v>
      </c>
      <c r="AD10" s="166">
        <f>'Yearly Summary '!$AC$30</f>
        <v>650.02199490249166</v>
      </c>
      <c r="AE10" s="164">
        <f>'Yearly Summary '!$AD$30</f>
        <v>0</v>
      </c>
      <c r="AF10" s="167" t="s">
        <v>107</v>
      </c>
      <c r="AG10" s="168">
        <f>'[1]Yearly Summary '!$Q$29</f>
        <v>42.185885911956788</v>
      </c>
      <c r="AH10" s="167" t="s">
        <v>108</v>
      </c>
      <c r="AI10" s="169">
        <f>'[1]Yearly Summary '!$R$29</f>
        <v>89.382557874206555</v>
      </c>
    </row>
    <row r="11" spans="1:35" ht="15.75" thickBot="1" x14ac:dyDescent="0.3">
      <c r="A11" s="216"/>
      <c r="B11" s="217"/>
      <c r="C11" s="537" t="s">
        <v>117</v>
      </c>
      <c r="D11" s="538"/>
      <c r="E11" s="538"/>
      <c r="F11" s="220">
        <f>SUM(C10:P10)</f>
        <v>499.39547244607093</v>
      </c>
      <c r="G11" s="539" t="s">
        <v>118</v>
      </c>
      <c r="H11" s="538"/>
      <c r="I11" s="538"/>
      <c r="J11" s="221">
        <f>SUM(Q10:AE10)</f>
        <v>26278.13658415365</v>
      </c>
      <c r="K11" s="539" t="s">
        <v>119</v>
      </c>
      <c r="L11" s="540"/>
      <c r="M11" s="540">
        <f>SUM(C10:AE10)</f>
        <v>26777.532056599721</v>
      </c>
      <c r="N11" s="548"/>
      <c r="O11" s="549" t="s">
        <v>120</v>
      </c>
      <c r="P11" s="550"/>
      <c r="Q11" s="550"/>
      <c r="R11" s="222">
        <f>($AG$6+$AH$6)/($AG$19+$AI$19)</f>
        <v>5.4587770640552438E-2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599" t="s">
        <v>110</v>
      </c>
      <c r="AG11" s="599" t="s">
        <v>111</v>
      </c>
      <c r="AH11" s="599" t="s">
        <v>112</v>
      </c>
      <c r="AI11" s="599" t="s">
        <v>113</v>
      </c>
    </row>
    <row r="12" spans="1:35" ht="21.75" customHeight="1" thickBot="1" x14ac:dyDescent="0.3">
      <c r="A12" s="505">
        <f>A1+1</f>
        <v>2022</v>
      </c>
      <c r="B12" s="535"/>
      <c r="C12" s="536" t="s">
        <v>109</v>
      </c>
      <c r="D12" s="536"/>
      <c r="E12" s="536"/>
      <c r="F12" s="536"/>
      <c r="G12" s="536"/>
      <c r="H12" s="536"/>
      <c r="I12" s="536"/>
      <c r="J12" s="536"/>
      <c r="K12" s="536"/>
      <c r="L12" s="536"/>
      <c r="M12" s="536"/>
      <c r="N12" s="536"/>
      <c r="O12" s="536"/>
      <c r="P12" s="536"/>
      <c r="Q12" s="536"/>
      <c r="R12" s="536"/>
      <c r="S12" s="509"/>
      <c r="T12" s="509"/>
      <c r="U12" s="509"/>
      <c r="V12" s="509"/>
      <c r="W12" s="509"/>
      <c r="X12" s="509"/>
      <c r="Y12" s="509"/>
      <c r="Z12" s="509"/>
      <c r="AA12" s="509"/>
      <c r="AB12" s="509"/>
      <c r="AC12" s="509"/>
      <c r="AD12" s="509"/>
      <c r="AE12" s="509"/>
      <c r="AF12" s="600"/>
      <c r="AG12" s="600"/>
      <c r="AH12" s="600"/>
      <c r="AI12" s="600"/>
    </row>
    <row r="13" spans="1:35" ht="15" customHeight="1" x14ac:dyDescent="0.25">
      <c r="A13" s="544" t="s">
        <v>114</v>
      </c>
      <c r="B13" s="560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600"/>
      <c r="AG13" s="600"/>
      <c r="AH13" s="600"/>
      <c r="AI13" s="600"/>
    </row>
    <row r="14" spans="1:35" x14ac:dyDescent="0.25">
      <c r="A14" s="544"/>
      <c r="B14" s="560"/>
      <c r="C14" s="141" t="e">
        <f t="shared" ref="C14:P14" si="4">(C6/$AH$6)*$AB$18</f>
        <v>#DIV/0!</v>
      </c>
      <c r="D14" s="142" t="e">
        <f t="shared" si="4"/>
        <v>#DIV/0!</v>
      </c>
      <c r="E14" s="142" t="e">
        <f t="shared" si="4"/>
        <v>#DIV/0!</v>
      </c>
      <c r="F14" s="142" t="e">
        <f t="shared" si="4"/>
        <v>#DIV/0!</v>
      </c>
      <c r="G14" s="142" t="e">
        <f t="shared" si="4"/>
        <v>#DIV/0!</v>
      </c>
      <c r="H14" s="142" t="e">
        <f t="shared" si="4"/>
        <v>#DIV/0!</v>
      </c>
      <c r="I14" s="142" t="e">
        <f t="shared" si="4"/>
        <v>#DIV/0!</v>
      </c>
      <c r="J14" s="142" t="e">
        <f t="shared" si="4"/>
        <v>#DIV/0!</v>
      </c>
      <c r="K14" s="142" t="e">
        <f t="shared" si="4"/>
        <v>#DIV/0!</v>
      </c>
      <c r="L14" s="142" t="e">
        <f t="shared" si="4"/>
        <v>#DIV/0!</v>
      </c>
      <c r="M14" s="142" t="e">
        <f t="shared" si="4"/>
        <v>#DIV/0!</v>
      </c>
      <c r="N14" s="142" t="e">
        <f t="shared" si="4"/>
        <v>#DIV/0!</v>
      </c>
      <c r="O14" s="142" t="e">
        <f t="shared" si="4"/>
        <v>#DIV/0!</v>
      </c>
      <c r="P14" s="143" t="e">
        <f t="shared" si="4"/>
        <v>#DIV/0!</v>
      </c>
      <c r="Q14" s="141">
        <f t="shared" ref="Q14:AE14" si="5">(Q6/$AG$6)*$T$18</f>
        <v>61485.105602726049</v>
      </c>
      <c r="R14" s="142">
        <f t="shared" si="5"/>
        <v>180589.27121728618</v>
      </c>
      <c r="S14" s="142">
        <f t="shared" si="5"/>
        <v>10498.184492567421</v>
      </c>
      <c r="T14" s="142">
        <f t="shared" si="5"/>
        <v>0</v>
      </c>
      <c r="U14" s="142">
        <f t="shared" si="5"/>
        <v>0</v>
      </c>
      <c r="V14" s="142">
        <f t="shared" si="5"/>
        <v>0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97151.040796186237</v>
      </c>
      <c r="AA14" s="142">
        <f t="shared" si="5"/>
        <v>15557.674947300338</v>
      </c>
      <c r="AB14" s="142">
        <f t="shared" si="5"/>
        <v>62273.606939552694</v>
      </c>
      <c r="AC14" s="143">
        <f t="shared" si="5"/>
        <v>0</v>
      </c>
      <c r="AD14" s="144">
        <f t="shared" si="5"/>
        <v>94396.546984837536</v>
      </c>
      <c r="AE14" s="173">
        <f t="shared" si="5"/>
        <v>0</v>
      </c>
      <c r="AF14" s="600"/>
      <c r="AG14" s="600"/>
      <c r="AH14" s="600"/>
      <c r="AI14" s="600"/>
    </row>
    <row r="15" spans="1:35" x14ac:dyDescent="0.25">
      <c r="A15" s="546" t="s">
        <v>115</v>
      </c>
      <c r="B15" s="561"/>
      <c r="C15" s="149" t="e">
        <f t="shared" ref="C15:P15" si="6">C8*$AB$18</f>
        <v>#DIV/0!</v>
      </c>
      <c r="D15" s="150" t="e">
        <f t="shared" si="6"/>
        <v>#DIV/0!</v>
      </c>
      <c r="E15" s="150" t="e">
        <f t="shared" si="6"/>
        <v>#DIV/0!</v>
      </c>
      <c r="F15" s="150" t="e">
        <f t="shared" si="6"/>
        <v>#DIV/0!</v>
      </c>
      <c r="G15" s="150" t="e">
        <f t="shared" si="6"/>
        <v>#DIV/0!</v>
      </c>
      <c r="H15" s="150" t="e">
        <f t="shared" si="6"/>
        <v>#DIV/0!</v>
      </c>
      <c r="I15" s="150" t="e">
        <f t="shared" si="6"/>
        <v>#DIV/0!</v>
      </c>
      <c r="J15" s="150" t="e">
        <f t="shared" si="6"/>
        <v>#DIV/0!</v>
      </c>
      <c r="K15" s="150" t="e">
        <f t="shared" si="6"/>
        <v>#DIV/0!</v>
      </c>
      <c r="L15" s="150" t="e">
        <f t="shared" si="6"/>
        <v>#DIV/0!</v>
      </c>
      <c r="M15" s="150" t="e">
        <f t="shared" si="6"/>
        <v>#DIV/0!</v>
      </c>
      <c r="N15" s="150" t="e">
        <f t="shared" si="6"/>
        <v>#DIV/0!</v>
      </c>
      <c r="O15" s="150" t="e">
        <f t="shared" si="6"/>
        <v>#DIV/0!</v>
      </c>
      <c r="P15" s="151" t="e">
        <f t="shared" si="6"/>
        <v>#DIV/0!</v>
      </c>
      <c r="Q15" s="149">
        <f t="shared" ref="Q15:AD15" si="7">Q8*$T$18</f>
        <v>7.9148485255171588</v>
      </c>
      <c r="R15" s="150">
        <f t="shared" si="7"/>
        <v>400.62646283927626</v>
      </c>
      <c r="S15" s="150">
        <f t="shared" si="7"/>
        <v>45.528526507366387</v>
      </c>
      <c r="T15" s="150">
        <f t="shared" si="7"/>
        <v>0</v>
      </c>
      <c r="U15" s="150">
        <f t="shared" si="7"/>
        <v>0</v>
      </c>
      <c r="V15" s="150">
        <f t="shared" si="7"/>
        <v>0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48.575520398093111</v>
      </c>
      <c r="AA15" s="150">
        <f t="shared" si="7"/>
        <v>16.838437200824416</v>
      </c>
      <c r="AB15" s="150">
        <f t="shared" si="7"/>
        <v>199.95432452220973</v>
      </c>
      <c r="AC15" s="151">
        <f t="shared" si="7"/>
        <v>0</v>
      </c>
      <c r="AD15" s="152">
        <f t="shared" si="7"/>
        <v>47.198273492418771</v>
      </c>
      <c r="AE15" s="174">
        <f>(AE14*(1.029*8.34)*0.03)/2000</f>
        <v>0</v>
      </c>
      <c r="AF15" s="600"/>
      <c r="AG15" s="600"/>
      <c r="AH15" s="600"/>
      <c r="AI15" s="600"/>
    </row>
    <row r="16" spans="1:35" ht="15" customHeight="1" thickBot="1" x14ac:dyDescent="0.3">
      <c r="A16" s="533" t="s">
        <v>116</v>
      </c>
      <c r="B16" s="562"/>
      <c r="C16" s="175" t="e">
        <f>$AI$30*C15</f>
        <v>#DIV/0!</v>
      </c>
      <c r="D16" s="176" t="e">
        <f>$AI$28*D15</f>
        <v>#DIV/0!</v>
      </c>
      <c r="E16" s="176" t="e">
        <f>$AI$31*E15</f>
        <v>#DIV/0!</v>
      </c>
      <c r="F16" s="176" t="e">
        <f>$AI$26*F15</f>
        <v>#DIV/0!</v>
      </c>
      <c r="G16" s="177" t="e">
        <f>$AI$23*G15</f>
        <v>#DIV/0!</v>
      </c>
      <c r="H16" s="177" t="e">
        <f>$AI$24*H15</f>
        <v>#DIV/0!</v>
      </c>
      <c r="I16" s="177" t="e">
        <f>$AI$29*I15</f>
        <v>#DIV/0!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 t="e">
        <f>$AI$27*M15</f>
        <v>#DIV/0!</v>
      </c>
      <c r="N16" s="177" t="e">
        <f>$AI$22*N15</f>
        <v>#DIV/0!</v>
      </c>
      <c r="O16" s="177" t="e">
        <f>$AI$31*O15</f>
        <v>#DIV/0!</v>
      </c>
      <c r="P16" s="178">
        <v>0</v>
      </c>
      <c r="Q16" s="179">
        <f>$AI$30*Q15</f>
        <v>0</v>
      </c>
      <c r="R16" s="177">
        <f>$AI$28*R15</f>
        <v>0</v>
      </c>
      <c r="S16" s="177">
        <f>$AI$26*S15</f>
        <v>46439.097037513711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25696.450290591256</v>
      </c>
      <c r="AA16" s="177">
        <f>$AI$22*AA15</f>
        <v>0</v>
      </c>
      <c r="AB16" s="177">
        <f>$AI$31*AB15</f>
        <v>0</v>
      </c>
      <c r="AC16" s="178">
        <v>0</v>
      </c>
      <c r="AD16" s="180">
        <f>$AI$27*AD15</f>
        <v>24967.886677489529</v>
      </c>
      <c r="AE16" s="181">
        <f>$AI$30*AE15</f>
        <v>0</v>
      </c>
      <c r="AF16" s="600"/>
      <c r="AG16" s="600"/>
      <c r="AH16" s="600"/>
      <c r="AI16" s="600"/>
    </row>
    <row r="17" spans="1:35" ht="15" customHeight="1" thickBot="1" x14ac:dyDescent="0.3">
      <c r="A17" s="563"/>
      <c r="B17" s="564"/>
      <c r="C17" s="565" t="s">
        <v>117</v>
      </c>
      <c r="D17" s="566"/>
      <c r="E17" s="566"/>
      <c r="F17" s="182" t="e">
        <f>SUM(C16:P16)</f>
        <v>#DIV/0!</v>
      </c>
      <c r="G17" s="567" t="s">
        <v>118</v>
      </c>
      <c r="H17" s="566"/>
      <c r="I17" s="566"/>
      <c r="J17" s="183">
        <f>SUM(Q16:AE16)</f>
        <v>97103.434005594492</v>
      </c>
      <c r="K17" s="567" t="s">
        <v>119</v>
      </c>
      <c r="L17" s="568"/>
      <c r="M17" s="569" t="e">
        <f>SUM(C16:AE16)</f>
        <v>#DIV/0!</v>
      </c>
      <c r="N17" s="570"/>
      <c r="O17" s="571"/>
      <c r="P17" s="572"/>
      <c r="Q17" s="572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601"/>
      <c r="AG17" s="601"/>
      <c r="AH17" s="601"/>
      <c r="AI17" s="601"/>
    </row>
    <row r="18" spans="1:35" ht="15" customHeight="1" thickTop="1" thickBot="1" x14ac:dyDescent="0.3">
      <c r="A18" s="185" t="s">
        <v>121</v>
      </c>
      <c r="B18" s="186"/>
      <c r="C18" s="186"/>
      <c r="D18" s="187">
        <v>5001.1000000000004</v>
      </c>
      <c r="E18" s="188" t="s">
        <v>122</v>
      </c>
      <c r="F18" s="189"/>
      <c r="G18" s="189"/>
      <c r="H18" s="190">
        <f>D18*((AF19+AH19)/(AG6+AH6))</f>
        <v>95124.38900921568</v>
      </c>
      <c r="I18" s="191" t="s">
        <v>123</v>
      </c>
      <c r="J18" s="189"/>
      <c r="K18" s="189"/>
      <c r="L18" s="192">
        <v>0.755</v>
      </c>
      <c r="M18" s="191" t="s">
        <v>124</v>
      </c>
      <c r="N18" s="189"/>
      <c r="O18" s="189"/>
      <c r="P18" s="193">
        <f>L18/(1-L18)</f>
        <v>3.0816326530612246</v>
      </c>
      <c r="Q18" s="191" t="s">
        <v>125</v>
      </c>
      <c r="R18" s="189"/>
      <c r="S18" s="189"/>
      <c r="T18" s="190">
        <f>D18*L18</f>
        <v>3775.8305000000005</v>
      </c>
      <c r="U18" s="191" t="s">
        <v>126</v>
      </c>
      <c r="V18" s="189"/>
      <c r="W18" s="189"/>
      <c r="X18" s="190">
        <f>H18*L18</f>
        <v>71818.913701957834</v>
      </c>
      <c r="Y18" s="191" t="s">
        <v>127</v>
      </c>
      <c r="Z18" s="189"/>
      <c r="AA18" s="189"/>
      <c r="AB18" s="190">
        <f>D18-T18</f>
        <v>1225.2694999999999</v>
      </c>
      <c r="AC18" s="191" t="s">
        <v>128</v>
      </c>
      <c r="AD18" s="189"/>
      <c r="AE18" s="194">
        <f>H18-X18</f>
        <v>23305.475307257846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551"/>
      <c r="P19" s="551"/>
      <c r="AF19" s="195">
        <f>'[1]Yearly Summary '!$C$29</f>
        <v>3046.1644149070598</v>
      </c>
      <c r="AG19" s="195">
        <f>AF19-AG10</f>
        <v>3003.9785289951033</v>
      </c>
      <c r="AH19" s="195">
        <f>'[1]Yearly Summary '!$D$29</f>
        <v>520.85895995015176</v>
      </c>
      <c r="AI19" s="195">
        <f>AH19-AI10</f>
        <v>431.4764020759452</v>
      </c>
    </row>
    <row r="20" spans="1:35" ht="15" customHeight="1" x14ac:dyDescent="0.25">
      <c r="A20" s="552">
        <f>A12</f>
        <v>2022</v>
      </c>
      <c r="B20" s="553"/>
      <c r="C20" s="553" t="s">
        <v>129</v>
      </c>
      <c r="D20" s="553"/>
      <c r="E20" s="553"/>
      <c r="F20" s="553"/>
      <c r="G20" s="553"/>
      <c r="H20" s="553"/>
      <c r="I20" s="553"/>
      <c r="J20" s="553" t="s">
        <v>130</v>
      </c>
      <c r="K20" s="553"/>
      <c r="L20" s="553"/>
      <c r="M20" s="553"/>
      <c r="N20" s="553"/>
      <c r="O20" s="553"/>
      <c r="P20" s="554"/>
      <c r="Q20" s="196"/>
      <c r="R20" s="197">
        <f>A1</f>
        <v>2021</v>
      </c>
      <c r="S20" s="555" t="s">
        <v>131</v>
      </c>
      <c r="T20" s="556"/>
      <c r="U20" s="557" t="s">
        <v>132</v>
      </c>
      <c r="V20" s="558"/>
      <c r="W20" s="558"/>
      <c r="X20" s="558"/>
      <c r="Y20" s="559"/>
      <c r="Z20" s="573" t="s">
        <v>133</v>
      </c>
      <c r="AA20" s="574"/>
      <c r="AB20" s="574"/>
      <c r="AC20" s="574"/>
      <c r="AD20" s="575"/>
      <c r="AE20" s="576" t="s">
        <v>134</v>
      </c>
      <c r="AF20" s="577"/>
      <c r="AG20" s="577"/>
      <c r="AH20" s="577"/>
      <c r="AI20" s="578"/>
    </row>
    <row r="21" spans="1:35" ht="15.75" thickBot="1" x14ac:dyDescent="0.3">
      <c r="A21" s="579" t="s">
        <v>135</v>
      </c>
      <c r="B21" s="580"/>
      <c r="C21" s="581" t="s">
        <v>161</v>
      </c>
      <c r="D21" s="581"/>
      <c r="E21" s="581" t="s">
        <v>162</v>
      </c>
      <c r="F21" s="582"/>
      <c r="G21" s="582" t="s">
        <v>163</v>
      </c>
      <c r="H21" s="583"/>
      <c r="I21" s="583"/>
      <c r="J21" s="584" t="s">
        <v>164</v>
      </c>
      <c r="K21" s="584"/>
      <c r="L21" s="585"/>
      <c r="M21" s="584" t="s">
        <v>165</v>
      </c>
      <c r="N21" s="585"/>
      <c r="O21" s="581" t="s">
        <v>136</v>
      </c>
      <c r="P21" s="586"/>
      <c r="Q21" s="196"/>
      <c r="R21" s="587" t="s">
        <v>135</v>
      </c>
      <c r="S21" s="588"/>
      <c r="T21" s="588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590" t="s">
        <v>141</v>
      </c>
      <c r="B22" s="591"/>
      <c r="C22" s="592" t="e">
        <f>N15+AA15</f>
        <v>#DIV/0!</v>
      </c>
      <c r="D22" s="581"/>
      <c r="E22" s="593" t="e">
        <f>N16+AA16</f>
        <v>#DIV/0!</v>
      </c>
      <c r="F22" s="594"/>
      <c r="G22" s="595" t="e">
        <f>(C22*2000)/(8.34*0.895*0.29)</f>
        <v>#DIV/0!</v>
      </c>
      <c r="H22" s="595"/>
      <c r="I22" s="202" t="s">
        <v>142</v>
      </c>
      <c r="J22" s="596" t="e">
        <f>(G22*8.34*0.895)/27000</f>
        <v>#DIV/0!</v>
      </c>
      <c r="K22" s="597"/>
      <c r="L22" s="203" t="s">
        <v>143</v>
      </c>
      <c r="M22" s="598" t="e">
        <f>ROUNDUP(J22,0)</f>
        <v>#DIV/0!</v>
      </c>
      <c r="N22" s="582"/>
      <c r="O22" s="589" t="e">
        <f>((M22*27000)/(8.34*0.895))*$Y$22</f>
        <v>#DIV/0!</v>
      </c>
      <c r="P22" s="586"/>
      <c r="Q22" s="196"/>
      <c r="R22" s="587" t="s">
        <v>141</v>
      </c>
      <c r="S22" s="588"/>
      <c r="T22" s="588"/>
      <c r="U22" s="244" t="s">
        <v>146</v>
      </c>
      <c r="V22" s="359">
        <v>0.112</v>
      </c>
      <c r="W22" s="360"/>
      <c r="X22" s="360"/>
      <c r="Y22" s="249"/>
      <c r="Z22" s="246" t="s">
        <v>142</v>
      </c>
      <c r="AA22" s="205">
        <f>V22*8.34*0.92</f>
        <v>0.85935360000000005</v>
      </c>
      <c r="AB22" s="205">
        <f t="shared" ref="AB22:AD22" si="8">W22*8.34*0.92</f>
        <v>0</v>
      </c>
      <c r="AC22" s="205">
        <f t="shared" si="8"/>
        <v>0</v>
      </c>
      <c r="AD22" s="205">
        <f t="shared" si="8"/>
        <v>0</v>
      </c>
      <c r="AE22" s="206" t="s">
        <v>144</v>
      </c>
      <c r="AF22" s="207">
        <f>(V22/((0.895*8.34)*0.29))*2000</f>
        <v>103.4810756673028</v>
      </c>
      <c r="AG22" s="207">
        <f>(W22/((0.895*8.34)*0.29))*2000</f>
        <v>0</v>
      </c>
      <c r="AH22" s="207">
        <f>(X22/((0.895*8.34)*0.29))*2000</f>
        <v>0</v>
      </c>
      <c r="AI22" s="208">
        <f>(Y22/((0.895*8.34)*0.29))*2000</f>
        <v>0</v>
      </c>
    </row>
    <row r="23" spans="1:35" x14ac:dyDescent="0.25">
      <c r="A23" s="590" t="s">
        <v>145</v>
      </c>
      <c r="B23" s="591"/>
      <c r="C23" s="592" t="e">
        <f>G15+U15+V15</f>
        <v>#DIV/0!</v>
      </c>
      <c r="D23" s="581"/>
      <c r="E23" s="593" t="e">
        <f>G16+U16+V16</f>
        <v>#DIV/0!</v>
      </c>
      <c r="F23" s="594"/>
      <c r="G23" s="595" t="e">
        <f>C23*2000</f>
        <v>#DIV/0!</v>
      </c>
      <c r="H23" s="595"/>
      <c r="I23" s="202" t="s">
        <v>146</v>
      </c>
      <c r="J23" s="596" t="e">
        <f>(G23/(8.34*1.055))/400</f>
        <v>#DIV/0!</v>
      </c>
      <c r="K23" s="597"/>
      <c r="L23" s="203" t="s">
        <v>147</v>
      </c>
      <c r="M23" s="598" t="e">
        <f t="shared" ref="M23:M31" si="9">ROUNDUP(J23,0)</f>
        <v>#DIV/0!</v>
      </c>
      <c r="N23" s="582"/>
      <c r="O23" s="589" t="e">
        <f>(M23*400*8.34*1.055)*$Y$23</f>
        <v>#DIV/0!</v>
      </c>
      <c r="P23" s="586"/>
      <c r="Q23" s="196"/>
      <c r="R23" s="587" t="s">
        <v>145</v>
      </c>
      <c r="S23" s="588"/>
      <c r="T23" s="588"/>
      <c r="U23" s="244" t="s">
        <v>146</v>
      </c>
      <c r="V23" s="361"/>
      <c r="W23" s="362"/>
      <c r="X23" s="362"/>
      <c r="Y23" s="362"/>
      <c r="Z23" s="246" t="s">
        <v>142</v>
      </c>
      <c r="AA23" s="205">
        <f>V23*8.34*0.005</f>
        <v>0</v>
      </c>
      <c r="AB23" s="205">
        <f>W23*8.34*0.005</f>
        <v>0</v>
      </c>
      <c r="AC23" s="205">
        <f>X23*8.34*0.005</f>
        <v>0</v>
      </c>
      <c r="AD23" s="205">
        <f>Y23*8.34*0.005</f>
        <v>0</v>
      </c>
      <c r="AE23" s="206" t="s">
        <v>144</v>
      </c>
      <c r="AF23" s="207">
        <f>V23*2000</f>
        <v>0</v>
      </c>
      <c r="AG23" s="207">
        <f>W23*2000</f>
        <v>0</v>
      </c>
      <c r="AH23" s="207">
        <f>X23*2000</f>
        <v>0</v>
      </c>
      <c r="AI23" s="208">
        <f>Y23*2000</f>
        <v>0</v>
      </c>
    </row>
    <row r="24" spans="1:35" x14ac:dyDescent="0.25">
      <c r="A24" s="590" t="s">
        <v>148</v>
      </c>
      <c r="B24" s="591"/>
      <c r="C24" s="592" t="e">
        <f>H15</f>
        <v>#DIV/0!</v>
      </c>
      <c r="D24" s="581"/>
      <c r="E24" s="593" t="e">
        <f>H16</f>
        <v>#DIV/0!</v>
      </c>
      <c r="F24" s="594"/>
      <c r="G24" s="595" t="e">
        <f>C24</f>
        <v>#DIV/0!</v>
      </c>
      <c r="H24" s="595"/>
      <c r="I24" s="202" t="s">
        <v>149</v>
      </c>
      <c r="J24" s="596" t="e">
        <f>(G24*2000)/40000</f>
        <v>#DIV/0!</v>
      </c>
      <c r="K24" s="597"/>
      <c r="L24" s="203" t="s">
        <v>143</v>
      </c>
      <c r="M24" s="598" t="e">
        <f t="shared" si="9"/>
        <v>#DIV/0!</v>
      </c>
      <c r="N24" s="582"/>
      <c r="O24" s="589" t="e">
        <f>((M24*40000)/2000)*$Y$24</f>
        <v>#DIV/0!</v>
      </c>
      <c r="P24" s="586"/>
      <c r="Q24" s="196"/>
      <c r="R24" s="587" t="s">
        <v>148</v>
      </c>
      <c r="S24" s="588"/>
      <c r="T24" s="588"/>
      <c r="U24" s="244" t="s">
        <v>149</v>
      </c>
      <c r="V24" s="361">
        <v>145.61000000000001</v>
      </c>
      <c r="W24" s="362">
        <v>145.61000000000001</v>
      </c>
      <c r="X24" s="362">
        <v>0</v>
      </c>
      <c r="Y24" s="251">
        <v>0</v>
      </c>
      <c r="Z24" s="246" t="s">
        <v>146</v>
      </c>
      <c r="AA24" s="205">
        <f>V24/2000</f>
        <v>7.2805000000000009E-2</v>
      </c>
      <c r="AB24" s="205">
        <f>W24/2000</f>
        <v>7.2805000000000009E-2</v>
      </c>
      <c r="AC24" s="205">
        <f>X24/2000</f>
        <v>0</v>
      </c>
      <c r="AD24" s="205">
        <f>Y24/2000</f>
        <v>0</v>
      </c>
      <c r="AE24" s="206" t="s">
        <v>144</v>
      </c>
      <c r="AF24" s="207">
        <f>V24</f>
        <v>145.61000000000001</v>
      </c>
      <c r="AG24" s="207">
        <f>W24</f>
        <v>145.61000000000001</v>
      </c>
      <c r="AH24" s="207">
        <f>X24</f>
        <v>0</v>
      </c>
      <c r="AI24" s="207">
        <f>Y24</f>
        <v>0</v>
      </c>
    </row>
    <row r="25" spans="1:35" ht="15.75" customHeight="1" x14ac:dyDescent="0.25">
      <c r="A25" s="590" t="s">
        <v>150</v>
      </c>
      <c r="B25" s="591"/>
      <c r="C25" s="592">
        <f>T15</f>
        <v>0</v>
      </c>
      <c r="D25" s="581"/>
      <c r="E25" s="593">
        <f>T16</f>
        <v>0</v>
      </c>
      <c r="F25" s="594"/>
      <c r="G25" s="595">
        <f>C25*2000</f>
        <v>0</v>
      </c>
      <c r="H25" s="595"/>
      <c r="I25" s="202" t="s">
        <v>151</v>
      </c>
      <c r="J25" s="596">
        <f>G25/45000</f>
        <v>0</v>
      </c>
      <c r="K25" s="597"/>
      <c r="L25" s="203" t="s">
        <v>143</v>
      </c>
      <c r="M25" s="598">
        <f t="shared" si="9"/>
        <v>0</v>
      </c>
      <c r="N25" s="582"/>
      <c r="O25" s="589">
        <f>J25*45000*$Y$25</f>
        <v>0</v>
      </c>
      <c r="P25" s="586"/>
      <c r="Q25" s="196"/>
      <c r="R25" s="587" t="s">
        <v>150</v>
      </c>
      <c r="S25" s="588"/>
      <c r="T25" s="588"/>
      <c r="U25" s="244" t="s">
        <v>151</v>
      </c>
      <c r="V25" s="250"/>
      <c r="W25" s="204"/>
      <c r="X25" s="204"/>
      <c r="Y25" s="251"/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590" t="s">
        <v>152</v>
      </c>
      <c r="B26" s="591"/>
      <c r="C26" s="592" t="e">
        <f>F15+S15</f>
        <v>#DIV/0!</v>
      </c>
      <c r="D26" s="581"/>
      <c r="E26" s="593" t="e">
        <f>F16+S16</f>
        <v>#DIV/0!</v>
      </c>
      <c r="F26" s="594"/>
      <c r="G26" s="595" t="e">
        <f>C26</f>
        <v>#DIV/0!</v>
      </c>
      <c r="H26" s="595"/>
      <c r="I26" s="202" t="s">
        <v>149</v>
      </c>
      <c r="J26" s="596" t="e">
        <f>(G26*2000)/45000</f>
        <v>#DIV/0!</v>
      </c>
      <c r="K26" s="597"/>
      <c r="L26" s="203" t="s">
        <v>143</v>
      </c>
      <c r="M26" s="598" t="e">
        <f t="shared" si="9"/>
        <v>#DIV/0!</v>
      </c>
      <c r="N26" s="582"/>
      <c r="O26" s="589" t="e">
        <f>((M26*45000)/2000)*$Y$26</f>
        <v>#DIV/0!</v>
      </c>
      <c r="P26" s="586"/>
      <c r="Q26" s="196"/>
      <c r="R26" s="587" t="s">
        <v>152</v>
      </c>
      <c r="S26" s="588"/>
      <c r="T26" s="588"/>
      <c r="U26" s="244" t="s">
        <v>149</v>
      </c>
      <c r="V26" s="361">
        <v>1020</v>
      </c>
      <c r="W26" s="362">
        <v>1020</v>
      </c>
      <c r="X26" s="362">
        <v>1020</v>
      </c>
      <c r="Y26" s="251">
        <v>1020</v>
      </c>
      <c r="Z26" s="246" t="s">
        <v>142</v>
      </c>
      <c r="AA26" s="205">
        <f>(V26/2000)*8.34*1.04*1</f>
        <v>4.4235360000000004</v>
      </c>
      <c r="AB26" s="205">
        <f t="shared" ref="AB26:AD26" si="10">(W26/2000)*8.34*1.04*1</f>
        <v>4.4235360000000004</v>
      </c>
      <c r="AC26" s="205">
        <f t="shared" si="10"/>
        <v>4.4235360000000004</v>
      </c>
      <c r="AD26" s="205">
        <f t="shared" si="10"/>
        <v>4.4235360000000004</v>
      </c>
      <c r="AE26" s="206" t="s">
        <v>144</v>
      </c>
      <c r="AF26" s="207">
        <f t="shared" ref="AF26:AI28" si="11">V26</f>
        <v>1020</v>
      </c>
      <c r="AG26" s="207">
        <f t="shared" si="11"/>
        <v>1020</v>
      </c>
      <c r="AH26" s="207">
        <f t="shared" si="11"/>
        <v>1020</v>
      </c>
      <c r="AI26" s="208">
        <f t="shared" si="11"/>
        <v>1020</v>
      </c>
    </row>
    <row r="27" spans="1:35" x14ac:dyDescent="0.25">
      <c r="A27" s="590" t="s">
        <v>153</v>
      </c>
      <c r="B27" s="591"/>
      <c r="C27" s="592" t="e">
        <f>M15+Z15+AD15</f>
        <v>#DIV/0!</v>
      </c>
      <c r="D27" s="581"/>
      <c r="E27" s="593" t="e">
        <f>M16+Z16+AD16</f>
        <v>#DIV/0!</v>
      </c>
      <c r="F27" s="594"/>
      <c r="G27" s="595" t="e">
        <f>C27</f>
        <v>#DIV/0!</v>
      </c>
      <c r="H27" s="595"/>
      <c r="I27" s="202" t="s">
        <v>149</v>
      </c>
      <c r="J27" s="596" t="e">
        <f>G27/8</f>
        <v>#DIV/0!</v>
      </c>
      <c r="K27" s="597"/>
      <c r="L27" s="203" t="s">
        <v>143</v>
      </c>
      <c r="M27" s="598" t="e">
        <f t="shared" si="9"/>
        <v>#DIV/0!</v>
      </c>
      <c r="N27" s="582"/>
      <c r="O27" s="589" t="e">
        <f>M27*8*$Y$27</f>
        <v>#DIV/0!</v>
      </c>
      <c r="P27" s="586"/>
      <c r="Q27" s="196"/>
      <c r="R27" s="587" t="s">
        <v>153</v>
      </c>
      <c r="S27" s="588"/>
      <c r="T27" s="588"/>
      <c r="U27" s="244" t="s">
        <v>149</v>
      </c>
      <c r="V27" s="361">
        <v>529</v>
      </c>
      <c r="W27" s="362">
        <v>529</v>
      </c>
      <c r="X27" s="362">
        <v>529</v>
      </c>
      <c r="Y27" s="251">
        <v>529</v>
      </c>
      <c r="Z27" s="246" t="s">
        <v>146</v>
      </c>
      <c r="AA27" s="205">
        <f>V27/2000</f>
        <v>0.26450000000000001</v>
      </c>
      <c r="AB27" s="205">
        <f>W27/2000</f>
        <v>0.26450000000000001</v>
      </c>
      <c r="AC27" s="205">
        <f>X27/2000</f>
        <v>0.26450000000000001</v>
      </c>
      <c r="AD27" s="205">
        <f>Y27/2000</f>
        <v>0.26450000000000001</v>
      </c>
      <c r="AE27" s="206" t="s">
        <v>144</v>
      </c>
      <c r="AF27" s="207">
        <f t="shared" si="11"/>
        <v>529</v>
      </c>
      <c r="AG27" s="207">
        <f t="shared" si="11"/>
        <v>529</v>
      </c>
      <c r="AH27" s="207">
        <f t="shared" si="11"/>
        <v>529</v>
      </c>
      <c r="AI27" s="208">
        <f t="shared" si="11"/>
        <v>529</v>
      </c>
    </row>
    <row r="28" spans="1:35" x14ac:dyDescent="0.25">
      <c r="A28" s="590" t="s">
        <v>154</v>
      </c>
      <c r="B28" s="591"/>
      <c r="C28" s="592" t="e">
        <f>D15+L15+R15+Y15</f>
        <v>#DIV/0!</v>
      </c>
      <c r="D28" s="581"/>
      <c r="E28" s="593" t="e">
        <f>D16+L16+R16+Y16</f>
        <v>#DIV/0!</v>
      </c>
      <c r="F28" s="594"/>
      <c r="G28" s="595" t="e">
        <f>C28</f>
        <v>#DIV/0!</v>
      </c>
      <c r="H28" s="595"/>
      <c r="I28" s="202" t="s">
        <v>144</v>
      </c>
      <c r="J28" s="596" t="e">
        <f>((G28/0.38)*2000)/45000</f>
        <v>#DIV/0!</v>
      </c>
      <c r="K28" s="597"/>
      <c r="L28" s="203" t="s">
        <v>143</v>
      </c>
      <c r="M28" s="598" t="e">
        <f t="shared" si="9"/>
        <v>#DIV/0!</v>
      </c>
      <c r="N28" s="582"/>
      <c r="O28" s="589" t="e">
        <f>((M28*45000*0.38)/2000)*$Y$28</f>
        <v>#DIV/0!</v>
      </c>
      <c r="P28" s="586"/>
      <c r="Q28" s="196"/>
      <c r="R28" s="587" t="s">
        <v>154</v>
      </c>
      <c r="S28" s="588"/>
      <c r="T28" s="588"/>
      <c r="U28" s="244" t="s">
        <v>144</v>
      </c>
      <c r="V28" s="250">
        <v>644</v>
      </c>
      <c r="W28" s="204">
        <v>0</v>
      </c>
      <c r="X28" s="204">
        <v>0</v>
      </c>
      <c r="Y28" s="251">
        <v>0</v>
      </c>
      <c r="Z28" s="246" t="s">
        <v>142</v>
      </c>
      <c r="AA28" s="205">
        <f>(V28/2000)*8.34*1.4*0.38</f>
        <v>1.4286753599999999</v>
      </c>
      <c r="AB28" s="205">
        <f>(W28/2000)*8.34*1.4*0.38</f>
        <v>0</v>
      </c>
      <c r="AC28" s="205">
        <f>(X28/2000)*8.34*1.4*0.38</f>
        <v>0</v>
      </c>
      <c r="AD28" s="205">
        <f>(Y28/2000)*8.34*1.4*0.38</f>
        <v>0</v>
      </c>
      <c r="AE28" s="206" t="s">
        <v>144</v>
      </c>
      <c r="AF28" s="207">
        <f t="shared" si="11"/>
        <v>644</v>
      </c>
      <c r="AG28" s="207">
        <f t="shared" si="11"/>
        <v>0</v>
      </c>
      <c r="AH28" s="207">
        <f t="shared" si="11"/>
        <v>0</v>
      </c>
      <c r="AI28" s="208">
        <f t="shared" si="11"/>
        <v>0</v>
      </c>
    </row>
    <row r="29" spans="1:35" x14ac:dyDescent="0.25">
      <c r="A29" s="590" t="s">
        <v>155</v>
      </c>
      <c r="B29" s="591"/>
      <c r="C29" s="592" t="e">
        <f>I15</f>
        <v>#DIV/0!</v>
      </c>
      <c r="D29" s="581"/>
      <c r="E29" s="593" t="e">
        <f>I16</f>
        <v>#DIV/0!</v>
      </c>
      <c r="F29" s="594"/>
      <c r="G29" s="595" t="e">
        <f>C29/0.35</f>
        <v>#DIV/0!</v>
      </c>
      <c r="H29" s="595"/>
      <c r="I29" s="202" t="s">
        <v>149</v>
      </c>
      <c r="J29" s="596" t="e">
        <f>(G29*2000)/45000</f>
        <v>#DIV/0!</v>
      </c>
      <c r="K29" s="597"/>
      <c r="L29" s="203" t="s">
        <v>143</v>
      </c>
      <c r="M29" s="598" t="e">
        <f t="shared" si="9"/>
        <v>#DIV/0!</v>
      </c>
      <c r="N29" s="582"/>
      <c r="O29" s="589" t="e">
        <f>((M29*45000)/2000)*$Y$29</f>
        <v>#DIV/0!</v>
      </c>
      <c r="P29" s="586"/>
      <c r="Q29" s="196"/>
      <c r="R29" s="587" t="s">
        <v>155</v>
      </c>
      <c r="S29" s="588"/>
      <c r="T29" s="588"/>
      <c r="U29" s="244" t="s">
        <v>149</v>
      </c>
      <c r="V29" s="250">
        <v>790</v>
      </c>
      <c r="W29" s="204">
        <v>0</v>
      </c>
      <c r="X29" s="204">
        <v>0</v>
      </c>
      <c r="Y29" s="251">
        <v>0</v>
      </c>
      <c r="Z29" s="246" t="s">
        <v>142</v>
      </c>
      <c r="AA29" s="205">
        <f>(V29/2000)*8.34*1.135</f>
        <v>3.7390305000000001</v>
      </c>
      <c r="AB29" s="205">
        <f>(W29/2000)*8.34*1.135</f>
        <v>0</v>
      </c>
      <c r="AC29" s="205">
        <f>(X29/2000)*8.34*1.135</f>
        <v>0</v>
      </c>
      <c r="AD29" s="205">
        <f>(Y29/2000)*8.34*1.135</f>
        <v>0</v>
      </c>
      <c r="AE29" s="206" t="s">
        <v>144</v>
      </c>
      <c r="AF29" s="207">
        <f>V29/0.35</f>
        <v>2257.1428571428573</v>
      </c>
      <c r="AG29" s="207">
        <f>W29/0.35</f>
        <v>0</v>
      </c>
      <c r="AH29" s="207">
        <f>X29/0.35</f>
        <v>0</v>
      </c>
      <c r="AI29" s="208">
        <f>Y29/0.35</f>
        <v>0</v>
      </c>
    </row>
    <row r="30" spans="1:35" x14ac:dyDescent="0.25">
      <c r="A30" s="590" t="s">
        <v>156</v>
      </c>
      <c r="B30" s="591"/>
      <c r="C30" s="592" t="e">
        <f>C15+Q15+AE15</f>
        <v>#DIV/0!</v>
      </c>
      <c r="D30" s="581"/>
      <c r="E30" s="593" t="e">
        <f>C16+Q16+AE16</f>
        <v>#DIV/0!</v>
      </c>
      <c r="F30" s="594"/>
      <c r="G30" s="595" t="e">
        <f>C30*2000</f>
        <v>#DIV/0!</v>
      </c>
      <c r="H30" s="595"/>
      <c r="I30" s="202" t="s">
        <v>151</v>
      </c>
      <c r="J30" s="596" t="e">
        <f>G30/3300</f>
        <v>#DIV/0!</v>
      </c>
      <c r="K30" s="597"/>
      <c r="L30" s="203" t="s">
        <v>157</v>
      </c>
      <c r="M30" s="598" t="e">
        <f t="shared" si="9"/>
        <v>#DIV/0!</v>
      </c>
      <c r="N30" s="582"/>
      <c r="O30" s="589" t="e">
        <f>M30*3300*$Y$30</f>
        <v>#DIV/0!</v>
      </c>
      <c r="P30" s="586"/>
      <c r="Q30" s="196"/>
      <c r="R30" s="587" t="s">
        <v>156</v>
      </c>
      <c r="S30" s="588"/>
      <c r="T30" s="588"/>
      <c r="U30" s="244" t="s">
        <v>151</v>
      </c>
      <c r="V30" s="250">
        <v>2.59</v>
      </c>
      <c r="W30" s="204">
        <v>0</v>
      </c>
      <c r="X30" s="204">
        <v>0</v>
      </c>
      <c r="Y30" s="251">
        <v>0</v>
      </c>
      <c r="Z30" s="246" t="s">
        <v>142</v>
      </c>
      <c r="AA30" s="205">
        <f>(8.34*1.029*0.03)*V30</f>
        <v>0.66681052199999991</v>
      </c>
      <c r="AB30" s="205">
        <f>(8.34*1.029*0.03)*W30</f>
        <v>0</v>
      </c>
      <c r="AC30" s="205">
        <f>(8.34*1.029*0.03)*X30</f>
        <v>0</v>
      </c>
      <c r="AD30" s="205">
        <f>(8.34*1.029*0.03)*Y30</f>
        <v>0</v>
      </c>
      <c r="AE30" s="206" t="s">
        <v>144</v>
      </c>
      <c r="AF30" s="207">
        <f>V30*2000</f>
        <v>5180</v>
      </c>
      <c r="AG30" s="207">
        <f>W30*2000</f>
        <v>0</v>
      </c>
      <c r="AH30" s="207">
        <f>X30*2000</f>
        <v>0</v>
      </c>
      <c r="AI30" s="208">
        <f>Y30*2000</f>
        <v>0</v>
      </c>
    </row>
    <row r="31" spans="1:35" ht="15.75" thickBot="1" x14ac:dyDescent="0.3">
      <c r="A31" s="602" t="s">
        <v>158</v>
      </c>
      <c r="B31" s="603"/>
      <c r="C31" s="604" t="e">
        <f>E15+O15+AB15</f>
        <v>#DIV/0!</v>
      </c>
      <c r="D31" s="605"/>
      <c r="E31" s="606" t="e">
        <f>E16+O16+AB16</f>
        <v>#DIV/0!</v>
      </c>
      <c r="F31" s="607"/>
      <c r="G31" s="608" t="e">
        <f>(C31/0.5)*2000</f>
        <v>#DIV/0!</v>
      </c>
      <c r="H31" s="608"/>
      <c r="I31" s="209" t="s">
        <v>146</v>
      </c>
      <c r="J31" s="609" t="e">
        <f>G31/45000</f>
        <v>#DIV/0!</v>
      </c>
      <c r="K31" s="610"/>
      <c r="L31" s="210" t="s">
        <v>143</v>
      </c>
      <c r="M31" s="611" t="e">
        <f t="shared" si="9"/>
        <v>#DIV/0!</v>
      </c>
      <c r="N31" s="612"/>
      <c r="O31" s="613" t="e">
        <f>M31*45000*$Y$31</f>
        <v>#DIV/0!</v>
      </c>
      <c r="P31" s="614"/>
      <c r="Q31" s="196"/>
      <c r="R31" s="615" t="s">
        <v>158</v>
      </c>
      <c r="S31" s="616"/>
      <c r="T31" s="616"/>
      <c r="U31" s="245" t="s">
        <v>146</v>
      </c>
      <c r="V31" s="446">
        <v>0.16439999999999999</v>
      </c>
      <c r="W31" s="447">
        <v>0.16439999999999999</v>
      </c>
      <c r="X31" s="252">
        <v>0</v>
      </c>
      <c r="Y31" s="337">
        <v>0</v>
      </c>
      <c r="Z31" s="247" t="s">
        <v>142</v>
      </c>
      <c r="AA31" s="211">
        <f>V31*8.34*1.54</f>
        <v>2.1114878399999997</v>
      </c>
      <c r="AB31" s="211">
        <f>W31*8.34*1.54</f>
        <v>2.1114878399999997</v>
      </c>
      <c r="AC31" s="211">
        <f>X31*8.34*1.54</f>
        <v>0</v>
      </c>
      <c r="AD31" s="211">
        <f>Y31*8.34*1.54</f>
        <v>0</v>
      </c>
      <c r="AE31" s="212" t="s">
        <v>144</v>
      </c>
      <c r="AF31" s="213">
        <f>(V31*2000)/0.5</f>
        <v>657.59999999999991</v>
      </c>
      <c r="AG31" s="213">
        <f>(W31*2000)/0.5</f>
        <v>657.59999999999991</v>
      </c>
      <c r="AH31" s="213">
        <f>(X31*2000)/0.5</f>
        <v>0</v>
      </c>
      <c r="AI31" s="214">
        <f>(Y31*2000)/0.5</f>
        <v>0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algorithmName="SHA-512" hashValue="bBmPdm+1QY3O3caqCvYT8EwMuDybZlhAIo60Slu2623DfIluyd4LRv/je+ZpdWQo6RDRu9srL8I2VTS9ZXtpfw==" saltValue="1E3zgWzjsul4DNSqolyxeA==" spinCount="100000" sheet="1" objects="1" scenarios="1" selectLockedCells="1" selectUnlockedCells="1"/>
  <mergeCells count="135"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63"/>
  <sheetViews>
    <sheetView zoomScale="90" zoomScaleNormal="90" workbookViewId="0">
      <selection activeCell="A6" sqref="A6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</row>
    <row r="5" spans="1:49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  <c r="AV5" t="s">
        <v>169</v>
      </c>
      <c r="AW5" s="335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406" t="s">
        <v>28</v>
      </c>
      <c r="AE7" s="406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44197</v>
      </c>
      <c r="B8" s="59"/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59">
        <v>190.83459052244837</v>
      </c>
      <c r="J8" s="60">
        <v>673.65379679997818</v>
      </c>
      <c r="K8" s="60">
        <v>39.75670847694083</v>
      </c>
      <c r="L8" s="60">
        <v>0</v>
      </c>
      <c r="M8" s="50">
        <v>0</v>
      </c>
      <c r="N8" s="61">
        <v>0</v>
      </c>
      <c r="O8" s="49">
        <v>0</v>
      </c>
      <c r="P8" s="60">
        <v>0</v>
      </c>
      <c r="Q8" s="50">
        <v>0</v>
      </c>
      <c r="R8" s="63">
        <v>0</v>
      </c>
      <c r="S8" s="60">
        <v>0</v>
      </c>
      <c r="T8" s="64">
        <v>0</v>
      </c>
      <c r="U8" s="65">
        <v>330.47769404517408</v>
      </c>
      <c r="V8" s="62">
        <v>0</v>
      </c>
      <c r="W8" s="62">
        <v>53.638725312550903</v>
      </c>
      <c r="X8" s="62">
        <v>0</v>
      </c>
      <c r="Y8" s="66">
        <v>240.59232299327869</v>
      </c>
      <c r="Z8" s="66">
        <v>0</v>
      </c>
      <c r="AA8" s="67">
        <v>0</v>
      </c>
      <c r="AB8" s="68">
        <v>68.772472794851183</v>
      </c>
      <c r="AC8" s="69">
        <v>0</v>
      </c>
      <c r="AD8" s="405">
        <v>15.241836070197667</v>
      </c>
      <c r="AE8" s="405">
        <v>0</v>
      </c>
      <c r="AF8" s="69">
        <v>13.364859847889983</v>
      </c>
      <c r="AG8" s="68">
        <v>13.155816691726091</v>
      </c>
      <c r="AH8" s="68">
        <v>0</v>
      </c>
      <c r="AI8" s="68">
        <v>1</v>
      </c>
      <c r="AJ8" s="69">
        <v>278.97053940296172</v>
      </c>
      <c r="AK8" s="69">
        <v>420.00004235903413</v>
      </c>
      <c r="AL8" s="69">
        <v>987.48981997172041</v>
      </c>
      <c r="AM8" s="69">
        <v>367.65545654296875</v>
      </c>
      <c r="AN8" s="69">
        <v>1516.4111022949219</v>
      </c>
      <c r="AO8" s="69">
        <v>2034.3110029856362</v>
      </c>
      <c r="AP8" s="69">
        <v>632.26101085344953</v>
      </c>
      <c r="AQ8" s="69">
        <v>2017.8995964686076</v>
      </c>
      <c r="AR8" s="69">
        <v>246.62148956457779</v>
      </c>
      <c r="AS8" s="69">
        <v>580.2219692548116</v>
      </c>
    </row>
    <row r="9" spans="1:49" x14ac:dyDescent="0.25">
      <c r="A9" s="11">
        <v>44198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204.91997159322077</v>
      </c>
      <c r="J9" s="60">
        <v>636.30250310897975</v>
      </c>
      <c r="K9" s="60">
        <v>37.050185706218159</v>
      </c>
      <c r="L9" s="60">
        <v>0</v>
      </c>
      <c r="M9" s="5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347.66725836859683</v>
      </c>
      <c r="V9" s="62">
        <v>0</v>
      </c>
      <c r="W9" s="62">
        <v>58.204670993487035</v>
      </c>
      <c r="X9" s="62">
        <v>0</v>
      </c>
      <c r="Y9" s="66">
        <v>239.54168734550456</v>
      </c>
      <c r="Z9" s="66">
        <v>0</v>
      </c>
      <c r="AA9" s="67">
        <v>0</v>
      </c>
      <c r="AB9" s="68">
        <v>65.125665373272454</v>
      </c>
      <c r="AC9" s="69">
        <v>0</v>
      </c>
      <c r="AD9" s="404">
        <v>14.396976664322981</v>
      </c>
      <c r="AE9" s="404">
        <v>0</v>
      </c>
      <c r="AF9" s="69">
        <v>14.209689834382791</v>
      </c>
      <c r="AG9" s="68">
        <v>14.00009220475838</v>
      </c>
      <c r="AH9" s="68">
        <v>0</v>
      </c>
      <c r="AI9" s="68">
        <v>1</v>
      </c>
      <c r="AJ9" s="69">
        <v>281.99499556223549</v>
      </c>
      <c r="AK9" s="69">
        <v>418.09082676569608</v>
      </c>
      <c r="AL9" s="69">
        <v>975.66010878880832</v>
      </c>
      <c r="AM9" s="69">
        <v>367.65545654296875</v>
      </c>
      <c r="AN9" s="69">
        <v>1516.4111022949219</v>
      </c>
      <c r="AO9" s="69">
        <v>1986.8144943237298</v>
      </c>
      <c r="AP9" s="69">
        <v>620.74926490783685</v>
      </c>
      <c r="AQ9" s="69">
        <v>2035.0757602691651</v>
      </c>
      <c r="AR9" s="69">
        <v>272.22487327257801</v>
      </c>
      <c r="AS9" s="69">
        <v>581.93208503723145</v>
      </c>
    </row>
    <row r="10" spans="1:49" x14ac:dyDescent="0.25">
      <c r="A10" s="11">
        <v>44199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204.90246308644637</v>
      </c>
      <c r="J10" s="60">
        <v>637.72770264943676</v>
      </c>
      <c r="K10" s="60">
        <v>37.172672927379551</v>
      </c>
      <c r="L10" s="6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342.7297867880896</v>
      </c>
      <c r="V10" s="62">
        <v>0</v>
      </c>
      <c r="W10" s="62">
        <v>56.577978769938056</v>
      </c>
      <c r="X10" s="62">
        <v>0</v>
      </c>
      <c r="Y10" s="66">
        <v>230.89745639165264</v>
      </c>
      <c r="Z10" s="66">
        <v>0</v>
      </c>
      <c r="AA10" s="67">
        <v>0</v>
      </c>
      <c r="AB10" s="68">
        <v>65.150181473626191</v>
      </c>
      <c r="AC10" s="69">
        <v>0</v>
      </c>
      <c r="AD10" s="404">
        <v>14.432667022560867</v>
      </c>
      <c r="AE10" s="404">
        <v>0</v>
      </c>
      <c r="AF10" s="69">
        <v>14.040362315707714</v>
      </c>
      <c r="AG10" s="68">
        <v>13.824738872773494</v>
      </c>
      <c r="AH10" s="68">
        <v>0</v>
      </c>
      <c r="AI10" s="68">
        <v>1</v>
      </c>
      <c r="AJ10" s="69">
        <v>274.67371163368222</v>
      </c>
      <c r="AK10" s="69">
        <v>407.39190767606107</v>
      </c>
      <c r="AL10" s="69">
        <v>895.8854655583699</v>
      </c>
      <c r="AM10" s="69">
        <v>367.65545654296875</v>
      </c>
      <c r="AN10" s="69">
        <v>1516.4111022949219</v>
      </c>
      <c r="AO10" s="69">
        <v>1998.4229469299316</v>
      </c>
      <c r="AP10" s="69">
        <v>615.55455643335983</v>
      </c>
      <c r="AQ10" s="69">
        <v>2038.4296723683674</v>
      </c>
      <c r="AR10" s="69">
        <v>267.47079901695253</v>
      </c>
      <c r="AS10" s="69">
        <v>573.20597375233967</v>
      </c>
    </row>
    <row r="11" spans="1:49" x14ac:dyDescent="0.25">
      <c r="A11" s="11">
        <v>44200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203.89298557440452</v>
      </c>
      <c r="J11" s="60">
        <v>635.65378551483298</v>
      </c>
      <c r="K11" s="60">
        <v>37.000677675008852</v>
      </c>
      <c r="L11" s="6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339.88601666556474</v>
      </c>
      <c r="V11" s="62">
        <v>0</v>
      </c>
      <c r="W11" s="62">
        <v>55.55128836631782</v>
      </c>
      <c r="X11" s="62">
        <v>0</v>
      </c>
      <c r="Y11" s="66">
        <v>229.92225490411124</v>
      </c>
      <c r="Z11" s="66">
        <v>0</v>
      </c>
      <c r="AA11" s="67">
        <v>0</v>
      </c>
      <c r="AB11" s="68">
        <v>65.009265804290749</v>
      </c>
      <c r="AC11" s="69">
        <v>0</v>
      </c>
      <c r="AD11" s="404">
        <v>14.384629456149472</v>
      </c>
      <c r="AE11" s="404">
        <v>0</v>
      </c>
      <c r="AF11" s="69">
        <v>13.921077406406395</v>
      </c>
      <c r="AG11" s="68">
        <v>13.754227276625171</v>
      </c>
      <c r="AH11" s="68">
        <v>0</v>
      </c>
      <c r="AI11" s="68">
        <v>1</v>
      </c>
      <c r="AJ11" s="69">
        <v>261.78613950411477</v>
      </c>
      <c r="AK11" s="69">
        <v>390.0997004350026</v>
      </c>
      <c r="AL11" s="69">
        <v>1037.1394587198893</v>
      </c>
      <c r="AM11" s="69">
        <v>367.65545654296875</v>
      </c>
      <c r="AN11" s="69">
        <v>1516.4111022949219</v>
      </c>
      <c r="AO11" s="69">
        <v>1988.0781295776367</v>
      </c>
      <c r="AP11" s="69">
        <v>604.87014282544453</v>
      </c>
      <c r="AQ11" s="69">
        <v>2119.6744852701822</v>
      </c>
      <c r="AR11" s="69">
        <v>326.50240489641823</v>
      </c>
      <c r="AS11" s="69">
        <v>611.95957361857086</v>
      </c>
    </row>
    <row r="12" spans="1:49" x14ac:dyDescent="0.25">
      <c r="A12" s="11">
        <v>44201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204.31063764095316</v>
      </c>
      <c r="J12" s="60">
        <v>635.23754580815819</v>
      </c>
      <c r="K12" s="60">
        <v>37.331203951438226</v>
      </c>
      <c r="L12" s="6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347.15060354867865</v>
      </c>
      <c r="V12" s="62">
        <v>0</v>
      </c>
      <c r="W12" s="62">
        <v>57.467475652694645</v>
      </c>
      <c r="X12" s="62">
        <v>0</v>
      </c>
      <c r="Y12" s="66">
        <v>230.66062998771665</v>
      </c>
      <c r="Z12" s="66">
        <v>0</v>
      </c>
      <c r="AA12" s="67">
        <v>0</v>
      </c>
      <c r="AB12" s="68">
        <v>65.08329057163705</v>
      </c>
      <c r="AC12" s="69">
        <v>0</v>
      </c>
      <c r="AD12" s="404">
        <v>14.374535934779464</v>
      </c>
      <c r="AE12" s="404">
        <v>0</v>
      </c>
      <c r="AF12" s="69">
        <v>14.154178365071596</v>
      </c>
      <c r="AG12" s="68">
        <v>13.99931749056438</v>
      </c>
      <c r="AH12" s="68">
        <v>0</v>
      </c>
      <c r="AI12" s="68">
        <v>1</v>
      </c>
      <c r="AJ12" s="69">
        <v>257.06841075420374</v>
      </c>
      <c r="AK12" s="69">
        <v>379.1599492232005</v>
      </c>
      <c r="AL12" s="69">
        <v>1053.4982749938965</v>
      </c>
      <c r="AM12" s="69">
        <v>367.65545654296875</v>
      </c>
      <c r="AN12" s="69">
        <v>1516.4111022949219</v>
      </c>
      <c r="AO12" s="69">
        <v>1965.7673474629721</v>
      </c>
      <c r="AP12" s="69">
        <v>596.29735081990555</v>
      </c>
      <c r="AQ12" s="69">
        <v>2077.6804651896155</v>
      </c>
      <c r="AR12" s="69">
        <v>316.09546032746636</v>
      </c>
      <c r="AS12" s="69">
        <v>615.07383012771606</v>
      </c>
    </row>
    <row r="13" spans="1:49" x14ac:dyDescent="0.25">
      <c r="A13" s="11">
        <v>44202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204.36731169223802</v>
      </c>
      <c r="J13" s="60">
        <v>635.12497043609631</v>
      </c>
      <c r="K13" s="60">
        <v>37.477351884047245</v>
      </c>
      <c r="L13" s="6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347.98330436282805</v>
      </c>
      <c r="V13" s="62">
        <v>0</v>
      </c>
      <c r="W13" s="62">
        <v>57.263460024197975</v>
      </c>
      <c r="X13" s="62">
        <v>0</v>
      </c>
      <c r="Y13" s="66">
        <v>228.65197207927716</v>
      </c>
      <c r="Z13" s="66">
        <v>0</v>
      </c>
      <c r="AA13" s="67">
        <v>0</v>
      </c>
      <c r="AB13" s="68">
        <v>65.084138117895435</v>
      </c>
      <c r="AC13" s="69">
        <v>0</v>
      </c>
      <c r="AD13" s="404">
        <v>14.373967496961551</v>
      </c>
      <c r="AE13" s="404">
        <v>0</v>
      </c>
      <c r="AF13" s="69">
        <v>14.02331090370812</v>
      </c>
      <c r="AG13" s="68">
        <v>13.880248380214432</v>
      </c>
      <c r="AH13" s="68">
        <v>0</v>
      </c>
      <c r="AI13" s="68">
        <v>1</v>
      </c>
      <c r="AJ13" s="69">
        <v>275.02704734802245</v>
      </c>
      <c r="AK13" s="69">
        <v>409.81030762990321</v>
      </c>
      <c r="AL13" s="69">
        <v>1000.0457773208618</v>
      </c>
      <c r="AM13" s="69">
        <v>367.65545654296875</v>
      </c>
      <c r="AN13" s="69">
        <v>1516.4111022949219</v>
      </c>
      <c r="AO13" s="69">
        <v>2003.0846500396731</v>
      </c>
      <c r="AP13" s="69">
        <v>655.55283072789518</v>
      </c>
      <c r="AQ13" s="69">
        <v>2016.3402203877763</v>
      </c>
      <c r="AR13" s="69">
        <v>303.930097023646</v>
      </c>
      <c r="AS13" s="69">
        <v>610.34540570576985</v>
      </c>
    </row>
    <row r="14" spans="1:49" x14ac:dyDescent="0.25">
      <c r="A14" s="11">
        <v>44203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207.49731969038655</v>
      </c>
      <c r="J14" s="60">
        <v>635.11234407425081</v>
      </c>
      <c r="K14" s="60">
        <v>37.454611543814345</v>
      </c>
      <c r="L14" s="6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343.61113580068337</v>
      </c>
      <c r="V14" s="62">
        <v>0</v>
      </c>
      <c r="W14" s="62">
        <v>57.459907523791031</v>
      </c>
      <c r="X14" s="62">
        <v>0</v>
      </c>
      <c r="Y14" s="66">
        <v>229.99298153718303</v>
      </c>
      <c r="Z14" s="66">
        <v>0</v>
      </c>
      <c r="AA14" s="67">
        <v>0</v>
      </c>
      <c r="AB14" s="68">
        <v>65.075659714804033</v>
      </c>
      <c r="AC14" s="69">
        <v>0</v>
      </c>
      <c r="AD14" s="404">
        <v>14.370435007923943</v>
      </c>
      <c r="AE14" s="404">
        <v>0</v>
      </c>
      <c r="AF14" s="69">
        <v>14.143118091424297</v>
      </c>
      <c r="AG14" s="68">
        <v>13.974366390460592</v>
      </c>
      <c r="AH14" s="68">
        <v>0</v>
      </c>
      <c r="AI14" s="68">
        <v>1</v>
      </c>
      <c r="AJ14" s="69">
        <v>275.18042866388953</v>
      </c>
      <c r="AK14" s="69">
        <v>410.81341767311091</v>
      </c>
      <c r="AL14" s="69">
        <v>955.28569119771328</v>
      </c>
      <c r="AM14" s="69">
        <v>367.65545654296875</v>
      </c>
      <c r="AN14" s="69">
        <v>1516.4111022949219</v>
      </c>
      <c r="AO14" s="69">
        <v>2014.3990838368734</v>
      </c>
      <c r="AP14" s="69">
        <v>631.81917215983071</v>
      </c>
      <c r="AQ14" s="69">
        <v>2022.7235382080078</v>
      </c>
      <c r="AR14" s="69">
        <v>304.17951900164286</v>
      </c>
      <c r="AS14" s="69">
        <v>611.07583583196026</v>
      </c>
    </row>
    <row r="15" spans="1:49" x14ac:dyDescent="0.25">
      <c r="A15" s="11">
        <v>44204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213.68546765645351</v>
      </c>
      <c r="J15" s="60">
        <v>635.19491408666181</v>
      </c>
      <c r="K15" s="60">
        <v>37.139349067211235</v>
      </c>
      <c r="L15" s="6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331.74121794171236</v>
      </c>
      <c r="V15" s="62">
        <v>0</v>
      </c>
      <c r="W15" s="62">
        <v>55.154762903849338</v>
      </c>
      <c r="X15" s="62">
        <v>0</v>
      </c>
      <c r="Y15" s="66">
        <v>224.15495038032518</v>
      </c>
      <c r="Z15" s="66">
        <v>0</v>
      </c>
      <c r="AA15" s="67">
        <v>0</v>
      </c>
      <c r="AB15" s="68">
        <v>65.091315987374941</v>
      </c>
      <c r="AC15" s="69">
        <v>0</v>
      </c>
      <c r="AD15" s="404">
        <v>14.37513201144318</v>
      </c>
      <c r="AE15" s="404">
        <v>0</v>
      </c>
      <c r="AF15" s="69">
        <v>13.756061199638561</v>
      </c>
      <c r="AG15" s="68">
        <v>13.59525230985663</v>
      </c>
      <c r="AH15" s="68">
        <v>0</v>
      </c>
      <c r="AI15" s="68">
        <v>1</v>
      </c>
      <c r="AJ15" s="69">
        <v>274.82115774949386</v>
      </c>
      <c r="AK15" s="69">
        <v>412.58340603510538</v>
      </c>
      <c r="AL15" s="69">
        <v>943.76997146606448</v>
      </c>
      <c r="AM15" s="69">
        <v>367.65545654296875</v>
      </c>
      <c r="AN15" s="69">
        <v>1516.4111022949219</v>
      </c>
      <c r="AO15" s="69">
        <v>2026.4226622263593</v>
      </c>
      <c r="AP15" s="69">
        <v>632.13633165359499</v>
      </c>
      <c r="AQ15" s="69">
        <v>2024.8738529841105</v>
      </c>
      <c r="AR15" s="69">
        <v>306.45821294784542</v>
      </c>
      <c r="AS15" s="69">
        <v>579.96623620986941</v>
      </c>
    </row>
    <row r="16" spans="1:49" x14ac:dyDescent="0.25">
      <c r="A16" s="11">
        <v>44205</v>
      </c>
      <c r="B16" s="49"/>
      <c r="C16" s="50">
        <v>0</v>
      </c>
      <c r="D16" s="50">
        <v>0</v>
      </c>
      <c r="E16" s="60">
        <v>0</v>
      </c>
      <c r="F16" s="50">
        <v>0</v>
      </c>
      <c r="G16" s="50">
        <v>0</v>
      </c>
      <c r="H16" s="51">
        <v>0</v>
      </c>
      <c r="I16" s="49">
        <v>213.83164642651877</v>
      </c>
      <c r="J16" s="50">
        <v>635.53286307652957</v>
      </c>
      <c r="K16" s="50">
        <v>37.187299789985033</v>
      </c>
      <c r="L16" s="6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327.84370311101424</v>
      </c>
      <c r="V16" s="66">
        <v>0</v>
      </c>
      <c r="W16" s="62">
        <v>54.705809636910651</v>
      </c>
      <c r="X16" s="62">
        <v>0</v>
      </c>
      <c r="Y16" s="66">
        <v>224.92668317159024</v>
      </c>
      <c r="Z16" s="66">
        <v>0</v>
      </c>
      <c r="AA16" s="67">
        <v>0</v>
      </c>
      <c r="AB16" s="68">
        <v>64.821098581950892</v>
      </c>
      <c r="AC16" s="69">
        <v>0</v>
      </c>
      <c r="AD16" s="404">
        <v>14.382297427158633</v>
      </c>
      <c r="AE16" s="404">
        <v>0</v>
      </c>
      <c r="AF16" s="69">
        <v>13.593519547912832</v>
      </c>
      <c r="AG16" s="68">
        <v>13.440042420301561</v>
      </c>
      <c r="AH16" s="68">
        <v>0</v>
      </c>
      <c r="AI16" s="68">
        <v>1</v>
      </c>
      <c r="AJ16" s="69">
        <v>286.99891858100892</v>
      </c>
      <c r="AK16" s="69">
        <v>434.583179918925</v>
      </c>
      <c r="AL16" s="69">
        <v>804.96238485972083</v>
      </c>
      <c r="AM16" s="69">
        <v>396.26369762420654</v>
      </c>
      <c r="AN16" s="69">
        <v>1516.4111022949219</v>
      </c>
      <c r="AO16" s="69">
        <v>2051.3412705739343</v>
      </c>
      <c r="AP16" s="69">
        <v>671.16818060874925</v>
      </c>
      <c r="AQ16" s="69">
        <v>2020.7122073491416</v>
      </c>
      <c r="AR16" s="69">
        <v>329.81924289067581</v>
      </c>
      <c r="AS16" s="69">
        <v>549.55768353144322</v>
      </c>
    </row>
    <row r="17" spans="1:45" x14ac:dyDescent="0.25">
      <c r="A17" s="11">
        <v>44206</v>
      </c>
      <c r="B17" s="59"/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1">
        <v>0</v>
      </c>
      <c r="I17" s="59">
        <v>213.52888650894164</v>
      </c>
      <c r="J17" s="60">
        <v>634.44783379236924</v>
      </c>
      <c r="K17" s="60">
        <v>37.439561998844127</v>
      </c>
      <c r="L17" s="6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336.88855412801195</v>
      </c>
      <c r="V17" s="62">
        <v>0</v>
      </c>
      <c r="W17" s="62">
        <v>56.291203316052787</v>
      </c>
      <c r="X17" s="62">
        <v>0</v>
      </c>
      <c r="Y17" s="66">
        <v>231.77452495892865</v>
      </c>
      <c r="Z17" s="66">
        <v>0</v>
      </c>
      <c r="AA17" s="67">
        <v>0</v>
      </c>
      <c r="AB17" s="68">
        <v>64.421251095666562</v>
      </c>
      <c r="AC17" s="69">
        <v>0</v>
      </c>
      <c r="AD17" s="404">
        <v>14.356698898434374</v>
      </c>
      <c r="AE17" s="404">
        <v>0</v>
      </c>
      <c r="AF17" s="69">
        <v>13.991160891453452</v>
      </c>
      <c r="AG17" s="68">
        <v>13.845197059851266</v>
      </c>
      <c r="AH17" s="68">
        <v>0</v>
      </c>
      <c r="AI17" s="68">
        <v>1</v>
      </c>
      <c r="AJ17" s="69">
        <v>288.82488566239681</v>
      </c>
      <c r="AK17" s="69">
        <v>434.97293155988046</v>
      </c>
      <c r="AL17" s="69">
        <v>938.93932704925521</v>
      </c>
      <c r="AM17" s="69">
        <v>448.59036254882813</v>
      </c>
      <c r="AN17" s="69">
        <v>1516.4111022949219</v>
      </c>
      <c r="AO17" s="69">
        <v>2047.3422552744546</v>
      </c>
      <c r="AP17" s="69">
        <v>664.81768229802447</v>
      </c>
      <c r="AQ17" s="69">
        <v>2057.1813616434733</v>
      </c>
      <c r="AR17" s="69">
        <v>344.19711648623149</v>
      </c>
      <c r="AS17" s="69">
        <v>574.17334079742443</v>
      </c>
    </row>
    <row r="18" spans="1:45" x14ac:dyDescent="0.25">
      <c r="A18" s="11">
        <v>44207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209.77430448532104</v>
      </c>
      <c r="J18" s="60">
        <v>616.46867167154949</v>
      </c>
      <c r="K18" s="60">
        <v>36.172263300418862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329.09110061857757</v>
      </c>
      <c r="V18" s="62">
        <v>0</v>
      </c>
      <c r="W18" s="62">
        <v>55.173340280850724</v>
      </c>
      <c r="X18" s="62">
        <v>0</v>
      </c>
      <c r="Y18" s="66">
        <v>226.69893720149989</v>
      </c>
      <c r="Z18" s="66">
        <v>0</v>
      </c>
      <c r="AA18" s="67">
        <v>0</v>
      </c>
      <c r="AB18" s="68">
        <v>62.656187017759493</v>
      </c>
      <c r="AC18" s="69">
        <v>0</v>
      </c>
      <c r="AD18" s="404">
        <v>13.947272706393615</v>
      </c>
      <c r="AE18" s="404">
        <v>0</v>
      </c>
      <c r="AF18" s="69">
        <v>13.69054820007746</v>
      </c>
      <c r="AG18" s="68">
        <v>13.522136158962583</v>
      </c>
      <c r="AH18" s="68">
        <v>0</v>
      </c>
      <c r="AI18" s="68">
        <v>1</v>
      </c>
      <c r="AJ18" s="69">
        <v>278.28378800551093</v>
      </c>
      <c r="AK18" s="69">
        <v>422.02119894027709</v>
      </c>
      <c r="AL18" s="69">
        <v>880.07589181264245</v>
      </c>
      <c r="AM18" s="69">
        <v>448.59036254882813</v>
      </c>
      <c r="AN18" s="69">
        <v>1516.4111022949219</v>
      </c>
      <c r="AO18" s="69">
        <v>2032.7816790262859</v>
      </c>
      <c r="AP18" s="69">
        <v>635.53524680137627</v>
      </c>
      <c r="AQ18" s="69">
        <v>2038.389215278625</v>
      </c>
      <c r="AR18" s="69">
        <v>337.31911619504302</v>
      </c>
      <c r="AS18" s="69">
        <v>608.15162766774495</v>
      </c>
    </row>
    <row r="19" spans="1:45" x14ac:dyDescent="0.25">
      <c r="A19" s="11">
        <v>44208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116.25211274623867</v>
      </c>
      <c r="J19" s="60">
        <v>372.49180094401021</v>
      </c>
      <c r="K19" s="60">
        <v>22.476611461242062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221.60824900733056</v>
      </c>
      <c r="V19" s="62">
        <v>0</v>
      </c>
      <c r="W19" s="62">
        <v>31.696743142604852</v>
      </c>
      <c r="X19" s="62">
        <v>0</v>
      </c>
      <c r="Y19" s="66">
        <v>130.76840000947308</v>
      </c>
      <c r="Z19" s="66">
        <v>0</v>
      </c>
      <c r="AA19" s="67">
        <v>0</v>
      </c>
      <c r="AB19" s="68">
        <v>37.519975015852374</v>
      </c>
      <c r="AC19" s="69">
        <v>0</v>
      </c>
      <c r="AD19" s="404">
        <v>8.425866616065381</v>
      </c>
      <c r="AE19" s="404">
        <v>0</v>
      </c>
      <c r="AF19" s="69">
        <v>7.9302123496929875</v>
      </c>
      <c r="AG19" s="68">
        <v>7.8277491225417561</v>
      </c>
      <c r="AH19" s="68">
        <v>0</v>
      </c>
      <c r="AI19" s="68">
        <v>1</v>
      </c>
      <c r="AJ19" s="69">
        <v>258.90945611794791</v>
      </c>
      <c r="AK19" s="69">
        <v>392.26586151123047</v>
      </c>
      <c r="AL19" s="69">
        <v>923.88554350535082</v>
      </c>
      <c r="AM19" s="69">
        <v>448.59036254882813</v>
      </c>
      <c r="AN19" s="69">
        <v>1516.4111022949219</v>
      </c>
      <c r="AO19" s="69">
        <v>2001.7970211029058</v>
      </c>
      <c r="AP19" s="69">
        <v>635.23222242991142</v>
      </c>
      <c r="AQ19" s="69">
        <v>1567.4815693537396</v>
      </c>
      <c r="AR19" s="69">
        <v>355.91880313555401</v>
      </c>
      <c r="AS19" s="69">
        <v>602.79227094650264</v>
      </c>
    </row>
    <row r="20" spans="1:45" x14ac:dyDescent="0.25">
      <c r="A20" s="11">
        <v>44209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30.63</v>
      </c>
      <c r="J20" s="60">
        <v>168.41</v>
      </c>
      <c r="K20" s="60">
        <v>10.06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99.43</v>
      </c>
      <c r="V20" s="62">
        <v>0</v>
      </c>
      <c r="W20" s="62">
        <v>15.02</v>
      </c>
      <c r="X20" s="62">
        <v>0</v>
      </c>
      <c r="Y20" s="66">
        <v>60.97</v>
      </c>
      <c r="Z20" s="66">
        <v>0</v>
      </c>
      <c r="AA20" s="67">
        <v>0</v>
      </c>
      <c r="AB20" s="68">
        <v>23.23</v>
      </c>
      <c r="AC20" s="69">
        <v>0</v>
      </c>
      <c r="AD20" s="404">
        <v>4</v>
      </c>
      <c r="AE20" s="404">
        <v>0</v>
      </c>
      <c r="AF20" s="69">
        <v>3.68</v>
      </c>
      <c r="AG20" s="68">
        <v>3.34</v>
      </c>
      <c r="AH20" s="68">
        <v>0</v>
      </c>
      <c r="AI20" s="68">
        <v>1</v>
      </c>
      <c r="AJ20" s="69">
        <v>244.37</v>
      </c>
      <c r="AK20" s="69">
        <v>365.5</v>
      </c>
      <c r="AL20" s="69">
        <v>1038.1600000000001</v>
      </c>
      <c r="AM20" s="69">
        <v>448.59</v>
      </c>
      <c r="AN20" s="69">
        <v>1516.41</v>
      </c>
      <c r="AO20" s="69">
        <v>1973.83</v>
      </c>
      <c r="AP20" s="69">
        <v>609.04</v>
      </c>
      <c r="AQ20" s="69">
        <v>953.16</v>
      </c>
      <c r="AR20" s="69">
        <v>276.68</v>
      </c>
      <c r="AS20" s="69">
        <v>626.42999999999995</v>
      </c>
    </row>
    <row r="21" spans="1:45" x14ac:dyDescent="0.25">
      <c r="A21" s="11">
        <v>44210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11.891130572557529</v>
      </c>
      <c r="AC21" s="69">
        <v>0</v>
      </c>
      <c r="AD21" s="404">
        <v>0</v>
      </c>
      <c r="AE21" s="404">
        <v>0</v>
      </c>
      <c r="AF21" s="69">
        <v>0</v>
      </c>
      <c r="AG21" s="68">
        <v>0</v>
      </c>
      <c r="AH21" s="68">
        <v>0</v>
      </c>
      <c r="AI21" s="68">
        <v>0</v>
      </c>
      <c r="AJ21" s="69">
        <v>270.94089088439944</v>
      </c>
      <c r="AK21" s="69">
        <v>399.40055500666301</v>
      </c>
      <c r="AL21" s="69">
        <v>965.8649536768595</v>
      </c>
      <c r="AM21" s="69">
        <v>448.59036254882813</v>
      </c>
      <c r="AN21" s="69">
        <v>1516.4111022949219</v>
      </c>
      <c r="AO21" s="69">
        <v>1999.5347524007161</v>
      </c>
      <c r="AP21" s="69">
        <v>636.73010749816888</v>
      </c>
      <c r="AQ21" s="69">
        <v>376.40044207572936</v>
      </c>
      <c r="AR21" s="69">
        <v>289.81132198969527</v>
      </c>
      <c r="AS21" s="69">
        <v>592.54455871582047</v>
      </c>
    </row>
    <row r="22" spans="1:45" x14ac:dyDescent="0.25">
      <c r="A22" s="11">
        <v>44211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11.891487850745577</v>
      </c>
      <c r="AC22" s="69">
        <v>0</v>
      </c>
      <c r="AD22" s="404">
        <v>0</v>
      </c>
      <c r="AE22" s="404">
        <v>0</v>
      </c>
      <c r="AF22" s="69">
        <v>0</v>
      </c>
      <c r="AG22" s="68">
        <v>0</v>
      </c>
      <c r="AH22" s="68">
        <v>0</v>
      </c>
      <c r="AI22" s="68">
        <v>0</v>
      </c>
      <c r="AJ22" s="69">
        <v>276.96266208489737</v>
      </c>
      <c r="AK22" s="69">
        <v>420.25037678082776</v>
      </c>
      <c r="AL22" s="69">
        <v>850.6299893697103</v>
      </c>
      <c r="AM22" s="69">
        <v>354.83667184511819</v>
      </c>
      <c r="AN22" s="69">
        <v>1516.4111022949219</v>
      </c>
      <c r="AO22" s="69">
        <v>2015.7283760070802</v>
      </c>
      <c r="AP22" s="69">
        <v>645.88620100021365</v>
      </c>
      <c r="AQ22" s="69">
        <v>394.35361081759135</v>
      </c>
      <c r="AR22" s="69">
        <v>263.14881970882413</v>
      </c>
      <c r="AS22" s="69">
        <v>616.71259028116856</v>
      </c>
    </row>
    <row r="23" spans="1:45" x14ac:dyDescent="0.25">
      <c r="A23" s="11">
        <v>44212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6.3445446199840658</v>
      </c>
      <c r="AC23" s="69">
        <v>0</v>
      </c>
      <c r="AD23" s="404">
        <v>0</v>
      </c>
      <c r="AE23" s="404">
        <v>0</v>
      </c>
      <c r="AF23" s="69">
        <v>0</v>
      </c>
      <c r="AG23" s="68">
        <v>0</v>
      </c>
      <c r="AH23" s="68">
        <v>0</v>
      </c>
      <c r="AI23" s="68">
        <v>0</v>
      </c>
      <c r="AJ23" s="69">
        <v>241.01308960914614</v>
      </c>
      <c r="AK23" s="69">
        <v>372.99895181655876</v>
      </c>
      <c r="AL23" s="69">
        <v>983.58640282948818</v>
      </c>
      <c r="AM23" s="69">
        <v>193.38182830810547</v>
      </c>
      <c r="AN23" s="69">
        <v>1516.4111022949219</v>
      </c>
      <c r="AO23" s="69">
        <v>1966.5500769297287</v>
      </c>
      <c r="AP23" s="69">
        <v>617.14861097335813</v>
      </c>
      <c r="AQ23" s="69">
        <v>399.91553643544518</v>
      </c>
      <c r="AR23" s="69">
        <v>167.81165126164757</v>
      </c>
      <c r="AS23" s="69">
        <v>587.75523192087803</v>
      </c>
    </row>
    <row r="24" spans="1:45" x14ac:dyDescent="0.25">
      <c r="A24" s="11">
        <v>44213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404">
        <v>0</v>
      </c>
      <c r="AE24" s="404">
        <v>0</v>
      </c>
      <c r="AF24" s="69">
        <v>0</v>
      </c>
      <c r="AG24" s="68">
        <v>0</v>
      </c>
      <c r="AH24" s="68">
        <v>0</v>
      </c>
      <c r="AI24" s="68">
        <v>0</v>
      </c>
      <c r="AJ24" s="69">
        <v>236.9661719957987</v>
      </c>
      <c r="AK24" s="69">
        <v>369.08381665547694</v>
      </c>
      <c r="AL24" s="69">
        <v>904.56958427429186</v>
      </c>
      <c r="AM24" s="69">
        <v>193.38182830810547</v>
      </c>
      <c r="AN24" s="69">
        <v>1516.4111022949219</v>
      </c>
      <c r="AO24" s="69">
        <v>1953.6913674672444</v>
      </c>
      <c r="AP24" s="69">
        <v>624.01802401542659</v>
      </c>
      <c r="AQ24" s="69">
        <v>384.48999656041468</v>
      </c>
      <c r="AR24" s="69">
        <v>156.70162825981777</v>
      </c>
      <c r="AS24" s="69">
        <v>572.1414628982543</v>
      </c>
    </row>
    <row r="25" spans="1:45" x14ac:dyDescent="0.25">
      <c r="A25" s="11">
        <v>44214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404">
        <v>0</v>
      </c>
      <c r="AE25" s="404">
        <v>0</v>
      </c>
      <c r="AF25" s="69">
        <v>0</v>
      </c>
      <c r="AG25" s="68">
        <v>0</v>
      </c>
      <c r="AH25" s="68">
        <v>0</v>
      </c>
      <c r="AI25" s="68">
        <v>0</v>
      </c>
      <c r="AJ25" s="69">
        <v>236.28911880652109</v>
      </c>
      <c r="AK25" s="69">
        <v>366.64415160814917</v>
      </c>
      <c r="AL25" s="69">
        <v>968.90036760965995</v>
      </c>
      <c r="AM25" s="69">
        <v>193.38182830810547</v>
      </c>
      <c r="AN25" s="69">
        <v>1336.8350757598878</v>
      </c>
      <c r="AO25" s="69">
        <v>1950.2664583841959</v>
      </c>
      <c r="AP25" s="69">
        <v>622.5350595315299</v>
      </c>
      <c r="AQ25" s="69">
        <v>375.92099776268003</v>
      </c>
      <c r="AR25" s="69">
        <v>157.64423166116083</v>
      </c>
      <c r="AS25" s="69">
        <v>574.20612611770628</v>
      </c>
    </row>
    <row r="26" spans="1:45" x14ac:dyDescent="0.25">
      <c r="A26" s="11">
        <v>44215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72">
        <v>0</v>
      </c>
      <c r="AB26" s="69">
        <v>0</v>
      </c>
      <c r="AC26" s="69">
        <v>0</v>
      </c>
      <c r="AD26" s="404">
        <v>0</v>
      </c>
      <c r="AE26" s="404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249.78054559230802</v>
      </c>
      <c r="AK26" s="69">
        <v>385.48458908398942</v>
      </c>
      <c r="AL26" s="69">
        <v>875.79711360931401</v>
      </c>
      <c r="AM26" s="69">
        <v>193.38182830810547</v>
      </c>
      <c r="AN26" s="69">
        <v>1320.2807006835938</v>
      </c>
      <c r="AO26" s="69">
        <v>1989.0368665059409</v>
      </c>
      <c r="AP26" s="69">
        <v>627.4380192279815</v>
      </c>
      <c r="AQ26" s="69">
        <v>419.17056099573767</v>
      </c>
      <c r="AR26" s="69">
        <v>169.97854432264961</v>
      </c>
      <c r="AS26" s="69">
        <v>597.84608659744265</v>
      </c>
    </row>
    <row r="27" spans="1:45" x14ac:dyDescent="0.25">
      <c r="A27" s="11">
        <v>44216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6">
        <v>0</v>
      </c>
      <c r="Z27" s="66">
        <v>0</v>
      </c>
      <c r="AA27" s="67">
        <v>0</v>
      </c>
      <c r="AB27" s="68">
        <v>0</v>
      </c>
      <c r="AC27" s="69">
        <v>0</v>
      </c>
      <c r="AD27" s="404">
        <v>4.0682720212697983E-2</v>
      </c>
      <c r="AE27" s="404">
        <v>0</v>
      </c>
      <c r="AF27" s="69">
        <v>0</v>
      </c>
      <c r="AG27" s="68">
        <v>0</v>
      </c>
      <c r="AH27" s="68">
        <v>0</v>
      </c>
      <c r="AI27" s="68">
        <v>0</v>
      </c>
      <c r="AJ27" s="69">
        <v>233.66955402692156</v>
      </c>
      <c r="AK27" s="69">
        <v>362.62625439961749</v>
      </c>
      <c r="AL27" s="69">
        <v>971.44888947804759</v>
      </c>
      <c r="AM27" s="69">
        <v>193.38182830810547</v>
      </c>
      <c r="AN27" s="69">
        <v>1320.2807006835938</v>
      </c>
      <c r="AO27" s="69">
        <v>1956.6883843739831</v>
      </c>
      <c r="AP27" s="69">
        <v>612.56985845565794</v>
      </c>
      <c r="AQ27" s="69">
        <v>446.11914258003236</v>
      </c>
      <c r="AR27" s="69">
        <v>145.72689189116161</v>
      </c>
      <c r="AS27" s="69">
        <v>615.97197662989311</v>
      </c>
    </row>
    <row r="28" spans="1:45" x14ac:dyDescent="0.25">
      <c r="A28" s="11">
        <v>44217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404">
        <v>0</v>
      </c>
      <c r="AE28" s="404">
        <v>0</v>
      </c>
      <c r="AF28" s="69">
        <v>0</v>
      </c>
      <c r="AG28" s="68">
        <v>0</v>
      </c>
      <c r="AH28" s="68">
        <v>0</v>
      </c>
      <c r="AI28" s="68">
        <v>0</v>
      </c>
      <c r="AJ28" s="69">
        <v>231.77341862519577</v>
      </c>
      <c r="AK28" s="69">
        <v>354.45436921119688</v>
      </c>
      <c r="AL28" s="69">
        <v>1054.3128234227497</v>
      </c>
      <c r="AM28" s="69">
        <v>193.38182830810547</v>
      </c>
      <c r="AN28" s="69">
        <v>1320.2807006835938</v>
      </c>
      <c r="AO28" s="69">
        <v>1936.9067026774089</v>
      </c>
      <c r="AP28" s="69">
        <v>602.80942878723135</v>
      </c>
      <c r="AQ28" s="69">
        <v>402.02082118988051</v>
      </c>
      <c r="AR28" s="69">
        <v>138.58200103839238</v>
      </c>
      <c r="AS28" s="69">
        <v>582.65093342463172</v>
      </c>
    </row>
    <row r="29" spans="1:45" x14ac:dyDescent="0.25">
      <c r="A29" s="11">
        <v>44218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404">
        <v>0</v>
      </c>
      <c r="AE29" s="404">
        <v>0</v>
      </c>
      <c r="AF29" s="69">
        <v>0</v>
      </c>
      <c r="AG29" s="68">
        <v>0</v>
      </c>
      <c r="AH29" s="68">
        <v>0</v>
      </c>
      <c r="AI29" s="68">
        <v>0</v>
      </c>
      <c r="AJ29" s="69">
        <v>258.75519688924152</v>
      </c>
      <c r="AK29" s="69">
        <v>381.38490295410162</v>
      </c>
      <c r="AL29" s="69">
        <v>1011.9091859817505</v>
      </c>
      <c r="AM29" s="69">
        <v>193.38182830810547</v>
      </c>
      <c r="AN29" s="69">
        <v>1320.2807006835938</v>
      </c>
      <c r="AO29" s="69">
        <v>1944.8444062550866</v>
      </c>
      <c r="AP29" s="69">
        <v>611.8554960886637</v>
      </c>
      <c r="AQ29" s="69">
        <v>394.25373452504471</v>
      </c>
      <c r="AR29" s="69">
        <v>153.60337379376091</v>
      </c>
      <c r="AS29" s="69">
        <v>574.68095423380532</v>
      </c>
    </row>
    <row r="30" spans="1:45" x14ac:dyDescent="0.25">
      <c r="A30" s="11">
        <v>44219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404">
        <v>0</v>
      </c>
      <c r="AE30" s="404">
        <v>0</v>
      </c>
      <c r="AF30" s="69">
        <v>0</v>
      </c>
      <c r="AG30" s="68">
        <v>0</v>
      </c>
      <c r="AH30" s="68">
        <v>0</v>
      </c>
      <c r="AI30" s="68">
        <v>0</v>
      </c>
      <c r="AJ30" s="69">
        <v>242.11716531912487</v>
      </c>
      <c r="AK30" s="69">
        <v>367.2966747919719</v>
      </c>
      <c r="AL30" s="69">
        <v>860.23587379455569</v>
      </c>
      <c r="AM30" s="69">
        <v>193.38182830810547</v>
      </c>
      <c r="AN30" s="69">
        <v>1320.2807006835938</v>
      </c>
      <c r="AO30" s="69">
        <v>1928.1261497497558</v>
      </c>
      <c r="AP30" s="69">
        <v>579.05801839828496</v>
      </c>
      <c r="AQ30" s="69">
        <v>394.01181329091384</v>
      </c>
      <c r="AR30" s="69">
        <v>148.5197483023008</v>
      </c>
      <c r="AS30" s="69">
        <v>563.71308495203652</v>
      </c>
    </row>
    <row r="31" spans="1:45" x14ac:dyDescent="0.25">
      <c r="A31" s="11">
        <v>44220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404">
        <v>0</v>
      </c>
      <c r="AE31" s="404">
        <v>0</v>
      </c>
      <c r="AF31" s="69">
        <v>0</v>
      </c>
      <c r="AG31" s="68">
        <v>0</v>
      </c>
      <c r="AH31" s="68">
        <v>0</v>
      </c>
      <c r="AI31" s="68">
        <v>0</v>
      </c>
      <c r="AJ31" s="69">
        <v>250.50041282176969</v>
      </c>
      <c r="AK31" s="69">
        <v>381.18420956929532</v>
      </c>
      <c r="AL31" s="69">
        <v>833.39250103632605</v>
      </c>
      <c r="AM31" s="69">
        <v>193.38182830810547</v>
      </c>
      <c r="AN31" s="69">
        <v>1320.2807006835938</v>
      </c>
      <c r="AO31" s="69">
        <v>1932.0219464619954</v>
      </c>
      <c r="AP31" s="69">
        <v>607.0884297529858</v>
      </c>
      <c r="AQ31" s="69">
        <v>424.80201609929401</v>
      </c>
      <c r="AR31" s="69">
        <v>159.44730353752777</v>
      </c>
      <c r="AS31" s="69">
        <v>573.18105586369836</v>
      </c>
    </row>
    <row r="32" spans="1:45" x14ac:dyDescent="0.25">
      <c r="A32" s="11">
        <v>44221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404">
        <v>0</v>
      </c>
      <c r="AE32" s="404">
        <v>0</v>
      </c>
      <c r="AF32" s="69">
        <v>0</v>
      </c>
      <c r="AG32" s="68">
        <v>0</v>
      </c>
      <c r="AH32" s="68">
        <v>0</v>
      </c>
      <c r="AI32" s="68">
        <v>0</v>
      </c>
      <c r="AJ32" s="69">
        <v>270.55471200942998</v>
      </c>
      <c r="AK32" s="69">
        <v>410.12570899327591</v>
      </c>
      <c r="AL32" s="69">
        <v>815.25533571243295</v>
      </c>
      <c r="AM32" s="69">
        <v>193.38182830810547</v>
      </c>
      <c r="AN32" s="69">
        <v>1320.2807006835938</v>
      </c>
      <c r="AO32" s="69">
        <v>1965.2390226999921</v>
      </c>
      <c r="AP32" s="69">
        <v>605.97653754552209</v>
      </c>
      <c r="AQ32" s="69">
        <v>377.88825418154397</v>
      </c>
      <c r="AR32" s="69">
        <v>173.29426787694294</v>
      </c>
      <c r="AS32" s="69">
        <v>602.93107852935782</v>
      </c>
    </row>
    <row r="33" spans="1:45" x14ac:dyDescent="0.25">
      <c r="A33" s="11">
        <v>44222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404">
        <v>0</v>
      </c>
      <c r="AE33" s="404">
        <v>0</v>
      </c>
      <c r="AF33" s="69">
        <v>0</v>
      </c>
      <c r="AG33" s="68">
        <v>0</v>
      </c>
      <c r="AH33" s="68">
        <v>0</v>
      </c>
      <c r="AI33" s="68">
        <v>0</v>
      </c>
      <c r="AJ33" s="69">
        <v>304.66736979484557</v>
      </c>
      <c r="AK33" s="69">
        <v>460.91060611406959</v>
      </c>
      <c r="AL33" s="69">
        <v>837.74669666290288</v>
      </c>
      <c r="AM33" s="69">
        <v>187.78639206886291</v>
      </c>
      <c r="AN33" s="69">
        <v>1320.2807006835938</v>
      </c>
      <c r="AO33" s="69">
        <v>2072.0189215342198</v>
      </c>
      <c r="AP33" s="69">
        <v>800.13507897059128</v>
      </c>
      <c r="AQ33" s="69">
        <v>392.64576862653098</v>
      </c>
      <c r="AR33" s="69">
        <v>193.41924617687863</v>
      </c>
      <c r="AS33" s="69">
        <v>605.79447313944513</v>
      </c>
    </row>
    <row r="34" spans="1:45" x14ac:dyDescent="0.25">
      <c r="A34" s="11">
        <v>44223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404">
        <v>0</v>
      </c>
      <c r="AE34" s="404">
        <v>0</v>
      </c>
      <c r="AF34" s="69">
        <v>0</v>
      </c>
      <c r="AG34" s="68">
        <v>0</v>
      </c>
      <c r="AH34" s="68">
        <v>0</v>
      </c>
      <c r="AI34" s="68">
        <v>0</v>
      </c>
      <c r="AJ34" s="69">
        <v>292.18318573633832</v>
      </c>
      <c r="AK34" s="69">
        <v>440.12141772906</v>
      </c>
      <c r="AL34" s="69">
        <v>845.05171330769838</v>
      </c>
      <c r="AM34" s="69">
        <v>184.4091911315918</v>
      </c>
      <c r="AN34" s="69">
        <v>1320.2807006835938</v>
      </c>
      <c r="AO34" s="69">
        <v>2033.541347630819</v>
      </c>
      <c r="AP34" s="69">
        <v>697.27789832750955</v>
      </c>
      <c r="AQ34" s="69">
        <v>392.11382304827379</v>
      </c>
      <c r="AR34" s="69">
        <v>187.97714860836666</v>
      </c>
      <c r="AS34" s="69">
        <v>631.63259251912427</v>
      </c>
    </row>
    <row r="35" spans="1:45" x14ac:dyDescent="0.25">
      <c r="A35" s="11">
        <v>44224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404">
        <v>0</v>
      </c>
      <c r="AE35" s="404">
        <v>0</v>
      </c>
      <c r="AF35" s="69">
        <v>0</v>
      </c>
      <c r="AG35" s="68">
        <v>0</v>
      </c>
      <c r="AH35" s="68">
        <v>0</v>
      </c>
      <c r="AI35" s="68">
        <v>0</v>
      </c>
      <c r="AJ35" s="69">
        <v>262.80114663441981</v>
      </c>
      <c r="AK35" s="69">
        <v>388.38354256947832</v>
      </c>
      <c r="AL35" s="69">
        <v>890.66409060160322</v>
      </c>
      <c r="AM35" s="69">
        <v>184.4091911315918</v>
      </c>
      <c r="AN35" s="69">
        <v>1449.6047707875568</v>
      </c>
      <c r="AO35" s="69">
        <v>2042.0134318033856</v>
      </c>
      <c r="AP35" s="69">
        <v>672.17339436213172</v>
      </c>
      <c r="AQ35" s="69">
        <v>380.97626204490666</v>
      </c>
      <c r="AR35" s="69">
        <v>148.35922727187474</v>
      </c>
      <c r="AS35" s="69">
        <v>631.33789621988944</v>
      </c>
    </row>
    <row r="36" spans="1:45" x14ac:dyDescent="0.25">
      <c r="A36" s="11">
        <v>44225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599.71131528219121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486.26830700768596</v>
      </c>
      <c r="AC36" s="69">
        <v>0</v>
      </c>
      <c r="AD36" s="404">
        <v>0</v>
      </c>
      <c r="AE36" s="404">
        <v>0</v>
      </c>
      <c r="AF36" s="69">
        <v>0</v>
      </c>
      <c r="AG36" s="68">
        <v>0</v>
      </c>
      <c r="AH36" s="68">
        <v>0</v>
      </c>
      <c r="AI36" s="68">
        <v>0</v>
      </c>
      <c r="AJ36" s="69">
        <v>253.2832421143849</v>
      </c>
      <c r="AK36" s="69">
        <v>372.84902076721187</v>
      </c>
      <c r="AL36" s="69">
        <v>939.54118731816607</v>
      </c>
      <c r="AM36" s="69">
        <v>184.4091911315918</v>
      </c>
      <c r="AN36" s="69">
        <v>1616.6325073242188</v>
      </c>
      <c r="AO36" s="69">
        <v>1996.7224745432534</v>
      </c>
      <c r="AP36" s="69">
        <v>601.59772814114888</v>
      </c>
      <c r="AQ36" s="69">
        <v>391.70478189786269</v>
      </c>
      <c r="AR36" s="69">
        <v>125.92527165015539</v>
      </c>
      <c r="AS36" s="69">
        <v>649.94466864267974</v>
      </c>
    </row>
    <row r="37" spans="1:45" x14ac:dyDescent="0.25">
      <c r="A37" s="11">
        <v>44226</v>
      </c>
      <c r="B37" s="65"/>
      <c r="C37" s="382">
        <v>0</v>
      </c>
      <c r="D37" s="382">
        <v>0</v>
      </c>
      <c r="E37" s="60">
        <v>0</v>
      </c>
      <c r="F37" s="382">
        <v>0</v>
      </c>
      <c r="G37" s="382">
        <v>0</v>
      </c>
      <c r="H37" s="392">
        <v>0</v>
      </c>
      <c r="I37" s="381">
        <v>0</v>
      </c>
      <c r="J37" s="382">
        <v>0</v>
      </c>
      <c r="K37" s="382">
        <v>0</v>
      </c>
      <c r="L37" s="60">
        <v>0</v>
      </c>
      <c r="M37" s="382">
        <v>0</v>
      </c>
      <c r="N37" s="392">
        <v>0</v>
      </c>
      <c r="O37" s="381">
        <v>0</v>
      </c>
      <c r="P37" s="382">
        <v>0</v>
      </c>
      <c r="Q37" s="382">
        <v>0</v>
      </c>
      <c r="R37" s="393">
        <v>0</v>
      </c>
      <c r="S37" s="382">
        <v>0</v>
      </c>
      <c r="T37" s="394">
        <v>0</v>
      </c>
      <c r="U37" s="395">
        <v>0</v>
      </c>
      <c r="V37" s="81">
        <v>599.72184172736354</v>
      </c>
      <c r="W37" s="81">
        <v>0</v>
      </c>
      <c r="X37" s="81">
        <v>0</v>
      </c>
      <c r="Y37" s="80">
        <v>0</v>
      </c>
      <c r="Z37" s="80">
        <v>0</v>
      </c>
      <c r="AA37" s="82">
        <v>0</v>
      </c>
      <c r="AB37" s="396">
        <v>486.18934972551943</v>
      </c>
      <c r="AC37" s="85">
        <v>0</v>
      </c>
      <c r="AD37" s="404">
        <v>0</v>
      </c>
      <c r="AE37" s="404">
        <v>0</v>
      </c>
      <c r="AF37" s="85">
        <v>0</v>
      </c>
      <c r="AG37" s="396">
        <v>0</v>
      </c>
      <c r="AH37" s="396">
        <v>0</v>
      </c>
      <c r="AI37" s="396">
        <v>0</v>
      </c>
      <c r="AJ37" s="85">
        <v>256.03399562835693</v>
      </c>
      <c r="AK37" s="85">
        <v>376.42991959253953</v>
      </c>
      <c r="AL37" s="85">
        <v>885.09981470108039</v>
      </c>
      <c r="AM37" s="85">
        <v>184.4091911315918</v>
      </c>
      <c r="AN37" s="85">
        <v>1616.6325073242188</v>
      </c>
      <c r="AO37" s="85">
        <v>1952.6181091308595</v>
      </c>
      <c r="AP37" s="85">
        <v>576.20490369796755</v>
      </c>
      <c r="AQ37" s="85">
        <v>391.95118484497073</v>
      </c>
      <c r="AR37" s="85">
        <v>137.45574921766917</v>
      </c>
      <c r="AS37" s="85">
        <v>559.63166116078696</v>
      </c>
    </row>
    <row r="38" spans="1:45" ht="15.75" thickBot="1" x14ac:dyDescent="0.3">
      <c r="A38" s="11">
        <v>44227</v>
      </c>
      <c r="B38" s="73"/>
      <c r="C38" s="74">
        <v>0</v>
      </c>
      <c r="D38" s="74">
        <v>0</v>
      </c>
      <c r="E38" s="60">
        <v>0</v>
      </c>
      <c r="F38" s="74">
        <v>0</v>
      </c>
      <c r="G38" s="74">
        <v>0</v>
      </c>
      <c r="H38" s="75">
        <v>0</v>
      </c>
      <c r="I38" s="76">
        <v>0</v>
      </c>
      <c r="J38" s="74">
        <v>0</v>
      </c>
      <c r="K38" s="74">
        <v>0</v>
      </c>
      <c r="L38" s="60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0</v>
      </c>
      <c r="V38" s="80">
        <v>599.72127988603916</v>
      </c>
      <c r="W38" s="81">
        <v>0</v>
      </c>
      <c r="X38" s="81">
        <v>0</v>
      </c>
      <c r="Y38" s="80">
        <v>0</v>
      </c>
      <c r="Z38" s="80">
        <v>0</v>
      </c>
      <c r="AA38" s="82">
        <v>0</v>
      </c>
      <c r="AB38" s="83">
        <v>486.18899642097074</v>
      </c>
      <c r="AC38" s="84">
        <v>0</v>
      </c>
      <c r="AD38" s="404">
        <v>0</v>
      </c>
      <c r="AE38" s="404">
        <v>0</v>
      </c>
      <c r="AF38" s="85">
        <v>0</v>
      </c>
      <c r="AG38" s="83">
        <v>0</v>
      </c>
      <c r="AH38" s="83">
        <v>0</v>
      </c>
      <c r="AI38" s="83">
        <v>0</v>
      </c>
      <c r="AJ38" s="84">
        <v>259.57703272501629</v>
      </c>
      <c r="AK38" s="84">
        <v>384.05490986506146</v>
      </c>
      <c r="AL38" s="84">
        <v>900.95955842336014</v>
      </c>
      <c r="AM38" s="84">
        <v>184.4091911315918</v>
      </c>
      <c r="AN38" s="84">
        <v>1616.6325073242188</v>
      </c>
      <c r="AO38" s="84">
        <v>1960.3485084533695</v>
      </c>
      <c r="AP38" s="84">
        <v>584.68904821077967</v>
      </c>
      <c r="AQ38" s="84">
        <v>387.45118182500204</v>
      </c>
      <c r="AR38" s="84">
        <v>147.5165602564812</v>
      </c>
      <c r="AS38" s="84">
        <v>581.27296644846604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2418.4276976235715</v>
      </c>
      <c r="J39" s="30">
        <f t="shared" si="0"/>
        <v>7551.3587319628532</v>
      </c>
      <c r="K39" s="30">
        <f t="shared" si="0"/>
        <v>443.71849778254852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4046.1086243862615</v>
      </c>
      <c r="V39" s="261">
        <f t="shared" si="0"/>
        <v>1799.1544368955938</v>
      </c>
      <c r="W39" s="261">
        <f t="shared" si="0"/>
        <v>664.20536592324595</v>
      </c>
      <c r="X39" s="261">
        <f t="shared" si="0"/>
        <v>0</v>
      </c>
      <c r="Y39" s="261">
        <f t="shared" si="0"/>
        <v>2729.5528009605409</v>
      </c>
      <c r="Z39" s="261">
        <f t="shared" si="0"/>
        <v>0</v>
      </c>
      <c r="AA39" s="269">
        <f t="shared" si="0"/>
        <v>0</v>
      </c>
      <c r="AB39" s="272">
        <f t="shared" si="0"/>
        <v>2265.8143177464444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8164.7783902835836</v>
      </c>
      <c r="AK39" s="272">
        <f t="shared" si="1"/>
        <v>12290.97670723597</v>
      </c>
      <c r="AL39" s="272">
        <f t="shared" si="1"/>
        <v>28829.763797054293</v>
      </c>
      <c r="AM39" s="272">
        <f t="shared" si="1"/>
        <v>8978.9461028162641</v>
      </c>
      <c r="AN39" s="272">
        <f t="shared" si="1"/>
        <v>45297.85131139119</v>
      </c>
      <c r="AO39" s="272">
        <f t="shared" si="1"/>
        <v>61720.289846369429</v>
      </c>
      <c r="AP39" s="272">
        <f t="shared" si="1"/>
        <v>19530.225835504538</v>
      </c>
      <c r="AQ39" s="272">
        <f t="shared" si="1"/>
        <v>32115.811873572668</v>
      </c>
      <c r="AR39" s="272">
        <f t="shared" si="1"/>
        <v>7052.3401215839385</v>
      </c>
      <c r="AS39" s="272">
        <f t="shared" si="1"/>
        <v>18438.835230776465</v>
      </c>
    </row>
    <row r="40" spans="1:45" ht="15.75" thickBot="1" x14ac:dyDescent="0.3">
      <c r="A40" s="47" t="s">
        <v>172</v>
      </c>
      <c r="B40" s="32">
        <f>Projection!$AA$30</f>
        <v>0.66681052199999991</v>
      </c>
      <c r="C40" s="33">
        <f>Projection!$AA$28</f>
        <v>1.4286753599999999</v>
      </c>
      <c r="D40" s="33">
        <f>Projection!$AA$31</f>
        <v>2.1114878399999997</v>
      </c>
      <c r="E40" s="33">
        <f>Projection!$AA$26</f>
        <v>4.4235360000000004</v>
      </c>
      <c r="F40" s="33">
        <f>Projection!$AA$23</f>
        <v>0</v>
      </c>
      <c r="G40" s="33">
        <f>Projection!$AA$24</f>
        <v>7.2805000000000009E-2</v>
      </c>
      <c r="H40" s="34">
        <f>Projection!$AA$29</f>
        <v>3.7390305000000001</v>
      </c>
      <c r="I40" s="32">
        <f>Projection!$AA$30</f>
        <v>0.66681052199999991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1.4286753599999999</v>
      </c>
      <c r="T40" s="38">
        <f>Projection!$AA$28</f>
        <v>1.4286753599999999</v>
      </c>
      <c r="U40" s="26">
        <f>Projection!$AA$27</f>
        <v>0.26450000000000001</v>
      </c>
      <c r="V40" s="27">
        <f>Projection!$AA$27</f>
        <v>0.26450000000000001</v>
      </c>
      <c r="W40" s="27">
        <f>Projection!$AA$22</f>
        <v>0.85935360000000005</v>
      </c>
      <c r="X40" s="27">
        <f>Projection!$AA$22</f>
        <v>0.85935360000000005</v>
      </c>
      <c r="Y40" s="27">
        <f>Projection!$AA$31</f>
        <v>2.1114878399999997</v>
      </c>
      <c r="Z40" s="27">
        <f>Projection!$AA$31</f>
        <v>2.1114878399999997</v>
      </c>
      <c r="AA40" s="28">
        <v>0</v>
      </c>
      <c r="AB40" s="41">
        <f>Projection!$AA$27</f>
        <v>0.26450000000000001</v>
      </c>
      <c r="AC40" s="41">
        <f>Projection!$AA$30</f>
        <v>0.66681052199999991</v>
      </c>
      <c r="AD40" s="399">
        <f>SUM(AD8:AD38)</f>
        <v>171.10299803260384</v>
      </c>
      <c r="AE40" s="399">
        <f>SUM(AE8:AE38)</f>
        <v>0</v>
      </c>
      <c r="AF40" s="276">
        <f>SUM(AF8:AF38)</f>
        <v>164.49809895336622</v>
      </c>
      <c r="AG40" s="276">
        <f>SUM(AG8:AG38)</f>
        <v>162.15918437863633</v>
      </c>
      <c r="AH40" s="276">
        <f>SUM(AH8:AH38)</f>
        <v>0</v>
      </c>
      <c r="AI40" s="276">
        <f>IF(SUM(AG40:AH40)&gt;0, AG40/(AG40+AH40), 0)</f>
        <v>1</v>
      </c>
      <c r="AJ40" s="311">
        <v>6.7000000000000004E-2</v>
      </c>
      <c r="AK40" s="311">
        <f t="shared" ref="AK40:AS40" si="2">$AJ$40</f>
        <v>6.7000000000000004E-2</v>
      </c>
      <c r="AL40" s="311">
        <f t="shared" si="2"/>
        <v>6.7000000000000004E-2</v>
      </c>
      <c r="AM40" s="311">
        <f t="shared" si="2"/>
        <v>6.7000000000000004E-2</v>
      </c>
      <c r="AN40" s="311">
        <f t="shared" si="2"/>
        <v>6.7000000000000004E-2</v>
      </c>
      <c r="AO40" s="311">
        <f t="shared" si="2"/>
        <v>6.7000000000000004E-2</v>
      </c>
      <c r="AP40" s="311">
        <f t="shared" si="2"/>
        <v>6.7000000000000004E-2</v>
      </c>
      <c r="AQ40" s="311">
        <f t="shared" si="2"/>
        <v>6.7000000000000004E-2</v>
      </c>
      <c r="AR40" s="311">
        <f t="shared" si="2"/>
        <v>6.7000000000000004E-2</v>
      </c>
      <c r="AS40" s="311">
        <f t="shared" si="2"/>
        <v>6.7000000000000004E-2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1612.6330354716317</v>
      </c>
      <c r="J41" s="36">
        <f t="shared" si="3"/>
        <v>10788.440154876173</v>
      </c>
      <c r="K41" s="36">
        <f t="shared" si="3"/>
        <v>1962.8047488070238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1070.1957311501662</v>
      </c>
      <c r="V41" s="267">
        <f t="shared" si="3"/>
        <v>475.87634855888456</v>
      </c>
      <c r="W41" s="267">
        <f t="shared" si="3"/>
        <v>570.78727234545875</v>
      </c>
      <c r="X41" s="267">
        <f t="shared" si="3"/>
        <v>0</v>
      </c>
      <c r="Y41" s="267">
        <f t="shared" si="3"/>
        <v>5763.4175478661218</v>
      </c>
      <c r="Z41" s="267">
        <f t="shared" si="3"/>
        <v>0</v>
      </c>
      <c r="AA41" s="271">
        <f t="shared" si="3"/>
        <v>0</v>
      </c>
      <c r="AB41" s="274">
        <f t="shared" si="3"/>
        <v>599.30788704393456</v>
      </c>
      <c r="AC41" s="274">
        <f t="shared" si="3"/>
        <v>0</v>
      </c>
      <c r="AJ41" s="277">
        <f t="shared" ref="AJ41:AS41" si="4">AJ40*AJ39</f>
        <v>547.04015214900016</v>
      </c>
      <c r="AK41" s="277">
        <f t="shared" si="4"/>
        <v>823.49543938481008</v>
      </c>
      <c r="AL41" s="277">
        <f t="shared" si="4"/>
        <v>1931.5941744026377</v>
      </c>
      <c r="AM41" s="277">
        <f t="shared" si="4"/>
        <v>601.58938888868977</v>
      </c>
      <c r="AN41" s="277">
        <f t="shared" si="4"/>
        <v>3034.95603786321</v>
      </c>
      <c r="AO41" s="277">
        <f t="shared" si="4"/>
        <v>4135.2594197067519</v>
      </c>
      <c r="AP41" s="277">
        <f t="shared" si="4"/>
        <v>1308.5251309788041</v>
      </c>
      <c r="AQ41" s="277">
        <f t="shared" si="4"/>
        <v>2151.7593955293687</v>
      </c>
      <c r="AR41" s="277">
        <f t="shared" si="4"/>
        <v>472.50678814612388</v>
      </c>
      <c r="AS41" s="277">
        <f t="shared" si="4"/>
        <v>1235.4019604620232</v>
      </c>
    </row>
    <row r="42" spans="1:45" ht="49.5" customHeight="1" thickTop="1" thickBot="1" x14ac:dyDescent="0.3">
      <c r="A42" s="636">
        <v>44197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22843.462726119396</v>
      </c>
      <c r="C44" s="12"/>
      <c r="D44" s="281" t="s">
        <v>135</v>
      </c>
      <c r="E44" s="282">
        <f>SUM(B41:H41)+P41+R41+T41+V41+X41+Z41</f>
        <v>475.87634855888456</v>
      </c>
      <c r="F44" s="12"/>
      <c r="G44" s="281" t="s">
        <v>135</v>
      </c>
      <c r="H44" s="282">
        <f>SUM(I41:N41)+O41+Q41+S41+U41+W41+Y41</f>
        <v>21768.278490516575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299" t="s">
        <v>135</v>
      </c>
      <c r="S44" s="300"/>
      <c r="T44" s="296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16242.127887511419</v>
      </c>
      <c r="C45" s="12"/>
      <c r="D45" s="283" t="s">
        <v>183</v>
      </c>
      <c r="E45" s="284">
        <f>AJ41*(1-$AI$40)+AK41+AL41*0.5+AN41+AO41*(1-$AI$40)+AP41*(1-$AI$40)+AQ41*(1-$AI$40)+AR41*0.5+AS41*0.5</f>
        <v>5678.2029387534121</v>
      </c>
      <c r="F45" s="24"/>
      <c r="G45" s="283" t="s">
        <v>183</v>
      </c>
      <c r="H45" s="284">
        <f>AJ41*AI40+AL41*0.5+AM41+AO41*AI40+AP41*AI40+AQ41*AI40+AR41*0.5+AS41*0.5</f>
        <v>10563.924948758007</v>
      </c>
      <c r="I45" s="12"/>
      <c r="J45" s="12"/>
      <c r="K45" s="287"/>
      <c r="L45" s="12"/>
      <c r="M45" s="12"/>
      <c r="N45" s="12"/>
      <c r="O45" s="12"/>
      <c r="P45" s="12"/>
      <c r="Q45" s="12"/>
      <c r="R45" s="297" t="s">
        <v>141</v>
      </c>
      <c r="S45" s="298"/>
      <c r="T45" s="253">
        <f>$W$39+$X$39</f>
        <v>664.20536592324595</v>
      </c>
      <c r="U45" s="255">
        <f>(T45*8.34*0.895)/27000</f>
        <v>0.183623263439292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297" t="s">
        <v>145</v>
      </c>
      <c r="S46" s="298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297" t="s">
        <v>148</v>
      </c>
      <c r="S47" s="298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297" t="s">
        <v>150</v>
      </c>
      <c r="S48" s="298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164.49809895336622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162.15918437863633</v>
      </c>
      <c r="I49" s="12"/>
      <c r="J49" s="12"/>
      <c r="K49" s="86"/>
      <c r="L49" s="12"/>
      <c r="M49" s="12"/>
      <c r="N49" s="12"/>
      <c r="O49" s="12"/>
      <c r="P49" s="12"/>
      <c r="Q49" s="12"/>
      <c r="R49" s="297" t="s">
        <v>152</v>
      </c>
      <c r="S49" s="298"/>
      <c r="T49" s="253">
        <f>$E$39+$K$39</f>
        <v>443.71849778254852</v>
      </c>
      <c r="U49" s="255">
        <f>(T49*8.34*1.04)/45000</f>
        <v>8.5525261385926962E-2</v>
      </c>
    </row>
    <row r="50" spans="1:25" ht="48" customHeight="1" thickTop="1" thickBot="1" x14ac:dyDescent="0.3">
      <c r="A50" s="290" t="s">
        <v>223</v>
      </c>
      <c r="B50" s="291">
        <f>SUM(E50,H50)</f>
        <v>171.10299803260384</v>
      </c>
      <c r="C50" s="1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171.10299803260384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228.43311375632953</v>
      </c>
      <c r="C51" s="12"/>
      <c r="D51" s="290" t="s">
        <v>188</v>
      </c>
      <c r="E51" s="292" t="e">
        <f>SUM(E44:E48)/E50</f>
        <v>#DIV/0!</v>
      </c>
      <c r="F51" s="23"/>
      <c r="G51" s="290" t="s">
        <v>189</v>
      </c>
      <c r="H51" s="292">
        <f>SUM(H44:H48)/H50</f>
        <v>188.96339521247694</v>
      </c>
      <c r="I51" s="12"/>
      <c r="J51" s="12"/>
      <c r="K51" s="86"/>
      <c r="L51" s="12"/>
      <c r="M51" s="12"/>
      <c r="N51" s="12"/>
      <c r="O51" s="12"/>
      <c r="P51" s="12"/>
      <c r="Q51" s="12"/>
      <c r="R51" s="297" t="s">
        <v>153</v>
      </c>
      <c r="S51" s="298"/>
      <c r="T51" s="253">
        <f>$U$39+$V$39+$AB$39</f>
        <v>8111.0773790283001</v>
      </c>
      <c r="U51" s="255">
        <f>T51/2000/8</f>
        <v>0.50694233618926876</v>
      </c>
    </row>
    <row r="52" spans="1:25" ht="47.25" customHeight="1" thickTop="1" thickBot="1" x14ac:dyDescent="0.3">
      <c r="A52" s="280" t="s">
        <v>191</v>
      </c>
      <c r="B52" s="293">
        <f>B51/1000</f>
        <v>0.22843311375632952</v>
      </c>
      <c r="C52" s="12"/>
      <c r="D52" s="280" t="s">
        <v>192</v>
      </c>
      <c r="E52" s="293" t="e">
        <f>E51/1000</f>
        <v>#DIV/0!</v>
      </c>
      <c r="F52" s="372" t="e">
        <f>E44/E49</f>
        <v>#DIV/0!</v>
      </c>
      <c r="G52" s="280" t="s">
        <v>193</v>
      </c>
      <c r="H52" s="293">
        <f>H51/1000</f>
        <v>0.18896339521247693</v>
      </c>
      <c r="I52" s="372">
        <f>H44/H49</f>
        <v>134.24018241044161</v>
      </c>
      <c r="J52" s="12"/>
      <c r="K52" s="86"/>
      <c r="L52" s="12"/>
      <c r="M52" s="12"/>
      <c r="N52" s="12"/>
      <c r="O52" s="12"/>
      <c r="P52" s="12"/>
      <c r="Q52" s="12"/>
      <c r="R52" s="297" t="s">
        <v>154</v>
      </c>
      <c r="S52" s="298"/>
      <c r="T52" s="253">
        <f>$C$39+$J$39+$S$39+$T$39</f>
        <v>7551.3587319628532</v>
      </c>
      <c r="U52" s="255">
        <f>(T52*8.34*1.4)/45000</f>
        <v>1.9593258789866284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7" t="s">
        <v>155</v>
      </c>
      <c r="S53" s="298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7" t="s">
        <v>156</v>
      </c>
      <c r="S54" s="298"/>
      <c r="T54" s="253">
        <f>$B$39+$I$39+$AC$39</f>
        <v>2418.4276976235715</v>
      </c>
      <c r="U54" s="255">
        <f>(T54*8.34*1.029*0.03)/3300</f>
        <v>0.18867825382843476</v>
      </c>
    </row>
    <row r="55" spans="1:25" ht="57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2729.5528009605409</v>
      </c>
      <c r="U55" s="258">
        <f>(T55*1.54*8.34)/45000</f>
        <v>0.77905076343148438</v>
      </c>
    </row>
    <row r="56" spans="1:25" ht="15.75" thickTop="1" x14ac:dyDescent="0.25">
      <c r="A56" s="302"/>
      <c r="B56" s="302"/>
      <c r="C56" s="302"/>
      <c r="D56" s="302"/>
      <c r="E56" s="30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617"/>
      <c r="S56" s="617"/>
      <c r="T56" s="309"/>
      <c r="U56" s="310"/>
    </row>
    <row r="57" spans="1:25" x14ac:dyDescent="0.25">
      <c r="A57" s="313"/>
      <c r="B57" s="31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20"/>
      <c r="B58" s="31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14"/>
      <c r="B59" s="31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20"/>
      <c r="B60" s="31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314"/>
      <c r="B61" s="314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FYWgL9LcknQVsjbiHvdEXvCvXJ+fqz7iq4wq/Ggf0FGRepY3DsMSgkKN9g5dmLQjjDa8HHodxPHV4YOMHPiTwQ==" saltValue="irM6w2Cd35xtJFQXiqcoLQ==" spinCount="100000" sheet="1" selectLockedCells="1" selectUnlockedCells="1"/>
  <mergeCells count="33">
    <mergeCell ref="AP4:AP5"/>
    <mergeCell ref="AQ4:AQ5"/>
    <mergeCell ref="AR4:AR5"/>
    <mergeCell ref="AS4:AS5"/>
    <mergeCell ref="AJ4:AJ5"/>
    <mergeCell ref="AK4:AK5"/>
    <mergeCell ref="AL4:AL5"/>
    <mergeCell ref="AM4:AM5"/>
    <mergeCell ref="AO4:AO5"/>
    <mergeCell ref="AN4:AN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E4:AE5"/>
    <mergeCell ref="R56:S56"/>
    <mergeCell ref="R43:U43"/>
    <mergeCell ref="A54:E54"/>
    <mergeCell ref="AD4:AD5"/>
    <mergeCell ref="A55:E55"/>
    <mergeCell ref="J43:K43"/>
    <mergeCell ref="J46:K46"/>
    <mergeCell ref="A43:B43"/>
    <mergeCell ref="D43:E43"/>
    <mergeCell ref="G43:H43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C64"/>
  <sheetViews>
    <sheetView zoomScale="90" zoomScaleNormal="90" workbookViewId="0">
      <selection activeCell="A8" sqref="A8:XFD35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6" width="20.28515625" customWidth="1"/>
    <col min="47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</row>
    <row r="4" spans="1:55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</row>
    <row r="5" spans="1:55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  <c r="AV5" t="s">
        <v>169</v>
      </c>
      <c r="AW5" s="336" t="s">
        <v>207</v>
      </c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4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44228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407">
        <v>0</v>
      </c>
      <c r="AE8" s="407">
        <v>0</v>
      </c>
      <c r="AF8" s="57">
        <v>0</v>
      </c>
      <c r="AG8" s="58">
        <v>0</v>
      </c>
      <c r="AH8" s="58">
        <v>0</v>
      </c>
      <c r="AI8" s="58">
        <v>0</v>
      </c>
      <c r="AJ8" s="57">
        <v>259.99172744750973</v>
      </c>
      <c r="AK8" s="57">
        <v>382.41432644526168</v>
      </c>
      <c r="AL8" s="57">
        <v>1002.1323074340821</v>
      </c>
      <c r="AM8" s="57">
        <v>184.4091911315918</v>
      </c>
      <c r="AN8" s="57">
        <v>1616.6325073242188</v>
      </c>
      <c r="AO8" s="57">
        <v>1997.7957393646243</v>
      </c>
      <c r="AP8" s="57">
        <v>562.48559743563317</v>
      </c>
      <c r="AQ8" s="57">
        <v>397.16287229855857</v>
      </c>
      <c r="AR8" s="57">
        <v>140.21428296566015</v>
      </c>
      <c r="AS8" s="57">
        <v>627.85120118459088</v>
      </c>
    </row>
    <row r="9" spans="1:55" x14ac:dyDescent="0.25">
      <c r="A9" s="11">
        <v>44229</v>
      </c>
      <c r="B9" s="59"/>
      <c r="C9" s="60">
        <v>0</v>
      </c>
      <c r="D9" s="60">
        <v>0</v>
      </c>
      <c r="E9" s="5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408">
        <v>0</v>
      </c>
      <c r="AE9" s="408">
        <v>3.739196304073334E-3</v>
      </c>
      <c r="AF9" s="69">
        <v>0</v>
      </c>
      <c r="AG9" s="68">
        <v>0</v>
      </c>
      <c r="AH9" s="68">
        <v>0</v>
      </c>
      <c r="AI9" s="68">
        <v>0</v>
      </c>
      <c r="AJ9" s="69">
        <v>224.49130069414772</v>
      </c>
      <c r="AK9" s="69">
        <v>346.97596007982884</v>
      </c>
      <c r="AL9" s="69">
        <v>1060.5038248697917</v>
      </c>
      <c r="AM9" s="69">
        <v>184.4091911315918</v>
      </c>
      <c r="AN9" s="69">
        <v>1616.6325073242188</v>
      </c>
      <c r="AO9" s="69">
        <v>1895.5017065684001</v>
      </c>
      <c r="AP9" s="69">
        <v>528.80319862365718</v>
      </c>
      <c r="AQ9" s="69">
        <v>398.38705989519752</v>
      </c>
      <c r="AR9" s="69">
        <v>111.51077612837155</v>
      </c>
      <c r="AS9" s="69">
        <v>630.60978263219204</v>
      </c>
    </row>
    <row r="10" spans="1:55" x14ac:dyDescent="0.25">
      <c r="A10" s="11">
        <v>44230</v>
      </c>
      <c r="B10" s="59"/>
      <c r="C10" s="60">
        <v>0</v>
      </c>
      <c r="D10" s="60">
        <v>0</v>
      </c>
      <c r="E10" s="5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408">
        <v>0</v>
      </c>
      <c r="AE10" s="408">
        <v>0</v>
      </c>
      <c r="AF10" s="69">
        <v>0</v>
      </c>
      <c r="AG10" s="68">
        <v>0</v>
      </c>
      <c r="AH10" s="68">
        <v>0</v>
      </c>
      <c r="AI10" s="68">
        <v>0</v>
      </c>
      <c r="AJ10" s="69">
        <v>218.1697643995285</v>
      </c>
      <c r="AK10" s="69">
        <v>337.96428780555726</v>
      </c>
      <c r="AL10" s="69">
        <v>916.00908778508517</v>
      </c>
      <c r="AM10" s="69">
        <v>184.4091911315918</v>
      </c>
      <c r="AN10" s="69">
        <v>1616.6325073242188</v>
      </c>
      <c r="AO10" s="69">
        <v>1887.0038007100422</v>
      </c>
      <c r="AP10" s="69">
        <v>531.02615098953243</v>
      </c>
      <c r="AQ10" s="69">
        <v>387.26263068517051</v>
      </c>
      <c r="AR10" s="69">
        <v>112.57223696509996</v>
      </c>
      <c r="AS10" s="69">
        <v>629.72610950469959</v>
      </c>
    </row>
    <row r="11" spans="1:55" x14ac:dyDescent="0.25">
      <c r="A11" s="11">
        <v>44231</v>
      </c>
      <c r="B11" s="59"/>
      <c r="C11" s="60">
        <v>0</v>
      </c>
      <c r="D11" s="60">
        <v>0</v>
      </c>
      <c r="E11" s="5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408">
        <v>0</v>
      </c>
      <c r="AE11" s="408">
        <v>0</v>
      </c>
      <c r="AF11" s="69">
        <v>0</v>
      </c>
      <c r="AG11" s="68">
        <v>0</v>
      </c>
      <c r="AH11" s="68">
        <v>0</v>
      </c>
      <c r="AI11" s="68">
        <v>0</v>
      </c>
      <c r="AJ11" s="69">
        <v>265.61988373597467</v>
      </c>
      <c r="AK11" s="69">
        <v>387.87411290804545</v>
      </c>
      <c r="AL11" s="69">
        <v>765.10752894083657</v>
      </c>
      <c r="AM11" s="69">
        <v>177.26503381729125</v>
      </c>
      <c r="AN11" s="69">
        <v>1616.6325073242188</v>
      </c>
      <c r="AO11" s="69">
        <v>1993.4334309895835</v>
      </c>
      <c r="AP11" s="69">
        <v>601.10158513387046</v>
      </c>
      <c r="AQ11" s="69">
        <v>372.09183185895284</v>
      </c>
      <c r="AR11" s="69">
        <v>157.15215758879978</v>
      </c>
      <c r="AS11" s="69">
        <v>582.7695584297179</v>
      </c>
    </row>
    <row r="12" spans="1:55" x14ac:dyDescent="0.25">
      <c r="A12" s="11">
        <v>44232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408">
        <v>0</v>
      </c>
      <c r="AE12" s="408">
        <v>0</v>
      </c>
      <c r="AF12" s="69">
        <v>0</v>
      </c>
      <c r="AG12" s="68">
        <v>0</v>
      </c>
      <c r="AH12" s="68">
        <v>0</v>
      </c>
      <c r="AI12" s="68">
        <v>0</v>
      </c>
      <c r="AJ12" s="69">
        <v>275.66600039800011</v>
      </c>
      <c r="AK12" s="69">
        <v>409.85589164098104</v>
      </c>
      <c r="AL12" s="69">
        <v>868.31899067560835</v>
      </c>
      <c r="AM12" s="69">
        <v>166.45528793334961</v>
      </c>
      <c r="AN12" s="69">
        <v>1616.6325073242188</v>
      </c>
      <c r="AO12" s="69">
        <v>1949.3240713755288</v>
      </c>
      <c r="AP12" s="69">
        <v>611.80672284762068</v>
      </c>
      <c r="AQ12" s="69">
        <v>375.03681054115293</v>
      </c>
      <c r="AR12" s="69">
        <v>169.89321958223979</v>
      </c>
      <c r="AS12" s="69">
        <v>542.63117685317991</v>
      </c>
    </row>
    <row r="13" spans="1:55" x14ac:dyDescent="0.25">
      <c r="A13" s="11">
        <v>44233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449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408">
        <v>0</v>
      </c>
      <c r="AE13" s="408">
        <v>0</v>
      </c>
      <c r="AF13" s="69">
        <v>0</v>
      </c>
      <c r="AG13" s="68">
        <v>0</v>
      </c>
      <c r="AH13" s="68">
        <v>0</v>
      </c>
      <c r="AI13" s="68">
        <v>0</v>
      </c>
      <c r="AJ13" s="69">
        <v>263.37</v>
      </c>
      <c r="AK13" s="69">
        <v>392.05</v>
      </c>
      <c r="AL13" s="69">
        <v>981.49</v>
      </c>
      <c r="AM13" s="69">
        <v>166.46</v>
      </c>
      <c r="AN13" s="69">
        <v>1616.63</v>
      </c>
      <c r="AO13" s="69">
        <v>1917.7</v>
      </c>
      <c r="AP13" s="69">
        <v>607.91</v>
      </c>
      <c r="AQ13" s="69">
        <v>371.25</v>
      </c>
      <c r="AR13" s="69">
        <v>160.33000000000001</v>
      </c>
      <c r="AS13" s="69">
        <v>537.58000000000004</v>
      </c>
      <c r="AT13" s="448"/>
      <c r="AU13" s="448"/>
      <c r="AV13" s="448"/>
      <c r="AW13" s="448"/>
      <c r="AX13" s="448"/>
      <c r="AY13" s="448"/>
      <c r="AZ13" s="448"/>
      <c r="BA13" s="448"/>
      <c r="BB13" s="448"/>
      <c r="BC13" s="448"/>
    </row>
    <row r="14" spans="1:55" x14ac:dyDescent="0.25">
      <c r="A14" s="11">
        <v>44234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408">
        <v>0</v>
      </c>
      <c r="AE14" s="408">
        <v>0</v>
      </c>
      <c r="AF14" s="69">
        <v>0</v>
      </c>
      <c r="AG14" s="68">
        <v>0</v>
      </c>
      <c r="AH14" s="68">
        <v>0</v>
      </c>
      <c r="AI14" s="68">
        <v>0</v>
      </c>
      <c r="AJ14" s="69">
        <v>255.93899574279783</v>
      </c>
      <c r="AK14" s="69">
        <v>381.66629004478455</v>
      </c>
      <c r="AL14" s="69">
        <v>1152.0477994918824</v>
      </c>
      <c r="AM14" s="69">
        <v>166.45528793334961</v>
      </c>
      <c r="AN14" s="69">
        <v>1616.6325073242188</v>
      </c>
      <c r="AO14" s="69">
        <v>1913.5766766866047</v>
      </c>
      <c r="AP14" s="69">
        <v>646.52793639500942</v>
      </c>
      <c r="AQ14" s="69">
        <v>387.58653688430786</v>
      </c>
      <c r="AR14" s="69">
        <v>153.55111622413</v>
      </c>
      <c r="AS14" s="69">
        <v>540.16809781392419</v>
      </c>
    </row>
    <row r="15" spans="1:55" x14ac:dyDescent="0.25">
      <c r="A15" s="11">
        <v>44235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408">
        <v>0</v>
      </c>
      <c r="AE15" s="408">
        <v>0</v>
      </c>
      <c r="AF15" s="69">
        <v>0</v>
      </c>
      <c r="AG15" s="68">
        <v>0</v>
      </c>
      <c r="AH15" s="68">
        <v>0</v>
      </c>
      <c r="AI15" s="68">
        <v>0</v>
      </c>
      <c r="AJ15" s="69">
        <v>275.45078734556836</v>
      </c>
      <c r="AK15" s="69">
        <v>414.51103833516436</v>
      </c>
      <c r="AL15" s="69">
        <v>826.00276425679522</v>
      </c>
      <c r="AM15" s="69">
        <v>166.45528793334961</v>
      </c>
      <c r="AN15" s="69">
        <v>1616.6325073242188</v>
      </c>
      <c r="AO15" s="69">
        <v>1948.3405511220294</v>
      </c>
      <c r="AP15" s="69">
        <v>622.444492371877</v>
      </c>
      <c r="AQ15" s="69">
        <v>384.54574632644653</v>
      </c>
      <c r="AR15" s="69">
        <v>181.4766726096471</v>
      </c>
      <c r="AS15" s="69">
        <v>570.20593926111849</v>
      </c>
    </row>
    <row r="16" spans="1:55" x14ac:dyDescent="0.25">
      <c r="A16" s="11">
        <v>44236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408">
        <v>0</v>
      </c>
      <c r="AE16" s="408">
        <v>0</v>
      </c>
      <c r="AF16" s="69">
        <v>0</v>
      </c>
      <c r="AG16" s="68">
        <v>0</v>
      </c>
      <c r="AH16" s="68">
        <v>0</v>
      </c>
      <c r="AI16" s="68">
        <v>0</v>
      </c>
      <c r="AJ16" s="69">
        <v>270.61447935899099</v>
      </c>
      <c r="AK16" s="69">
        <v>413.92848827044173</v>
      </c>
      <c r="AL16" s="69">
        <v>832.02259813944499</v>
      </c>
      <c r="AM16" s="69">
        <v>166.45528793334961</v>
      </c>
      <c r="AN16" s="69">
        <v>1616.6325073242188</v>
      </c>
      <c r="AO16" s="69">
        <v>2054.2207595825193</v>
      </c>
      <c r="AP16" s="69">
        <v>636.2555548350017</v>
      </c>
      <c r="AQ16" s="69">
        <v>375.23509680430089</v>
      </c>
      <c r="AR16" s="69">
        <v>187.62273455063504</v>
      </c>
      <c r="AS16" s="69">
        <v>580.22755088806161</v>
      </c>
    </row>
    <row r="17" spans="1:45" x14ac:dyDescent="0.25">
      <c r="A17" s="11">
        <v>44237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2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408">
        <v>0</v>
      </c>
      <c r="AE17" s="408">
        <v>0</v>
      </c>
      <c r="AF17" s="69">
        <v>0</v>
      </c>
      <c r="AG17" s="68">
        <v>0</v>
      </c>
      <c r="AH17" s="68">
        <v>0</v>
      </c>
      <c r="AI17" s="68">
        <v>0</v>
      </c>
      <c r="AJ17" s="69">
        <v>271.77986454168962</v>
      </c>
      <c r="AK17" s="69">
        <v>420.77708458900463</v>
      </c>
      <c r="AL17" s="69">
        <v>853.46208667755127</v>
      </c>
      <c r="AM17" s="69">
        <v>169.37045340538026</v>
      </c>
      <c r="AN17" s="69">
        <v>1616.6325073242188</v>
      </c>
      <c r="AO17" s="69">
        <v>2093.1979696909584</v>
      </c>
      <c r="AP17" s="69">
        <v>687.66871484120691</v>
      </c>
      <c r="AQ17" s="69">
        <v>379.99140423138937</v>
      </c>
      <c r="AR17" s="69">
        <v>194.06863166491192</v>
      </c>
      <c r="AS17" s="69">
        <v>615.82434190114327</v>
      </c>
    </row>
    <row r="18" spans="1:45" x14ac:dyDescent="0.25">
      <c r="A18" s="11">
        <v>44238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408">
        <v>0</v>
      </c>
      <c r="AE18" s="408">
        <v>0</v>
      </c>
      <c r="AF18" s="69">
        <v>0</v>
      </c>
      <c r="AG18" s="68">
        <v>0</v>
      </c>
      <c r="AH18" s="68">
        <v>0</v>
      </c>
      <c r="AI18" s="68">
        <v>0</v>
      </c>
      <c r="AJ18" s="69">
        <v>284.06022953987116</v>
      </c>
      <c r="AK18" s="69">
        <v>437.89625938733417</v>
      </c>
      <c r="AL18" s="69">
        <v>866.86734898885084</v>
      </c>
      <c r="AM18" s="69">
        <v>170.71273040771484</v>
      </c>
      <c r="AN18" s="69">
        <v>1616.6325073242188</v>
      </c>
      <c r="AO18" s="69">
        <v>2125.5056413014727</v>
      </c>
      <c r="AP18" s="69">
        <v>675.48596309026084</v>
      </c>
      <c r="AQ18" s="69">
        <v>379.67191859881086</v>
      </c>
      <c r="AR18" s="69">
        <v>209.54224399328234</v>
      </c>
      <c r="AS18" s="69">
        <v>583.65276460647601</v>
      </c>
    </row>
    <row r="19" spans="1:45" x14ac:dyDescent="0.25">
      <c r="A19" s="11">
        <v>44239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408">
        <v>0</v>
      </c>
      <c r="AE19" s="408">
        <v>0</v>
      </c>
      <c r="AF19" s="69">
        <v>0</v>
      </c>
      <c r="AG19" s="68">
        <v>0</v>
      </c>
      <c r="AH19" s="68">
        <v>0</v>
      </c>
      <c r="AI19" s="68">
        <v>0</v>
      </c>
      <c r="AJ19" s="69">
        <v>317.72878140608464</v>
      </c>
      <c r="AK19" s="69">
        <v>494.81899805068974</v>
      </c>
      <c r="AL19" s="69">
        <v>858.27715301513672</v>
      </c>
      <c r="AM19" s="69">
        <v>170.71273040771484</v>
      </c>
      <c r="AN19" s="69">
        <v>1616.6325073242188</v>
      </c>
      <c r="AO19" s="69">
        <v>2123.6714492797855</v>
      </c>
      <c r="AP19" s="69">
        <v>879.23013439178465</v>
      </c>
      <c r="AQ19" s="69">
        <v>415.65398197174068</v>
      </c>
      <c r="AR19" s="69">
        <v>241.70671504735949</v>
      </c>
      <c r="AS19" s="69">
        <v>571.08841244379687</v>
      </c>
    </row>
    <row r="20" spans="1:45" x14ac:dyDescent="0.25">
      <c r="A20" s="11">
        <v>44240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408">
        <v>0</v>
      </c>
      <c r="AE20" s="408">
        <v>0</v>
      </c>
      <c r="AF20" s="69">
        <v>0</v>
      </c>
      <c r="AG20" s="68">
        <v>0</v>
      </c>
      <c r="AH20" s="68">
        <v>0</v>
      </c>
      <c r="AI20" s="68">
        <v>0</v>
      </c>
      <c r="AJ20" s="69">
        <v>348.81814854145057</v>
      </c>
      <c r="AK20" s="69">
        <v>542.0563156922658</v>
      </c>
      <c r="AL20" s="69">
        <v>860.55114320119219</v>
      </c>
      <c r="AM20" s="69">
        <v>170.71273040771484</v>
      </c>
      <c r="AN20" s="69">
        <v>1616.6325073242188</v>
      </c>
      <c r="AO20" s="69">
        <v>2212.5460132598873</v>
      </c>
      <c r="AP20" s="69">
        <v>1263.5707930882772</v>
      </c>
      <c r="AQ20" s="69">
        <v>440.00266823768612</v>
      </c>
      <c r="AR20" s="69">
        <v>269.57361396551136</v>
      </c>
      <c r="AS20" s="69">
        <v>574.05546242396042</v>
      </c>
    </row>
    <row r="21" spans="1:45" x14ac:dyDescent="0.25">
      <c r="A21" s="11">
        <v>44241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408">
        <v>0</v>
      </c>
      <c r="AE21" s="408">
        <v>0</v>
      </c>
      <c r="AF21" s="69">
        <v>0</v>
      </c>
      <c r="AG21" s="68">
        <v>0</v>
      </c>
      <c r="AH21" s="68">
        <v>0</v>
      </c>
      <c r="AI21" s="68">
        <v>0</v>
      </c>
      <c r="AJ21" s="69">
        <v>351.64852978388461</v>
      </c>
      <c r="AK21" s="69">
        <v>550.59208898544307</v>
      </c>
      <c r="AL21" s="69">
        <v>831.72763938903813</v>
      </c>
      <c r="AM21" s="69">
        <v>334.82456666628519</v>
      </c>
      <c r="AN21" s="69">
        <v>1616.6325073242188</v>
      </c>
      <c r="AO21" s="69">
        <v>2243.4975616455081</v>
      </c>
      <c r="AP21" s="69">
        <v>1289.6591712315878</v>
      </c>
      <c r="AQ21" s="69">
        <v>438.05616602897646</v>
      </c>
      <c r="AR21" s="69">
        <v>278.46386729876201</v>
      </c>
      <c r="AS21" s="69">
        <v>582.00932966868072</v>
      </c>
    </row>
    <row r="22" spans="1:45" x14ac:dyDescent="0.25">
      <c r="A22" s="11">
        <v>44242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408">
        <v>0</v>
      </c>
      <c r="AE22" s="408">
        <v>0</v>
      </c>
      <c r="AF22" s="69">
        <v>0</v>
      </c>
      <c r="AG22" s="68">
        <v>0</v>
      </c>
      <c r="AH22" s="68">
        <v>0</v>
      </c>
      <c r="AI22" s="68">
        <v>0</v>
      </c>
      <c r="AJ22" s="69">
        <v>326.94376931985221</v>
      </c>
      <c r="AK22" s="69">
        <v>511.17791021664937</v>
      </c>
      <c r="AL22" s="69">
        <v>855.49312413533528</v>
      </c>
      <c r="AM22" s="69">
        <v>513.70408630371094</v>
      </c>
      <c r="AN22" s="69">
        <v>1616.6325073242188</v>
      </c>
      <c r="AO22" s="69">
        <v>2171.0490472157799</v>
      </c>
      <c r="AP22" s="69">
        <v>1196.0610813140868</v>
      </c>
      <c r="AQ22" s="69">
        <v>423.31290481885276</v>
      </c>
      <c r="AR22" s="69">
        <v>238.56220011711125</v>
      </c>
      <c r="AS22" s="69">
        <v>619.58016144434623</v>
      </c>
    </row>
    <row r="23" spans="1:45" x14ac:dyDescent="0.25">
      <c r="A23" s="11">
        <v>44243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408">
        <v>0</v>
      </c>
      <c r="AE23" s="408">
        <v>0</v>
      </c>
      <c r="AF23" s="69">
        <v>0</v>
      </c>
      <c r="AG23" s="68">
        <v>0</v>
      </c>
      <c r="AH23" s="68">
        <v>0</v>
      </c>
      <c r="AI23" s="68">
        <v>0</v>
      </c>
      <c r="AJ23" s="69">
        <v>278.98480151494346</v>
      </c>
      <c r="AK23" s="69">
        <v>426.39405291875198</v>
      </c>
      <c r="AL23" s="69">
        <v>816.77348556518564</v>
      </c>
      <c r="AM23" s="69">
        <v>513.70408630371094</v>
      </c>
      <c r="AN23" s="69">
        <v>1616.6325073242188</v>
      </c>
      <c r="AO23" s="69">
        <v>2020.9215437571206</v>
      </c>
      <c r="AP23" s="69">
        <v>700.9881227811178</v>
      </c>
      <c r="AQ23" s="69">
        <v>385.05824036598204</v>
      </c>
      <c r="AR23" s="69">
        <v>185.40923451185228</v>
      </c>
      <c r="AS23" s="69">
        <v>634.74911896387744</v>
      </c>
    </row>
    <row r="24" spans="1:45" x14ac:dyDescent="0.25">
      <c r="A24" s="11">
        <v>44244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408">
        <v>3.8905596750640871E-3</v>
      </c>
      <c r="AE24" s="408">
        <v>0</v>
      </c>
      <c r="AF24" s="69">
        <v>0</v>
      </c>
      <c r="AG24" s="68">
        <v>0</v>
      </c>
      <c r="AH24" s="68">
        <v>0</v>
      </c>
      <c r="AI24" s="68">
        <v>0</v>
      </c>
      <c r="AJ24" s="69">
        <v>285.8513384024302</v>
      </c>
      <c r="AK24" s="69">
        <v>440.72414132754005</v>
      </c>
      <c r="AL24" s="69">
        <v>824.9425612131754</v>
      </c>
      <c r="AM24" s="69">
        <v>513.70408630371094</v>
      </c>
      <c r="AN24" s="69">
        <v>1616.6325073242188</v>
      </c>
      <c r="AO24" s="69">
        <v>2200.4869598388668</v>
      </c>
      <c r="AP24" s="69">
        <v>661.06847349802649</v>
      </c>
      <c r="AQ24" s="69">
        <v>388.52995274861655</v>
      </c>
      <c r="AR24" s="69">
        <v>193.28611490329106</v>
      </c>
      <c r="AS24" s="69">
        <v>613.70658699671424</v>
      </c>
    </row>
    <row r="25" spans="1:45" x14ac:dyDescent="0.25">
      <c r="A25" s="11">
        <v>44245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408">
        <v>0</v>
      </c>
      <c r="AE25" s="408">
        <v>0</v>
      </c>
      <c r="AF25" s="69">
        <v>0</v>
      </c>
      <c r="AG25" s="68">
        <v>0</v>
      </c>
      <c r="AH25" s="68">
        <v>0</v>
      </c>
      <c r="AI25" s="68">
        <v>0</v>
      </c>
      <c r="AJ25" s="69">
        <v>282.24305862585709</v>
      </c>
      <c r="AK25" s="69">
        <v>433.45776524543754</v>
      </c>
      <c r="AL25" s="69">
        <v>846.45132427215583</v>
      </c>
      <c r="AM25" s="69">
        <v>286.81349886258442</v>
      </c>
      <c r="AN25" s="69">
        <v>1576.0078402201334</v>
      </c>
      <c r="AO25" s="69">
        <v>2219.0730757395431</v>
      </c>
      <c r="AP25" s="69">
        <v>717.63965546290092</v>
      </c>
      <c r="AQ25" s="69">
        <v>384.99165007273359</v>
      </c>
      <c r="AR25" s="69">
        <v>193.59441435734431</v>
      </c>
      <c r="AS25" s="69">
        <v>598.4713494936625</v>
      </c>
    </row>
    <row r="26" spans="1:45" x14ac:dyDescent="0.25">
      <c r="A26" s="11">
        <v>44246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72">
        <v>0</v>
      </c>
      <c r="AB26" s="69">
        <v>0</v>
      </c>
      <c r="AC26" s="69">
        <v>0</v>
      </c>
      <c r="AD26" s="408">
        <v>0</v>
      </c>
      <c r="AE26" s="408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277.96406133174895</v>
      </c>
      <c r="AK26" s="69">
        <v>424.57433929443363</v>
      </c>
      <c r="AL26" s="69">
        <v>872.031639289856</v>
      </c>
      <c r="AM26" s="69">
        <v>153.90594863891602</v>
      </c>
      <c r="AN26" s="69">
        <v>1546.417236328125</v>
      </c>
      <c r="AO26" s="69">
        <v>2182.7508753458665</v>
      </c>
      <c r="AP26" s="69">
        <v>627.13993938763929</v>
      </c>
      <c r="AQ26" s="69">
        <v>393.00448193550113</v>
      </c>
      <c r="AR26" s="69">
        <v>179.48640146255494</v>
      </c>
      <c r="AS26" s="69">
        <v>606.09483283360805</v>
      </c>
    </row>
    <row r="27" spans="1:45" x14ac:dyDescent="0.25">
      <c r="A27" s="11">
        <v>44247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6">
        <v>0</v>
      </c>
      <c r="Z27" s="66">
        <v>0</v>
      </c>
      <c r="AA27" s="67">
        <v>0</v>
      </c>
      <c r="AB27" s="68">
        <v>0</v>
      </c>
      <c r="AC27" s="69">
        <v>0</v>
      </c>
      <c r="AD27" s="408">
        <v>0</v>
      </c>
      <c r="AE27" s="408">
        <v>0</v>
      </c>
      <c r="AF27" s="69">
        <v>0</v>
      </c>
      <c r="AG27" s="68">
        <v>0</v>
      </c>
      <c r="AH27" s="68">
        <v>0</v>
      </c>
      <c r="AI27" s="68">
        <v>0</v>
      </c>
      <c r="AJ27" s="69">
        <v>269.76366908550261</v>
      </c>
      <c r="AK27" s="69">
        <v>400.74061598777769</v>
      </c>
      <c r="AL27" s="69">
        <v>942.30703811645515</v>
      </c>
      <c r="AM27" s="69">
        <v>153.90594863891602</v>
      </c>
      <c r="AN27" s="69">
        <v>1546.417236328125</v>
      </c>
      <c r="AO27" s="69">
        <v>2043.3823939005533</v>
      </c>
      <c r="AP27" s="69">
        <v>660.54115931193019</v>
      </c>
      <c r="AQ27" s="69">
        <v>376.61378073692327</v>
      </c>
      <c r="AR27" s="69">
        <v>160.24131822586065</v>
      </c>
      <c r="AS27" s="69">
        <v>569.29002463022857</v>
      </c>
    </row>
    <row r="28" spans="1:45" s="370" customFormat="1" ht="15" customHeight="1" x14ac:dyDescent="0.25">
      <c r="A28" s="400">
        <v>44248</v>
      </c>
      <c r="B28" s="364"/>
      <c r="C28" s="365">
        <v>0</v>
      </c>
      <c r="D28" s="365">
        <v>0</v>
      </c>
      <c r="E28" s="365">
        <v>0</v>
      </c>
      <c r="F28" s="365">
        <v>0</v>
      </c>
      <c r="G28" s="365">
        <v>0</v>
      </c>
      <c r="H28" s="366">
        <v>0</v>
      </c>
      <c r="I28" s="364">
        <v>0</v>
      </c>
      <c r="J28" s="365">
        <v>0</v>
      </c>
      <c r="K28" s="365">
        <v>0</v>
      </c>
      <c r="L28" s="449">
        <v>0</v>
      </c>
      <c r="M28" s="365">
        <v>0</v>
      </c>
      <c r="N28" s="366">
        <v>0</v>
      </c>
      <c r="O28" s="364">
        <v>0</v>
      </c>
      <c r="P28" s="365">
        <v>0</v>
      </c>
      <c r="Q28" s="365">
        <v>0</v>
      </c>
      <c r="R28" s="365">
        <v>0</v>
      </c>
      <c r="S28" s="365">
        <v>0</v>
      </c>
      <c r="T28" s="366">
        <v>0</v>
      </c>
      <c r="U28" s="364">
        <v>0</v>
      </c>
      <c r="V28" s="365">
        <v>0</v>
      </c>
      <c r="W28" s="365">
        <v>0</v>
      </c>
      <c r="X28" s="365">
        <v>0</v>
      </c>
      <c r="Y28" s="365">
        <v>0</v>
      </c>
      <c r="Z28" s="365">
        <v>0</v>
      </c>
      <c r="AA28" s="366">
        <v>0</v>
      </c>
      <c r="AB28" s="368">
        <v>0</v>
      </c>
      <c r="AC28" s="369">
        <v>0</v>
      </c>
      <c r="AD28" s="408">
        <v>0</v>
      </c>
      <c r="AE28" s="408">
        <v>0</v>
      </c>
      <c r="AF28" s="369">
        <v>0</v>
      </c>
      <c r="AG28" s="369">
        <v>0</v>
      </c>
      <c r="AH28" s="369">
        <v>0</v>
      </c>
      <c r="AI28" s="369">
        <v>0</v>
      </c>
      <c r="AJ28" s="369">
        <v>273.60000000000002</v>
      </c>
      <c r="AK28" s="369">
        <v>402.27</v>
      </c>
      <c r="AL28" s="369">
        <v>982.39</v>
      </c>
      <c r="AM28" s="369">
        <v>153.91</v>
      </c>
      <c r="AN28" s="369">
        <v>1546.42</v>
      </c>
      <c r="AO28" s="369">
        <v>2068.27</v>
      </c>
      <c r="AP28" s="369">
        <v>669.17</v>
      </c>
      <c r="AQ28" s="369">
        <v>371.81</v>
      </c>
      <c r="AR28" s="369">
        <v>151.46</v>
      </c>
      <c r="AS28" s="369">
        <v>552.82000000000005</v>
      </c>
    </row>
    <row r="29" spans="1:45" x14ac:dyDescent="0.25">
      <c r="A29" s="11">
        <v>44249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408">
        <v>0</v>
      </c>
      <c r="AE29" s="408">
        <v>0</v>
      </c>
      <c r="AF29" s="69">
        <v>2.0961370733049186E-3</v>
      </c>
      <c r="AG29" s="68">
        <v>0</v>
      </c>
      <c r="AH29" s="68">
        <v>0</v>
      </c>
      <c r="AI29" s="68">
        <v>0</v>
      </c>
      <c r="AJ29" s="69">
        <v>257.46474564870198</v>
      </c>
      <c r="AK29" s="69">
        <v>409.71338782310477</v>
      </c>
      <c r="AL29" s="69">
        <v>988.34688746134429</v>
      </c>
      <c r="AM29" s="69">
        <v>153.90594863891602</v>
      </c>
      <c r="AN29" s="69">
        <v>1546.417236328125</v>
      </c>
      <c r="AO29" s="69">
        <v>2074.4533785502117</v>
      </c>
      <c r="AP29" s="69">
        <v>677.68834365208943</v>
      </c>
      <c r="AQ29" s="69">
        <v>392.67377794583643</v>
      </c>
      <c r="AR29" s="69">
        <v>139.28063850800197</v>
      </c>
      <c r="AS29" s="69">
        <v>595.17126452128093</v>
      </c>
    </row>
    <row r="30" spans="1:45" x14ac:dyDescent="0.25">
      <c r="A30" s="11">
        <v>44250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408">
        <v>0</v>
      </c>
      <c r="AE30" s="408">
        <v>0</v>
      </c>
      <c r="AF30" s="69">
        <v>0</v>
      </c>
      <c r="AG30" s="68">
        <v>0</v>
      </c>
      <c r="AH30" s="68">
        <v>0</v>
      </c>
      <c r="AI30" s="68">
        <v>0</v>
      </c>
      <c r="AJ30" s="69">
        <v>239.92980923652644</v>
      </c>
      <c r="AK30" s="69">
        <v>384.41418671607971</v>
      </c>
      <c r="AL30" s="69">
        <v>1074.2409323374432</v>
      </c>
      <c r="AM30" s="69">
        <v>153.90594863891602</v>
      </c>
      <c r="AN30" s="69">
        <v>1546.417236328125</v>
      </c>
      <c r="AO30" s="69">
        <v>2058.4013688405357</v>
      </c>
      <c r="AP30" s="69">
        <v>530.09503103892018</v>
      </c>
      <c r="AQ30" s="69">
        <v>423.18245234489439</v>
      </c>
      <c r="AR30" s="69">
        <v>121.76361039479572</v>
      </c>
      <c r="AS30" s="69">
        <v>582.11976690292363</v>
      </c>
    </row>
    <row r="31" spans="1:45" x14ac:dyDescent="0.25">
      <c r="A31" s="11">
        <v>44251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408">
        <v>0</v>
      </c>
      <c r="AE31" s="408">
        <v>0</v>
      </c>
      <c r="AF31" s="69">
        <v>0</v>
      </c>
      <c r="AG31" s="68">
        <v>0</v>
      </c>
      <c r="AH31" s="68">
        <v>0</v>
      </c>
      <c r="AI31" s="68">
        <v>0</v>
      </c>
      <c r="AJ31" s="69">
        <v>298.98230206171672</v>
      </c>
      <c r="AK31" s="69">
        <v>469.06123394966119</v>
      </c>
      <c r="AL31" s="69">
        <v>885.44768606821708</v>
      </c>
      <c r="AM31" s="69">
        <v>153.90594863891602</v>
      </c>
      <c r="AN31" s="69">
        <v>1546.417236328125</v>
      </c>
      <c r="AO31" s="69">
        <v>2078.1090933481855</v>
      </c>
      <c r="AP31" s="69">
        <v>624.14407299359652</v>
      </c>
      <c r="AQ31" s="69">
        <v>414.10318126678459</v>
      </c>
      <c r="AR31" s="69">
        <v>156.1202726562818</v>
      </c>
      <c r="AS31" s="69">
        <v>580.33328720728548</v>
      </c>
    </row>
    <row r="32" spans="1:45" x14ac:dyDescent="0.25">
      <c r="A32" s="11">
        <v>44252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0.19686330904563271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408">
        <v>0</v>
      </c>
      <c r="AE32" s="408">
        <v>0</v>
      </c>
      <c r="AF32" s="69">
        <v>0</v>
      </c>
      <c r="AG32" s="68">
        <v>0</v>
      </c>
      <c r="AH32" s="68">
        <v>0</v>
      </c>
      <c r="AI32" s="68">
        <v>0</v>
      </c>
      <c r="AJ32" s="69">
        <v>282.511189977328</v>
      </c>
      <c r="AK32" s="69">
        <v>462.27685033480316</v>
      </c>
      <c r="AL32" s="69">
        <v>937.54015394846601</v>
      </c>
      <c r="AM32" s="69">
        <v>153.90594863891602</v>
      </c>
      <c r="AN32" s="69">
        <v>1546.417236328125</v>
      </c>
      <c r="AO32" s="69">
        <v>2077.378308995565</v>
      </c>
      <c r="AP32" s="69">
        <v>632.82103430430095</v>
      </c>
      <c r="AQ32" s="69">
        <v>375.33059101104737</v>
      </c>
      <c r="AR32" s="69">
        <v>168.40316768089932</v>
      </c>
      <c r="AS32" s="69">
        <v>576.61577062606818</v>
      </c>
    </row>
    <row r="33" spans="1:45" x14ac:dyDescent="0.25">
      <c r="A33" s="11">
        <v>44253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38.152637946605665</v>
      </c>
      <c r="J33" s="60">
        <v>0</v>
      </c>
      <c r="K33" s="60">
        <v>0.34474880596001944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408">
        <v>0</v>
      </c>
      <c r="AE33" s="408">
        <v>0</v>
      </c>
      <c r="AF33" s="69">
        <v>0</v>
      </c>
      <c r="AG33" s="68">
        <v>0</v>
      </c>
      <c r="AH33" s="68">
        <v>0</v>
      </c>
      <c r="AI33" s="68">
        <v>0</v>
      </c>
      <c r="AJ33" s="69">
        <v>284.96271478335063</v>
      </c>
      <c r="AK33" s="69">
        <v>491.64663316408792</v>
      </c>
      <c r="AL33" s="69">
        <v>933.28884582519538</v>
      </c>
      <c r="AM33" s="69">
        <v>153.90594863891602</v>
      </c>
      <c r="AN33" s="69">
        <v>1546.417236328125</v>
      </c>
      <c r="AO33" s="69">
        <v>2094.0667577107752</v>
      </c>
      <c r="AP33" s="69">
        <v>615.25722451210027</v>
      </c>
      <c r="AQ33" s="69">
        <v>407.04966559410099</v>
      </c>
      <c r="AR33" s="69">
        <v>167.63712055683135</v>
      </c>
      <c r="AS33" s="69">
        <v>588.3426240285238</v>
      </c>
    </row>
    <row r="34" spans="1:45" x14ac:dyDescent="0.25">
      <c r="A34" s="11">
        <v>44254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408">
        <v>0</v>
      </c>
      <c r="AE34" s="408">
        <v>0</v>
      </c>
      <c r="AF34" s="69">
        <v>0</v>
      </c>
      <c r="AG34" s="68">
        <v>0</v>
      </c>
      <c r="AH34" s="68">
        <v>0</v>
      </c>
      <c r="AI34" s="68">
        <v>0</v>
      </c>
      <c r="AJ34" s="69">
        <v>287.72006948788959</v>
      </c>
      <c r="AK34" s="69">
        <v>527.19221970240278</v>
      </c>
      <c r="AL34" s="69">
        <v>882.27955665588377</v>
      </c>
      <c r="AM34" s="69">
        <v>153.90594863891602</v>
      </c>
      <c r="AN34" s="69">
        <v>1546.417236328125</v>
      </c>
      <c r="AO34" s="69">
        <v>2066.1726085662845</v>
      </c>
      <c r="AP34" s="69">
        <v>622.19309027989709</v>
      </c>
      <c r="AQ34" s="69">
        <v>399.84176680246986</v>
      </c>
      <c r="AR34" s="69">
        <v>170.06306662559507</v>
      </c>
      <c r="AS34" s="69">
        <v>550.35035839080831</v>
      </c>
    </row>
    <row r="35" spans="1:45" x14ac:dyDescent="0.25">
      <c r="A35" s="11">
        <v>44255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408">
        <v>0</v>
      </c>
      <c r="AE35" s="408">
        <v>0</v>
      </c>
      <c r="AF35" s="69">
        <v>0</v>
      </c>
      <c r="AG35" s="68">
        <v>0</v>
      </c>
      <c r="AH35" s="68">
        <v>0</v>
      </c>
      <c r="AI35" s="68">
        <v>0</v>
      </c>
      <c r="AJ35" s="69">
        <v>287.95592256387079</v>
      </c>
      <c r="AK35" s="69">
        <v>532.40630928675341</v>
      </c>
      <c r="AL35" s="69">
        <v>973.86568984985342</v>
      </c>
      <c r="AM35" s="69">
        <v>153.90594863891602</v>
      </c>
      <c r="AN35" s="69">
        <v>1546.417236328125</v>
      </c>
      <c r="AO35" s="69">
        <v>2082.2327653249108</v>
      </c>
      <c r="AP35" s="69">
        <v>621.76281150182092</v>
      </c>
      <c r="AQ35" s="69">
        <v>375.36681375503537</v>
      </c>
      <c r="AR35" s="69">
        <v>176.96523596445715</v>
      </c>
      <c r="AS35" s="69">
        <v>561.44691905975333</v>
      </c>
    </row>
    <row r="36" spans="1:45" x14ac:dyDescent="0.25">
      <c r="A36" s="11"/>
      <c r="B36" s="59"/>
      <c r="C36" s="60"/>
      <c r="D36" s="60"/>
      <c r="E36" s="60" t="s">
        <v>235</v>
      </c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8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65"/>
      <c r="C37" s="382"/>
      <c r="D37" s="382"/>
      <c r="E37" s="382"/>
      <c r="F37" s="382"/>
      <c r="G37" s="382"/>
      <c r="H37" s="392"/>
      <c r="I37" s="381"/>
      <c r="J37" s="382"/>
      <c r="K37" s="382"/>
      <c r="L37" s="382"/>
      <c r="M37" s="382"/>
      <c r="N37" s="392"/>
      <c r="O37" s="381"/>
      <c r="P37" s="382"/>
      <c r="Q37" s="382"/>
      <c r="R37" s="393"/>
      <c r="S37" s="382"/>
      <c r="T37" s="394"/>
      <c r="U37" s="395"/>
      <c r="V37" s="81"/>
      <c r="W37" s="81"/>
      <c r="X37" s="81"/>
      <c r="Y37" s="80"/>
      <c r="Z37" s="80"/>
      <c r="AA37" s="82"/>
      <c r="AB37" s="396"/>
      <c r="AC37" s="390"/>
      <c r="AD37" s="408"/>
      <c r="AE37" s="408"/>
      <c r="AF37" s="390"/>
      <c r="AG37" s="396"/>
      <c r="AH37" s="396"/>
      <c r="AI37" s="396"/>
      <c r="AJ37" s="390"/>
      <c r="AK37" s="390"/>
      <c r="AL37" s="390"/>
      <c r="AM37" s="390"/>
      <c r="AN37" s="390"/>
      <c r="AO37" s="390"/>
      <c r="AP37" s="390"/>
      <c r="AQ37" s="390"/>
      <c r="AR37" s="390"/>
      <c r="AS37" s="390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8"/>
      <c r="AE38" s="408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38.152637946605665</v>
      </c>
      <c r="J39" s="30">
        <f t="shared" si="0"/>
        <v>0</v>
      </c>
      <c r="K39" s="30">
        <f t="shared" si="0"/>
        <v>0.54161211500565209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7818.2259449752164</v>
      </c>
      <c r="AK39" s="272">
        <f t="shared" si="1"/>
        <v>12229.430788202286</v>
      </c>
      <c r="AL39" s="272">
        <f t="shared" si="1"/>
        <v>25489.91919760386</v>
      </c>
      <c r="AM39" s="272">
        <f t="shared" si="1"/>
        <v>5946.0962657642358</v>
      </c>
      <c r="AN39" s="272">
        <f t="shared" si="1"/>
        <v>44522.93308436076</v>
      </c>
      <c r="AO39" s="272">
        <f t="shared" si="1"/>
        <v>57792.063548711136</v>
      </c>
      <c r="AP39" s="272">
        <f t="shared" si="1"/>
        <v>19700.546055313742</v>
      </c>
      <c r="AQ39" s="272">
        <f t="shared" si="1"/>
        <v>11012.803983761469</v>
      </c>
      <c r="AR39" s="272">
        <f t="shared" si="1"/>
        <v>4969.9510645492865</v>
      </c>
      <c r="AS39" s="272">
        <f t="shared" si="1"/>
        <v>16397.491792710622</v>
      </c>
    </row>
    <row r="40" spans="1:45" ht="15.75" thickBot="1" x14ac:dyDescent="0.3">
      <c r="A40" s="47" t="s">
        <v>172</v>
      </c>
      <c r="B40" s="32">
        <f>Projection!$AA$30</f>
        <v>0.66681052199999991</v>
      </c>
      <c r="C40" s="33">
        <f>Projection!$AA$28</f>
        <v>1.4286753599999999</v>
      </c>
      <c r="D40" s="33">
        <f>Projection!$AA$31</f>
        <v>2.1114878399999997</v>
      </c>
      <c r="E40" s="33">
        <f>Projection!$AA$26</f>
        <v>4.4235360000000004</v>
      </c>
      <c r="F40" s="33">
        <f>Projection!$AA$23</f>
        <v>0</v>
      </c>
      <c r="G40" s="33">
        <f>Projection!$AA$24</f>
        <v>7.2805000000000009E-2</v>
      </c>
      <c r="H40" s="34">
        <f>Projection!$AA$29</f>
        <v>3.7390305000000001</v>
      </c>
      <c r="I40" s="32">
        <f>Projection!$AA$30</f>
        <v>0.66681052199999991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1.4286753599999999</v>
      </c>
      <c r="T40" s="38">
        <f>Projection!$AA$28</f>
        <v>1.4286753599999999</v>
      </c>
      <c r="U40" s="26">
        <f>Projection!$AA$27</f>
        <v>0.26450000000000001</v>
      </c>
      <c r="V40" s="27">
        <f>Projection!$AA$27</f>
        <v>0.26450000000000001</v>
      </c>
      <c r="W40" s="27">
        <f>Projection!$AA$22</f>
        <v>0.85935360000000005</v>
      </c>
      <c r="X40" s="27">
        <f>Projection!$AA$22</f>
        <v>0.85935360000000005</v>
      </c>
      <c r="Y40" s="27">
        <f>Projection!$AA$31</f>
        <v>2.1114878399999997</v>
      </c>
      <c r="Z40" s="27">
        <f>Projection!$AA$31</f>
        <v>2.1114878399999997</v>
      </c>
      <c r="AA40" s="28">
        <v>0</v>
      </c>
      <c r="AB40" s="41">
        <f>Projection!$AA$27</f>
        <v>0.26450000000000001</v>
      </c>
      <c r="AC40" s="41">
        <f>Projection!$AA$30</f>
        <v>0.66681052199999991</v>
      </c>
      <c r="AD40" s="399">
        <f>SUM(AD8:AD38)</f>
        <v>3.8905596750640871E-3</v>
      </c>
      <c r="AE40" s="399">
        <f>SUM(AE8:AE38)</f>
        <v>3.739196304073334E-3</v>
      </c>
      <c r="AF40" s="276">
        <f>SUM(AF8:AF38)</f>
        <v>2.0961370733049186E-3</v>
      </c>
      <c r="AG40" s="276">
        <f>SUM(AG8:AG38)</f>
        <v>0</v>
      </c>
      <c r="AH40" s="276">
        <f>SUM(AH8:AH38)</f>
        <v>0</v>
      </c>
      <c r="AI40" s="276">
        <f>IF(SUM(AG40:AH40)&gt;0, AG40/(AG40+AH40), 0)</f>
        <v>0</v>
      </c>
      <c r="AJ40" s="311">
        <v>6.6000000000000003E-2</v>
      </c>
      <c r="AK40" s="311">
        <f t="shared" ref="AK40:AS40" si="2">$AJ$40</f>
        <v>6.6000000000000003E-2</v>
      </c>
      <c r="AL40" s="311">
        <f t="shared" si="2"/>
        <v>6.6000000000000003E-2</v>
      </c>
      <c r="AM40" s="311">
        <f t="shared" si="2"/>
        <v>6.6000000000000003E-2</v>
      </c>
      <c r="AN40" s="311">
        <f t="shared" si="2"/>
        <v>6.6000000000000003E-2</v>
      </c>
      <c r="AO40" s="311">
        <f t="shared" si="2"/>
        <v>6.6000000000000003E-2</v>
      </c>
      <c r="AP40" s="311">
        <f t="shared" si="2"/>
        <v>6.6000000000000003E-2</v>
      </c>
      <c r="AQ40" s="311">
        <f t="shared" si="2"/>
        <v>6.6000000000000003E-2</v>
      </c>
      <c r="AR40" s="311">
        <f t="shared" si="2"/>
        <v>6.6000000000000003E-2</v>
      </c>
      <c r="AS40" s="311">
        <f t="shared" si="2"/>
        <v>6.6000000000000003E-2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25.440580424853128</v>
      </c>
      <c r="J41" s="36">
        <f t="shared" si="3"/>
        <v>0</v>
      </c>
      <c r="K41" s="36">
        <f t="shared" si="3"/>
        <v>2.3958406887636423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S41" si="4">AJ40*AJ39</f>
        <v>516.00291236836426</v>
      </c>
      <c r="AK41" s="277">
        <f t="shared" si="4"/>
        <v>807.14243202135094</v>
      </c>
      <c r="AL41" s="277">
        <f t="shared" si="4"/>
        <v>1682.3346670418548</v>
      </c>
      <c r="AM41" s="277">
        <f t="shared" si="4"/>
        <v>392.44235354043957</v>
      </c>
      <c r="AN41" s="277">
        <f t="shared" si="4"/>
        <v>2938.5135835678102</v>
      </c>
      <c r="AO41" s="277">
        <f t="shared" si="4"/>
        <v>3814.276194214935</v>
      </c>
      <c r="AP41" s="277">
        <f t="shared" si="4"/>
        <v>1300.236039650707</v>
      </c>
      <c r="AQ41" s="277">
        <f t="shared" si="4"/>
        <v>726.84506292825699</v>
      </c>
      <c r="AR41" s="277">
        <f t="shared" si="4"/>
        <v>328.01677026025294</v>
      </c>
      <c r="AS41" s="277">
        <f t="shared" si="4"/>
        <v>1082.234458318901</v>
      </c>
    </row>
    <row r="42" spans="1:45" ht="49.5" customHeight="1" thickTop="1" thickBot="1" x14ac:dyDescent="0.3">
      <c r="A42" s="636">
        <f>JANUARY!$A$42+31</f>
        <v>44228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234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27.836421113616769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27.836421113616769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05" t="s">
        <v>135</v>
      </c>
      <c r="S44" s="306"/>
      <c r="T44" s="303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13588.044473912872</v>
      </c>
      <c r="C45" s="12"/>
      <c r="D45" s="283" t="s">
        <v>183</v>
      </c>
      <c r="E45" s="284">
        <f>AJ41*(1-$AI$40)+AK41+AL41*0.5+AN41+AO41*(1-$AI$40)+AP41*(1-$AI$40)+AQ41*(1-$AI$40)+AR41*0.5+AS41*0.5</f>
        <v>11649.309172561927</v>
      </c>
      <c r="F45" s="24"/>
      <c r="G45" s="283" t="s">
        <v>183</v>
      </c>
      <c r="H45" s="284">
        <f>AJ41*AI40+AL41*0.5+AM41+AO41*AI40+AP41*AI40+AQ41*AI40+AR41*0.5+AS41*0.5</f>
        <v>1938.7353013509439</v>
      </c>
      <c r="I45" s="12"/>
      <c r="J45" s="12"/>
      <c r="K45" s="287"/>
      <c r="L45" s="12"/>
      <c r="M45" s="12"/>
      <c r="N45" s="12"/>
      <c r="O45" s="12"/>
      <c r="P45" s="12"/>
      <c r="Q45" s="12"/>
      <c r="R45" s="307" t="s">
        <v>141</v>
      </c>
      <c r="S45" s="308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07" t="s">
        <v>145</v>
      </c>
      <c r="S46" s="308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07" t="s">
        <v>148</v>
      </c>
      <c r="S47" s="308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07" t="s">
        <v>150</v>
      </c>
      <c r="S48" s="308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2.0961370733049186E-3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07" t="s">
        <v>152</v>
      </c>
      <c r="S49" s="308"/>
      <c r="T49" s="253">
        <f>$E$39+$K$39</f>
        <v>0.54161211500565209</v>
      </c>
      <c r="U49" s="255">
        <f>(T49*8.34*1.04)/45000</f>
        <v>1.0439392979362275E-4</v>
      </c>
    </row>
    <row r="50" spans="1:25" ht="48" customHeight="1" thickTop="1" thickBot="1" x14ac:dyDescent="0.3">
      <c r="A50" s="290" t="s">
        <v>223</v>
      </c>
      <c r="B50" s="291">
        <f>SUM(E50+H50)</f>
        <v>7.6297559791374207E-3</v>
      </c>
      <c r="C50" s="12"/>
      <c r="D50" s="290" t="s">
        <v>224</v>
      </c>
      <c r="E50" s="291">
        <f>AE40</f>
        <v>3.739196304073334E-3</v>
      </c>
      <c r="F50" s="23"/>
      <c r="G50" s="290" t="s">
        <v>225</v>
      </c>
      <c r="H50" s="291">
        <f>AD40</f>
        <v>3.8905596750640871E-3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1784576.1951309256</v>
      </c>
      <c r="C51" s="12"/>
      <c r="D51" s="290" t="s">
        <v>188</v>
      </c>
      <c r="E51" s="398">
        <f>SUM(E44:E48)/E50</f>
        <v>3115458.0356938271</v>
      </c>
      <c r="F51" s="23"/>
      <c r="G51" s="290" t="s">
        <v>189</v>
      </c>
      <c r="H51" s="398">
        <f>SUM(H44:H48)/H50</f>
        <v>505472.70488330611</v>
      </c>
      <c r="I51" s="12"/>
      <c r="J51" s="12"/>
      <c r="K51" s="86"/>
      <c r="L51" s="12"/>
      <c r="M51" s="12"/>
      <c r="N51" s="12"/>
      <c r="O51" s="12"/>
      <c r="P51" s="12"/>
      <c r="Q51" s="12"/>
      <c r="R51" s="307" t="s">
        <v>153</v>
      </c>
      <c r="S51" s="308"/>
      <c r="T51" s="253">
        <f>$U$39+$V$39+$AB$39</f>
        <v>0</v>
      </c>
      <c r="U51" s="255">
        <f>T51/2000/8</f>
        <v>0</v>
      </c>
    </row>
    <row r="52" spans="1:25" ht="47.25" customHeight="1" thickTop="1" thickBot="1" x14ac:dyDescent="0.3">
      <c r="A52" s="280" t="s">
        <v>191</v>
      </c>
      <c r="B52" s="293">
        <f>B51/1000</f>
        <v>1784.5761951309257</v>
      </c>
      <c r="C52" s="12"/>
      <c r="D52" s="280" t="s">
        <v>192</v>
      </c>
      <c r="E52" s="293">
        <f>E51/1000</f>
        <v>3115.4580356938272</v>
      </c>
      <c r="F52" s="372" t="e">
        <f>E44/E49</f>
        <v>#DIV/0!</v>
      </c>
      <c r="G52" s="280" t="s">
        <v>193</v>
      </c>
      <c r="H52" s="293">
        <f>H51/1000</f>
        <v>505.47270488330611</v>
      </c>
      <c r="I52" s="372" t="e">
        <f>H44/H49</f>
        <v>#DIV/0!</v>
      </c>
      <c r="J52" s="12"/>
      <c r="K52" s="86"/>
      <c r="L52" s="12"/>
      <c r="M52" s="12"/>
      <c r="N52" s="12"/>
      <c r="O52" s="12"/>
      <c r="P52" s="12"/>
      <c r="Q52" s="12"/>
      <c r="R52" s="307" t="s">
        <v>154</v>
      </c>
      <c r="S52" s="308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7" t="s">
        <v>155</v>
      </c>
      <c r="S53" s="308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07" t="s">
        <v>156</v>
      </c>
      <c r="S54" s="308"/>
      <c r="T54" s="253">
        <f>$B$39+$I$39+$AC$39</f>
        <v>38.152637946605665</v>
      </c>
      <c r="U54" s="255">
        <f>(T54*8.34*1.029*0.03)/3300</f>
        <v>2.976550886258702E-3</v>
      </c>
    </row>
    <row r="55" spans="1:25" ht="42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</row>
    <row r="56" spans="1:25" ht="24" thickTop="1" x14ac:dyDescent="0.25">
      <c r="A56" s="664"/>
      <c r="B56" s="66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6"/>
      <c r="B57" s="66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2"/>
      <c r="B58" s="66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3"/>
      <c r="B59" s="66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2"/>
      <c r="B60" s="66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3"/>
      <c r="B61" s="663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k36NvmKeB0ux2DRdkguEfbuQOuVpJZF8sX+Mfu5sno2ayVc3Zcgd6Cttm/IHw6xnfc2kNQnCgJSTt0ay7wpiQg==" saltValue="hqr8xFZrZ8YqGUlvpMSf8g==" spinCount="100000" sheet="1" objects="1" scenarios="1" selectLockedCells="1" selectUnlockedCells="1"/>
  <mergeCells count="36">
    <mergeCell ref="AR4:AR5"/>
    <mergeCell ref="AS4:AS5"/>
    <mergeCell ref="AJ4:AJ5"/>
    <mergeCell ref="AK4:AK5"/>
    <mergeCell ref="AL4:AL5"/>
    <mergeCell ref="AM4:AM5"/>
    <mergeCell ref="AN4:AN5"/>
    <mergeCell ref="AO4:AO5"/>
    <mergeCell ref="I4:N5"/>
    <mergeCell ref="AQ4:AQ5"/>
    <mergeCell ref="AP4:AP5"/>
    <mergeCell ref="R43:U43"/>
    <mergeCell ref="AF4:AF5"/>
    <mergeCell ref="AG4:AG5"/>
    <mergeCell ref="AH4:AH5"/>
    <mergeCell ref="AI4:AI5"/>
    <mergeCell ref="O4:T5"/>
    <mergeCell ref="AD4:AD5"/>
    <mergeCell ref="AE4:AE5"/>
    <mergeCell ref="AC4:AC5"/>
    <mergeCell ref="A58:B59"/>
    <mergeCell ref="A60:B61"/>
    <mergeCell ref="A56:B56"/>
    <mergeCell ref="A57:B57"/>
    <mergeCell ref="AB4:AB5"/>
    <mergeCell ref="A54:E54"/>
    <mergeCell ref="A55:E55"/>
    <mergeCell ref="R55:S55"/>
    <mergeCell ref="U4:AA5"/>
    <mergeCell ref="J43:K43"/>
    <mergeCell ref="J46:K46"/>
    <mergeCell ref="A42:K42"/>
    <mergeCell ref="A43:B43"/>
    <mergeCell ref="D43:E43"/>
    <mergeCell ref="G43:H43"/>
    <mergeCell ref="B4:H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W64"/>
  <sheetViews>
    <sheetView tabSelected="1" zoomScale="75" zoomScaleNormal="75" workbookViewId="0">
      <selection activeCell="A13" sqref="A13:XFD13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49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44256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10.508231075604757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43.081218473116664</v>
      </c>
      <c r="AC8" s="57">
        <v>0</v>
      </c>
      <c r="AD8" s="407">
        <v>0</v>
      </c>
      <c r="AE8" s="407">
        <v>9.5448497342205049E-3</v>
      </c>
      <c r="AF8" s="57">
        <v>0</v>
      </c>
      <c r="AG8" s="58">
        <v>0</v>
      </c>
      <c r="AH8" s="58">
        <v>0</v>
      </c>
      <c r="AI8" s="58">
        <v>0</v>
      </c>
      <c r="AJ8" s="57">
        <v>272.77175424098971</v>
      </c>
      <c r="AK8" s="57">
        <v>505.3220838228861</v>
      </c>
      <c r="AL8" s="57">
        <v>1013.2377557118733</v>
      </c>
      <c r="AM8" s="57">
        <v>153.90594863891602</v>
      </c>
      <c r="AN8" s="57">
        <v>1546.417236328125</v>
      </c>
      <c r="AO8" s="57">
        <v>2157.2059675852456</v>
      </c>
      <c r="AP8" s="57">
        <v>691.44548350969944</v>
      </c>
      <c r="AQ8" s="57">
        <v>473.96531653404242</v>
      </c>
      <c r="AR8" s="57">
        <v>158.32001359462737</v>
      </c>
      <c r="AS8" s="57">
        <v>595.35441220601399</v>
      </c>
    </row>
    <row r="9" spans="1:49" x14ac:dyDescent="0.25">
      <c r="A9" s="11">
        <v>44257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51.577099307378113</v>
      </c>
      <c r="J9" s="60">
        <v>151.63368061383568</v>
      </c>
      <c r="K9" s="60">
        <v>8.0899317984779664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21.578470403617956</v>
      </c>
      <c r="AC9" s="69">
        <v>0</v>
      </c>
      <c r="AD9" s="408">
        <v>3.9351583723605601</v>
      </c>
      <c r="AE9" s="408">
        <v>4.6600615424480435E-2</v>
      </c>
      <c r="AF9" s="69">
        <v>0</v>
      </c>
      <c r="AG9" s="68">
        <v>0</v>
      </c>
      <c r="AH9" s="68">
        <v>0</v>
      </c>
      <c r="AI9" s="68">
        <v>0</v>
      </c>
      <c r="AJ9" s="69">
        <v>246.84326008955634</v>
      </c>
      <c r="AK9" s="69">
        <v>473.16341133117675</v>
      </c>
      <c r="AL9" s="69">
        <v>1061.7800388336182</v>
      </c>
      <c r="AM9" s="69">
        <v>153.90594863891602</v>
      </c>
      <c r="AN9" s="69">
        <v>1546.417236328125</v>
      </c>
      <c r="AO9" s="69">
        <v>2180.9313340504959</v>
      </c>
      <c r="AP9" s="69">
        <v>581.0442569096881</v>
      </c>
      <c r="AQ9" s="69">
        <v>401.22905001640311</v>
      </c>
      <c r="AR9" s="69">
        <v>167.05420082807541</v>
      </c>
      <c r="AS9" s="69">
        <v>579.03924633661893</v>
      </c>
    </row>
    <row r="10" spans="1:49" x14ac:dyDescent="0.25">
      <c r="A10" s="11">
        <v>44258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123.14941526651387</v>
      </c>
      <c r="J10" s="60">
        <v>324.8746423085538</v>
      </c>
      <c r="K10" s="60">
        <v>17.690639550487219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127.39378125402678</v>
      </c>
      <c r="V10" s="62">
        <v>0</v>
      </c>
      <c r="W10" s="62">
        <v>12.596818164984379</v>
      </c>
      <c r="X10" s="62">
        <v>0</v>
      </c>
      <c r="Y10" s="66">
        <v>43.256807533899966</v>
      </c>
      <c r="Z10" s="66">
        <v>0</v>
      </c>
      <c r="AA10" s="67">
        <v>0</v>
      </c>
      <c r="AB10" s="68">
        <v>29.097434030638951</v>
      </c>
      <c r="AC10" s="69">
        <v>0</v>
      </c>
      <c r="AD10" s="408">
        <v>8.3519871803980941</v>
      </c>
      <c r="AE10" s="408">
        <v>0</v>
      </c>
      <c r="AF10" s="69">
        <v>0</v>
      </c>
      <c r="AG10" s="68">
        <v>3.3834522899340564</v>
      </c>
      <c r="AH10" s="68">
        <v>0</v>
      </c>
      <c r="AI10" s="68">
        <v>1</v>
      </c>
      <c r="AJ10" s="69">
        <v>237.38986907005312</v>
      </c>
      <c r="AK10" s="69">
        <v>453.27543888092038</v>
      </c>
      <c r="AL10" s="69">
        <v>1047.6413828531902</v>
      </c>
      <c r="AM10" s="69">
        <v>153.90594863891602</v>
      </c>
      <c r="AN10" s="69">
        <v>1546.417236328125</v>
      </c>
      <c r="AO10" s="69">
        <v>2122.7585158030192</v>
      </c>
      <c r="AP10" s="69">
        <v>556.69264934857665</v>
      </c>
      <c r="AQ10" s="69">
        <v>792.47480891545615</v>
      </c>
      <c r="AR10" s="69">
        <v>203.73756685256956</v>
      </c>
      <c r="AS10" s="69">
        <v>622.64956137339277</v>
      </c>
    </row>
    <row r="11" spans="1:49" x14ac:dyDescent="0.25">
      <c r="A11" s="11">
        <v>44259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171.32192897001883</v>
      </c>
      <c r="J11" s="60">
        <v>371.7087644577025</v>
      </c>
      <c r="K11" s="60">
        <v>20.223498010635367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284.63992389043352</v>
      </c>
      <c r="V11" s="62">
        <v>0</v>
      </c>
      <c r="W11" s="62">
        <v>40.311755323410047</v>
      </c>
      <c r="X11" s="62">
        <v>0</v>
      </c>
      <c r="Y11" s="66">
        <v>125.71366662979133</v>
      </c>
      <c r="Z11" s="66">
        <v>0</v>
      </c>
      <c r="AA11" s="67">
        <v>0</v>
      </c>
      <c r="AB11" s="68">
        <v>35.847449131806584</v>
      </c>
      <c r="AC11" s="69">
        <v>0</v>
      </c>
      <c r="AD11" s="408">
        <v>9.5573331868906664</v>
      </c>
      <c r="AE11" s="408">
        <v>0</v>
      </c>
      <c r="AF11" s="69">
        <v>6.0164288371801318</v>
      </c>
      <c r="AG11" s="68">
        <v>8.897427901366628</v>
      </c>
      <c r="AH11" s="68">
        <v>0</v>
      </c>
      <c r="AI11" s="68">
        <v>1</v>
      </c>
      <c r="AJ11" s="69">
        <v>256.80044153531389</v>
      </c>
      <c r="AK11" s="69">
        <v>512.57590864499423</v>
      </c>
      <c r="AL11" s="69">
        <v>1050.3276839574178</v>
      </c>
      <c r="AM11" s="69">
        <v>162.08462370236714</v>
      </c>
      <c r="AN11" s="69">
        <v>1546.417236328125</v>
      </c>
      <c r="AO11" s="69">
        <v>2142.4629188537597</v>
      </c>
      <c r="AP11" s="69">
        <v>605.71241614023836</v>
      </c>
      <c r="AQ11" s="69">
        <v>1503.2754434585572</v>
      </c>
      <c r="AR11" s="69">
        <v>263.47031443913778</v>
      </c>
      <c r="AS11" s="69">
        <v>592.53946456909182</v>
      </c>
    </row>
    <row r="12" spans="1:49" x14ac:dyDescent="0.25">
      <c r="A12" s="11">
        <v>44260</v>
      </c>
      <c r="B12" s="59"/>
      <c r="C12" s="60">
        <v>8.6883535722891487</v>
      </c>
      <c r="D12" s="60">
        <v>0</v>
      </c>
      <c r="E12" s="60">
        <v>1.8779419591029485</v>
      </c>
      <c r="F12" s="60">
        <v>0</v>
      </c>
      <c r="G12" s="60">
        <v>0</v>
      </c>
      <c r="H12" s="61">
        <v>0</v>
      </c>
      <c r="I12" s="59">
        <v>251.14630025625223</v>
      </c>
      <c r="J12" s="60">
        <v>569.73488833109559</v>
      </c>
      <c r="K12" s="60">
        <v>31.148183424274162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367.04946952395994</v>
      </c>
      <c r="V12" s="62">
        <v>0</v>
      </c>
      <c r="W12" s="62">
        <v>55.587669885158512</v>
      </c>
      <c r="X12" s="62">
        <v>0</v>
      </c>
      <c r="Y12" s="66">
        <v>194.41422754923454</v>
      </c>
      <c r="Z12" s="66">
        <v>0</v>
      </c>
      <c r="AA12" s="67">
        <v>0</v>
      </c>
      <c r="AB12" s="68">
        <v>62.131185460090485</v>
      </c>
      <c r="AC12" s="69">
        <v>0</v>
      </c>
      <c r="AD12" s="408">
        <v>14.653818432065615</v>
      </c>
      <c r="AE12" s="408">
        <v>0</v>
      </c>
      <c r="AF12" s="69">
        <v>13.283236223459246</v>
      </c>
      <c r="AG12" s="68">
        <v>13.093761253324271</v>
      </c>
      <c r="AH12" s="68">
        <v>0</v>
      </c>
      <c r="AI12" s="68">
        <v>1</v>
      </c>
      <c r="AJ12" s="69">
        <v>257.08526763916018</v>
      </c>
      <c r="AK12" s="69">
        <v>502.33379996617623</v>
      </c>
      <c r="AL12" s="69">
        <v>1122.7494825998942</v>
      </c>
      <c r="AM12" s="69">
        <v>173.96947860717773</v>
      </c>
      <c r="AN12" s="69">
        <v>1546.417236328125</v>
      </c>
      <c r="AO12" s="69">
        <v>2138.1072174072265</v>
      </c>
      <c r="AP12" s="69">
        <v>597.41462456385295</v>
      </c>
      <c r="AQ12" s="69">
        <v>1976.4291739781697</v>
      </c>
      <c r="AR12" s="69">
        <v>266.99634378751119</v>
      </c>
      <c r="AS12" s="69">
        <v>593.52539145151775</v>
      </c>
    </row>
    <row r="13" spans="1:49" x14ac:dyDescent="0.25">
      <c r="A13" s="11"/>
      <c r="B13" s="59"/>
      <c r="C13" s="60"/>
      <c r="D13" s="60"/>
      <c r="E13" s="60"/>
      <c r="F13" s="60"/>
      <c r="G13" s="60"/>
      <c r="H13" s="61"/>
      <c r="I13" s="59"/>
      <c r="J13" s="60"/>
      <c r="K13" s="60"/>
      <c r="L13" s="50"/>
      <c r="M13" s="6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49" x14ac:dyDescent="0.25">
      <c r="A14" s="11"/>
      <c r="B14" s="59"/>
      <c r="C14" s="60"/>
      <c r="D14" s="60"/>
      <c r="E14" s="60"/>
      <c r="F14" s="60"/>
      <c r="G14" s="60"/>
      <c r="H14" s="61"/>
      <c r="I14" s="59"/>
      <c r="J14" s="60"/>
      <c r="K14" s="60"/>
      <c r="L14" s="50"/>
      <c r="M14" s="6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49" x14ac:dyDescent="0.25">
      <c r="A15" s="11"/>
      <c r="B15" s="59"/>
      <c r="C15" s="60"/>
      <c r="D15" s="60"/>
      <c r="E15" s="60"/>
      <c r="F15" s="60"/>
      <c r="G15" s="60"/>
      <c r="H15" s="61"/>
      <c r="I15" s="59"/>
      <c r="J15" s="60"/>
      <c r="K15" s="60"/>
      <c r="L15" s="50"/>
      <c r="M15" s="6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49" x14ac:dyDescent="0.25">
      <c r="A16" s="11"/>
      <c r="B16" s="59"/>
      <c r="C16" s="60"/>
      <c r="D16" s="60"/>
      <c r="E16" s="60"/>
      <c r="F16" s="60"/>
      <c r="G16" s="60"/>
      <c r="H16" s="61"/>
      <c r="I16" s="59"/>
      <c r="J16" s="60"/>
      <c r="K16" s="60"/>
      <c r="L16" s="50"/>
      <c r="M16" s="60"/>
      <c r="N16" s="61"/>
      <c r="O16" s="59"/>
      <c r="P16" s="60"/>
      <c r="Q16" s="60"/>
      <c r="R16" s="63"/>
      <c r="S16" s="60"/>
      <c r="T16" s="64"/>
      <c r="U16" s="65"/>
      <c r="V16" s="62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11"/>
      <c r="B17" s="49"/>
      <c r="C17" s="50"/>
      <c r="D17" s="50"/>
      <c r="E17" s="50"/>
      <c r="F17" s="50"/>
      <c r="G17" s="50"/>
      <c r="H17" s="51"/>
      <c r="I17" s="49"/>
      <c r="J17" s="50"/>
      <c r="K17" s="50"/>
      <c r="L17" s="50"/>
      <c r="M17" s="50"/>
      <c r="N17" s="51"/>
      <c r="O17" s="49"/>
      <c r="P17" s="50"/>
      <c r="Q17" s="50"/>
      <c r="R17" s="70"/>
      <c r="S17" s="50"/>
      <c r="T17" s="52"/>
      <c r="U17" s="71"/>
      <c r="V17" s="66"/>
      <c r="W17" s="62"/>
      <c r="X17" s="62"/>
      <c r="Y17" s="66"/>
      <c r="Z17" s="66"/>
      <c r="AA17" s="67"/>
      <c r="AB17" s="68"/>
      <c r="AC17" s="69"/>
      <c r="AD17" s="408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11"/>
      <c r="B18" s="59"/>
      <c r="C18" s="60"/>
      <c r="D18" s="60"/>
      <c r="E18" s="60"/>
      <c r="F18" s="60"/>
      <c r="G18" s="60"/>
      <c r="H18" s="61"/>
      <c r="I18" s="59"/>
      <c r="J18" s="60"/>
      <c r="K18" s="60"/>
      <c r="L18" s="50"/>
      <c r="M18" s="6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60"/>
      <c r="F19" s="60"/>
      <c r="G19" s="60"/>
      <c r="H19" s="61"/>
      <c r="I19" s="59"/>
      <c r="J19" s="60"/>
      <c r="K19" s="60"/>
      <c r="L19" s="50"/>
      <c r="M19" s="6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60"/>
      <c r="F20" s="60"/>
      <c r="G20" s="60"/>
      <c r="H20" s="61"/>
      <c r="I20" s="59"/>
      <c r="J20" s="60"/>
      <c r="K20" s="60"/>
      <c r="L20" s="5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60"/>
      <c r="F21" s="60"/>
      <c r="G21" s="60"/>
      <c r="H21" s="61"/>
      <c r="I21" s="59"/>
      <c r="J21" s="60"/>
      <c r="K21" s="60"/>
      <c r="L21" s="5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60"/>
      <c r="F22" s="60"/>
      <c r="G22" s="60"/>
      <c r="H22" s="61"/>
      <c r="I22" s="59"/>
      <c r="J22" s="60"/>
      <c r="K22" s="60"/>
      <c r="L22" s="5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60"/>
      <c r="F23" s="60"/>
      <c r="G23" s="60"/>
      <c r="H23" s="61"/>
      <c r="I23" s="59"/>
      <c r="J23" s="60"/>
      <c r="K23" s="60"/>
      <c r="L23" s="5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60"/>
      <c r="F24" s="60"/>
      <c r="G24" s="60"/>
      <c r="H24" s="61"/>
      <c r="I24" s="59"/>
      <c r="J24" s="60"/>
      <c r="K24" s="60"/>
      <c r="L24" s="5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11"/>
      <c r="B25" s="59"/>
      <c r="C25" s="60"/>
      <c r="D25" s="60"/>
      <c r="E25" s="60"/>
      <c r="F25" s="60"/>
      <c r="G25" s="60"/>
      <c r="H25" s="61"/>
      <c r="I25" s="59"/>
      <c r="J25" s="60"/>
      <c r="K25" s="60"/>
      <c r="L25" s="5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8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11"/>
      <c r="B26" s="59"/>
      <c r="C26" s="60"/>
      <c r="D26" s="60"/>
      <c r="E26" s="60"/>
      <c r="F26" s="60"/>
      <c r="G26" s="60"/>
      <c r="H26" s="61"/>
      <c r="I26" s="59"/>
      <c r="J26" s="60"/>
      <c r="K26" s="60"/>
      <c r="L26" s="5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6"/>
      <c r="Z26" s="66"/>
      <c r="AA26" s="67"/>
      <c r="AB26" s="68"/>
      <c r="AC26" s="69"/>
      <c r="AD26" s="408"/>
      <c r="AE26" s="408"/>
      <c r="AF26" s="69"/>
      <c r="AG26" s="68"/>
      <c r="AH26" s="68"/>
      <c r="AI26" s="68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60"/>
      <c r="F27" s="60"/>
      <c r="G27" s="60"/>
      <c r="H27" s="61"/>
      <c r="I27" s="59"/>
      <c r="J27" s="60"/>
      <c r="K27" s="60"/>
      <c r="L27" s="5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6"/>
      <c r="Z27" s="66"/>
      <c r="AA27" s="67"/>
      <c r="AB27" s="68"/>
      <c r="AC27" s="69"/>
      <c r="AD27" s="408"/>
      <c r="AE27" s="408"/>
      <c r="AF27" s="69"/>
      <c r="AG27" s="68"/>
      <c r="AH27" s="68"/>
      <c r="AI27" s="68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60"/>
      <c r="F28" s="60"/>
      <c r="G28" s="60"/>
      <c r="H28" s="61"/>
      <c r="I28" s="59"/>
      <c r="J28" s="60"/>
      <c r="K28" s="60"/>
      <c r="L28" s="5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60"/>
      <c r="F29" s="60"/>
      <c r="G29" s="60"/>
      <c r="H29" s="61"/>
      <c r="I29" s="59"/>
      <c r="J29" s="60"/>
      <c r="K29" s="60"/>
      <c r="L29" s="5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60"/>
      <c r="F30" s="60"/>
      <c r="G30" s="60"/>
      <c r="H30" s="61"/>
      <c r="I30" s="59"/>
      <c r="J30" s="60"/>
      <c r="K30" s="60"/>
      <c r="L30" s="5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60"/>
      <c r="F31" s="60"/>
      <c r="G31" s="60"/>
      <c r="H31" s="61"/>
      <c r="I31" s="59"/>
      <c r="J31" s="60"/>
      <c r="K31" s="60"/>
      <c r="L31" s="5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60"/>
      <c r="F32" s="60"/>
      <c r="G32" s="60"/>
      <c r="H32" s="61"/>
      <c r="I32" s="59"/>
      <c r="J32" s="60"/>
      <c r="K32" s="60"/>
      <c r="L32" s="5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60"/>
      <c r="F33" s="60"/>
      <c r="G33" s="60"/>
      <c r="H33" s="61"/>
      <c r="I33" s="59"/>
      <c r="J33" s="60"/>
      <c r="K33" s="60"/>
      <c r="L33" s="5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60"/>
      <c r="F34" s="60"/>
      <c r="G34" s="60"/>
      <c r="H34" s="61"/>
      <c r="I34" s="59"/>
      <c r="J34" s="60"/>
      <c r="K34" s="60"/>
      <c r="L34" s="6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59"/>
      <c r="C35" s="60"/>
      <c r="D35" s="60"/>
      <c r="E35" s="60"/>
      <c r="F35" s="60"/>
      <c r="G35" s="60"/>
      <c r="H35" s="61"/>
      <c r="I35" s="59"/>
      <c r="J35" s="60"/>
      <c r="K35" s="60"/>
      <c r="L35" s="6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8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8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59"/>
      <c r="C37" s="60"/>
      <c r="D37" s="60"/>
      <c r="E37" s="60"/>
      <c r="F37" s="60"/>
      <c r="G37" s="60"/>
      <c r="H37" s="61"/>
      <c r="I37" s="59"/>
      <c r="J37" s="60"/>
      <c r="K37" s="60"/>
      <c r="L37" s="6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408"/>
      <c r="AE37" s="408"/>
      <c r="AF37" s="69"/>
      <c r="AG37" s="68"/>
      <c r="AH37" s="68"/>
      <c r="AI37" s="68"/>
      <c r="AJ37" s="69"/>
      <c r="AK37" s="69"/>
      <c r="AL37" s="69"/>
      <c r="AM37" s="69"/>
      <c r="AN37" s="69"/>
      <c r="AO37" s="69"/>
      <c r="AP37" s="69"/>
      <c r="AQ37" s="69"/>
      <c r="AR37" s="69"/>
      <c r="AS37" s="69"/>
    </row>
    <row r="38" spans="1:45" ht="15.75" thickBot="1" x14ac:dyDescent="0.3">
      <c r="A38" s="11"/>
      <c r="B38" s="59"/>
      <c r="C38" s="60"/>
      <c r="D38" s="60"/>
      <c r="E38" s="60"/>
      <c r="F38" s="60"/>
      <c r="G38" s="60"/>
      <c r="H38" s="61"/>
      <c r="I38" s="59"/>
      <c r="J38" s="60"/>
      <c r="K38" s="60"/>
      <c r="L38" s="60"/>
      <c r="M38" s="60"/>
      <c r="N38" s="61"/>
      <c r="O38" s="59"/>
      <c r="P38" s="60"/>
      <c r="Q38" s="60"/>
      <c r="R38" s="63"/>
      <c r="S38" s="60"/>
      <c r="T38" s="64"/>
      <c r="U38" s="65"/>
      <c r="V38" s="62"/>
      <c r="W38" s="62"/>
      <c r="X38" s="62"/>
      <c r="Y38" s="66"/>
      <c r="Z38" s="66"/>
      <c r="AA38" s="67"/>
      <c r="AB38" s="68"/>
      <c r="AC38" s="69"/>
      <c r="AD38" s="408"/>
      <c r="AE38" s="408"/>
      <c r="AF38" s="69"/>
      <c r="AG38" s="68"/>
      <c r="AH38" s="68"/>
      <c r="AI38" s="68"/>
      <c r="AJ38" s="69"/>
      <c r="AK38" s="69"/>
      <c r="AL38" s="69"/>
      <c r="AM38" s="69"/>
      <c r="AN38" s="69"/>
      <c r="AO38" s="69"/>
      <c r="AP38" s="69"/>
      <c r="AQ38" s="69"/>
      <c r="AR38" s="69"/>
      <c r="AS38" s="69"/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8.6883535722891487</v>
      </c>
      <c r="D39" s="30">
        <f t="shared" si="0"/>
        <v>0</v>
      </c>
      <c r="E39" s="30">
        <f t="shared" si="0"/>
        <v>1.8779419591029485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597.194743800163</v>
      </c>
      <c r="J39" s="30">
        <f t="shared" si="0"/>
        <v>1417.9519757111875</v>
      </c>
      <c r="K39" s="30">
        <f t="shared" si="0"/>
        <v>77.152252783874715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779.08317466842027</v>
      </c>
      <c r="V39" s="261">
        <f t="shared" si="0"/>
        <v>10.508231075604757</v>
      </c>
      <c r="W39" s="261">
        <f t="shared" si="0"/>
        <v>108.49624337355294</v>
      </c>
      <c r="X39" s="261">
        <f t="shared" si="0"/>
        <v>0</v>
      </c>
      <c r="Y39" s="261">
        <f t="shared" si="0"/>
        <v>363.38470171292585</v>
      </c>
      <c r="Z39" s="261">
        <f t="shared" si="0"/>
        <v>0</v>
      </c>
      <c r="AA39" s="269">
        <f t="shared" si="0"/>
        <v>0</v>
      </c>
      <c r="AB39" s="272">
        <f t="shared" si="0"/>
        <v>191.73575749927062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1270.8905925750732</v>
      </c>
      <c r="AK39" s="272">
        <f t="shared" si="1"/>
        <v>2446.6706426461537</v>
      </c>
      <c r="AL39" s="272">
        <f t="shared" si="1"/>
        <v>5295.736343955994</v>
      </c>
      <c r="AM39" s="272">
        <f t="shared" si="1"/>
        <v>797.77194822629292</v>
      </c>
      <c r="AN39" s="272">
        <f t="shared" si="1"/>
        <v>7732.086181640625</v>
      </c>
      <c r="AO39" s="272">
        <f t="shared" si="1"/>
        <v>10741.465953699748</v>
      </c>
      <c r="AP39" s="272">
        <f t="shared" si="1"/>
        <v>3032.3094304720557</v>
      </c>
      <c r="AQ39" s="272">
        <f t="shared" si="1"/>
        <v>5147.3737929026283</v>
      </c>
      <c r="AR39" s="272">
        <f t="shared" si="1"/>
        <v>1059.5784395019214</v>
      </c>
      <c r="AS39" s="272">
        <f t="shared" si="1"/>
        <v>2983.1080759366355</v>
      </c>
    </row>
    <row r="40" spans="1:45" ht="15.75" thickBot="1" x14ac:dyDescent="0.3">
      <c r="A40" s="47" t="s">
        <v>172</v>
      </c>
      <c r="B40" s="32">
        <f>Projection!$AA$30</f>
        <v>0.66681052199999991</v>
      </c>
      <c r="C40" s="33">
        <f>Projection!$AA$28</f>
        <v>1.4286753599999999</v>
      </c>
      <c r="D40" s="33">
        <f>Projection!$AA$31</f>
        <v>2.1114878399999997</v>
      </c>
      <c r="E40" s="33">
        <f>Projection!$AA$26</f>
        <v>4.4235360000000004</v>
      </c>
      <c r="F40" s="33">
        <f>Projection!$AA$23</f>
        <v>0</v>
      </c>
      <c r="G40" s="33">
        <f>Projection!$AA$24</f>
        <v>7.2805000000000009E-2</v>
      </c>
      <c r="H40" s="34">
        <f>Projection!$AA$29</f>
        <v>3.7390305000000001</v>
      </c>
      <c r="I40" s="32">
        <f>Projection!$AA$30</f>
        <v>0.66681052199999991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64">
        <f>Projection!$AA$28</f>
        <v>1.4286753599999999</v>
      </c>
      <c r="T40" s="265">
        <f>Projection!$AA$28</f>
        <v>1.4286753599999999</v>
      </c>
      <c r="U40" s="263">
        <f>Projection!$AA$27</f>
        <v>0.26450000000000001</v>
      </c>
      <c r="V40" s="264">
        <f>Projection!$AA$27</f>
        <v>0.26450000000000001</v>
      </c>
      <c r="W40" s="264">
        <f>Projection!$AA$22</f>
        <v>0.85935360000000005</v>
      </c>
      <c r="X40" s="264">
        <f>Projection!$AA$22</f>
        <v>0.85935360000000005</v>
      </c>
      <c r="Y40" s="264">
        <f>Projection!$AA$31</f>
        <v>2.1114878399999997</v>
      </c>
      <c r="Z40" s="264">
        <f>Projection!$AA$31</f>
        <v>2.1114878399999997</v>
      </c>
      <c r="AA40" s="270">
        <v>0</v>
      </c>
      <c r="AB40" s="273">
        <f>Projection!$AA$27</f>
        <v>0.26450000000000001</v>
      </c>
      <c r="AC40" s="273">
        <f>Projection!$AA$30</f>
        <v>0.66681052199999991</v>
      </c>
      <c r="AD40" s="399">
        <f>SUM(AD8:AD38)</f>
        <v>36.498297171714931</v>
      </c>
      <c r="AE40" s="399">
        <f>SUM(AE8:AE38)</f>
        <v>5.614546515870094E-2</v>
      </c>
      <c r="AF40" s="276">
        <f>SUM(AF8:AF38)</f>
        <v>19.299665060639377</v>
      </c>
      <c r="AG40" s="276">
        <f>SUM(AG8:AG38)</f>
        <v>25.374641444624956</v>
      </c>
      <c r="AH40" s="276">
        <f>SUM(AH8:AH38)</f>
        <v>0</v>
      </c>
      <c r="AI40" s="276">
        <f>IF(SUM(AG40:AH40)&gt;0, AG40/(AG40+AH40), 0)</f>
        <v>1</v>
      </c>
      <c r="AJ40" s="311">
        <v>6.7000000000000004E-2</v>
      </c>
      <c r="AK40" s="311">
        <f t="shared" ref="AK40:AS40" si="2">$AJ$40</f>
        <v>6.7000000000000004E-2</v>
      </c>
      <c r="AL40" s="311">
        <f t="shared" si="2"/>
        <v>6.7000000000000004E-2</v>
      </c>
      <c r="AM40" s="311">
        <f t="shared" si="2"/>
        <v>6.7000000000000004E-2</v>
      </c>
      <c r="AN40" s="311">
        <f t="shared" si="2"/>
        <v>6.7000000000000004E-2</v>
      </c>
      <c r="AO40" s="311">
        <f t="shared" si="2"/>
        <v>6.7000000000000004E-2</v>
      </c>
      <c r="AP40" s="311">
        <f t="shared" si="2"/>
        <v>6.7000000000000004E-2</v>
      </c>
      <c r="AQ40" s="311">
        <f t="shared" si="2"/>
        <v>6.7000000000000004E-2</v>
      </c>
      <c r="AR40" s="311">
        <f t="shared" si="2"/>
        <v>6.7000000000000004E-2</v>
      </c>
      <c r="AS40" s="311">
        <f t="shared" si="2"/>
        <v>6.7000000000000004E-2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12.412836667697485</v>
      </c>
      <c r="D41" s="36">
        <f t="shared" si="3"/>
        <v>0</v>
      </c>
      <c r="E41" s="36">
        <f t="shared" si="3"/>
        <v>8.3071438620024214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398.21573884904291</v>
      </c>
      <c r="J41" s="36">
        <f t="shared" si="3"/>
        <v>2025.7930493618919</v>
      </c>
      <c r="K41" s="36">
        <f t="shared" si="3"/>
        <v>341.28576767057007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206.06749969979717</v>
      </c>
      <c r="V41" s="267">
        <f t="shared" si="3"/>
        <v>2.7794271194974582</v>
      </c>
      <c r="W41" s="267">
        <f t="shared" si="3"/>
        <v>93.236637329538866</v>
      </c>
      <c r="X41" s="267">
        <f t="shared" si="3"/>
        <v>0</v>
      </c>
      <c r="Y41" s="267">
        <f t="shared" si="3"/>
        <v>767.28237890886999</v>
      </c>
      <c r="Z41" s="267">
        <f t="shared" si="3"/>
        <v>0</v>
      </c>
      <c r="AA41" s="271">
        <f t="shared" si="3"/>
        <v>0</v>
      </c>
      <c r="AB41" s="274">
        <f t="shared" si="3"/>
        <v>50.714107858557078</v>
      </c>
      <c r="AC41" s="274">
        <f t="shared" si="3"/>
        <v>0</v>
      </c>
      <c r="AJ41" s="277">
        <f t="shared" ref="AJ41:AS41" si="4">AJ40*AJ39</f>
        <v>85.149669702529906</v>
      </c>
      <c r="AK41" s="277">
        <f t="shared" si="4"/>
        <v>163.9269330572923</v>
      </c>
      <c r="AL41" s="277">
        <f t="shared" si="4"/>
        <v>354.81433504505162</v>
      </c>
      <c r="AM41" s="277">
        <f t="shared" si="4"/>
        <v>53.450720531161629</v>
      </c>
      <c r="AN41" s="277">
        <f t="shared" si="4"/>
        <v>518.04977416992188</v>
      </c>
      <c r="AO41" s="277">
        <f t="shared" si="4"/>
        <v>719.6782188978832</v>
      </c>
      <c r="AP41" s="277">
        <f t="shared" si="4"/>
        <v>203.16473184162774</v>
      </c>
      <c r="AQ41" s="277">
        <f t="shared" si="4"/>
        <v>344.87404412447614</v>
      </c>
      <c r="AR41" s="277">
        <f t="shared" si="4"/>
        <v>70.99175544662873</v>
      </c>
      <c r="AS41" s="277">
        <f t="shared" si="4"/>
        <v>199.8682410877546</v>
      </c>
    </row>
    <row r="42" spans="1:45" ht="49.5" customHeight="1" thickTop="1" thickBot="1" x14ac:dyDescent="0.3">
      <c r="A42" s="636">
        <f>FEBRUARY!$A$42+29</f>
        <v>44257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3906.0945873274654</v>
      </c>
      <c r="C44" s="12"/>
      <c r="D44" s="281" t="s">
        <v>135</v>
      </c>
      <c r="E44" s="282">
        <f>SUM(B41:H41)+P41+R41+T41+V41+X41+Z41</f>
        <v>23.499407649197366</v>
      </c>
      <c r="F44" s="12"/>
      <c r="G44" s="281" t="s">
        <v>135</v>
      </c>
      <c r="H44" s="282">
        <f>SUM(I41:N41)+O41+Q41+S41+U41+W41+Y41</f>
        <v>3831.881071819711</v>
      </c>
      <c r="I44" s="12"/>
      <c r="J44" s="281" t="s">
        <v>198</v>
      </c>
      <c r="K44" s="282"/>
      <c r="L44" s="12"/>
      <c r="M44" s="409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2713.9684239043277</v>
      </c>
      <c r="C45" s="12"/>
      <c r="D45" s="283" t="s">
        <v>183</v>
      </c>
      <c r="E45" s="284">
        <f>AJ41*(1-$AI$40)+AK41+AL41*0.5+AN41+AO41*(1-$AI$40)+AP41*(1-$AI$40)+AQ41*(1-$AI$40)+AR41*0.5+AS41*0.5</f>
        <v>994.81387301693167</v>
      </c>
      <c r="F45" s="24"/>
      <c r="G45" s="283" t="s">
        <v>183</v>
      </c>
      <c r="H45" s="284">
        <f>AJ41*AI40+AL41*0.5+AM41+AO41*AI40+AP41*AI40+AQ41*AI40+AR41*0.5+AS41*0.5</f>
        <v>1719.154550887396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108.49624337355294</v>
      </c>
      <c r="U45" s="255">
        <f>(T45*8.34*0.895)/27000</f>
        <v>2.9994389237526342E-2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19.299665060639377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25.374641444624956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79.03019474297767</v>
      </c>
      <c r="U49" s="255">
        <f>(T49*8.34*1.04)/45000</f>
        <v>1.5232806602726469E-2</v>
      </c>
    </row>
    <row r="50" spans="1:25" ht="48" customHeight="1" thickTop="1" thickBot="1" x14ac:dyDescent="0.3">
      <c r="A50" s="290" t="s">
        <v>223</v>
      </c>
      <c r="B50" s="291">
        <f>SUM(E50+H50)</f>
        <v>36.554442636873631</v>
      </c>
      <c r="C50" s="12"/>
      <c r="D50" s="290" t="s">
        <v>224</v>
      </c>
      <c r="E50" s="291">
        <f>AE40</f>
        <v>5.614546515870094E-2</v>
      </c>
      <c r="F50" s="23"/>
      <c r="G50" s="290" t="s">
        <v>225</v>
      </c>
      <c r="H50" s="291">
        <f>AD40</f>
        <v>36.498297171714931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>
        <f>(SUM(B44:B48)/B50)</f>
        <v>181.1014621941992</v>
      </c>
      <c r="C51" s="12"/>
      <c r="D51" s="290" t="s">
        <v>188</v>
      </c>
      <c r="E51" s="292">
        <f>SUM(E44:E48)/E50</f>
        <v>18137.053060078168</v>
      </c>
      <c r="F51" s="373" t="e">
        <f>E44/E49</f>
        <v>#DIV/0!</v>
      </c>
      <c r="G51" s="290" t="s">
        <v>189</v>
      </c>
      <c r="H51" s="292">
        <f>SUM(H44:H48)/H50</f>
        <v>152.09026318655191</v>
      </c>
      <c r="I51" s="372">
        <f>H44/H49</f>
        <v>151.01222534245537</v>
      </c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981.32716324329567</v>
      </c>
      <c r="U51" s="255">
        <f>T51/2000/8</f>
        <v>6.1332947702705982E-2</v>
      </c>
    </row>
    <row r="52" spans="1:25" ht="47.25" customHeight="1" thickTop="1" thickBot="1" x14ac:dyDescent="0.3">
      <c r="A52" s="280" t="s">
        <v>191</v>
      </c>
      <c r="B52" s="293">
        <f>B51/1000</f>
        <v>0.1811014621941992</v>
      </c>
      <c r="C52" s="12"/>
      <c r="D52" s="280" t="s">
        <v>192</v>
      </c>
      <c r="E52" s="293">
        <f>E51/1000</f>
        <v>18.137053060078166</v>
      </c>
      <c r="F52" s="12"/>
      <c r="G52" s="280" t="s">
        <v>193</v>
      </c>
      <c r="H52" s="293">
        <f>H51/1000</f>
        <v>0.15209026318655192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1426.6403292834766</v>
      </c>
      <c r="U52" s="255">
        <f>(T52*8.34*1.4)/45000</f>
        <v>0.37016561077141935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597.194743800163</v>
      </c>
      <c r="U54" s="255">
        <f>(T54*8.34*1.029*0.03)/3300</f>
        <v>4.6591288036626058E-2</v>
      </c>
    </row>
    <row r="55" spans="1:25" ht="45.7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363.38470171292585</v>
      </c>
      <c r="U55" s="258">
        <f>(T55*1.54*8.34)/45000</f>
        <v>0.1037148389982252</v>
      </c>
    </row>
    <row r="56" spans="1:25" ht="24" thickTop="1" x14ac:dyDescent="0.25">
      <c r="A56" s="664"/>
      <c r="B56" s="66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.75" customHeight="1" x14ac:dyDescent="0.25">
      <c r="A57" s="666"/>
      <c r="B57" s="66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2"/>
      <c r="B58" s="66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3"/>
      <c r="B59" s="66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2"/>
      <c r="B60" s="66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3"/>
      <c r="B61" s="663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11hGAsy8PjrsQhTGkaLBD29hOvrSF+85NUjWGom7VQFhO0m01Z8WwDkQvnVl9l/YTkrPq9AEIMnFWhgaQ3m7Lg==" saltValue="0v6ek2Pk2YPUrRH4NrpfAg==" spinCount="100000" sheet="1" objects="1" scenarios="1" selectLockedCells="1" selectUnlockedCells="1"/>
  <mergeCells count="36"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D4:AD5"/>
    <mergeCell ref="AE4:AE5"/>
    <mergeCell ref="R43:U43"/>
    <mergeCell ref="A54:E54"/>
    <mergeCell ref="A55:E55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64"/>
  <sheetViews>
    <sheetView zoomScale="75" zoomScaleNormal="75" workbookViewId="0">
      <selection activeCell="A8" sqref="A8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425781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/>
      <c r="B8" s="49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2"/>
      <c r="U8" s="53"/>
      <c r="V8" s="54"/>
      <c r="W8" s="54"/>
      <c r="X8" s="54"/>
      <c r="Y8" s="54"/>
      <c r="Z8" s="54"/>
      <c r="AA8" s="55"/>
      <c r="AB8" s="56"/>
      <c r="AC8" s="57"/>
      <c r="AD8" s="407"/>
      <c r="AE8" s="407"/>
      <c r="AF8" s="57"/>
      <c r="AG8" s="58"/>
      <c r="AH8" s="58"/>
      <c r="AI8" s="58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 spans="1:49" x14ac:dyDescent="0.25">
      <c r="A9" s="11"/>
      <c r="B9" s="59"/>
      <c r="C9" s="60"/>
      <c r="D9" s="60"/>
      <c r="E9" s="60"/>
      <c r="F9" s="60"/>
      <c r="G9" s="60"/>
      <c r="H9" s="61"/>
      <c r="I9" s="59"/>
      <c r="J9" s="60"/>
      <c r="K9" s="60"/>
      <c r="L9" s="50"/>
      <c r="M9" s="60"/>
      <c r="N9" s="61"/>
      <c r="O9" s="59"/>
      <c r="P9" s="60"/>
      <c r="Q9" s="62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8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49" x14ac:dyDescent="0.25">
      <c r="A10" s="11"/>
      <c r="B10" s="59"/>
      <c r="C10" s="60"/>
      <c r="D10" s="60"/>
      <c r="E10" s="60"/>
      <c r="F10" s="60"/>
      <c r="G10" s="60"/>
      <c r="H10" s="61"/>
      <c r="I10" s="59"/>
      <c r="J10" s="60"/>
      <c r="K10" s="60"/>
      <c r="L10" s="50"/>
      <c r="M10" s="6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8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49" x14ac:dyDescent="0.25">
      <c r="A11" s="11"/>
      <c r="B11" s="59"/>
      <c r="C11" s="60"/>
      <c r="D11" s="60"/>
      <c r="E11" s="60"/>
      <c r="F11" s="60"/>
      <c r="G11" s="60"/>
      <c r="H11" s="61"/>
      <c r="I11" s="59"/>
      <c r="J11" s="60"/>
      <c r="K11" s="60"/>
      <c r="L11" s="50"/>
      <c r="M11" s="6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8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49" x14ac:dyDescent="0.25">
      <c r="A12" s="11"/>
      <c r="B12" s="59"/>
      <c r="C12" s="60"/>
      <c r="D12" s="60"/>
      <c r="E12" s="60"/>
      <c r="F12" s="60"/>
      <c r="G12" s="60"/>
      <c r="H12" s="61"/>
      <c r="I12" s="59"/>
      <c r="J12" s="60"/>
      <c r="K12" s="60"/>
      <c r="L12" s="50"/>
      <c r="M12" s="6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8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49" x14ac:dyDescent="0.25">
      <c r="A13" s="11"/>
      <c r="B13" s="59"/>
      <c r="C13" s="60"/>
      <c r="D13" s="60"/>
      <c r="E13" s="60"/>
      <c r="F13" s="60"/>
      <c r="G13" s="60"/>
      <c r="H13" s="61"/>
      <c r="I13" s="59"/>
      <c r="J13" s="60"/>
      <c r="K13" s="60"/>
      <c r="L13" s="50"/>
      <c r="M13" s="6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49" x14ac:dyDescent="0.25">
      <c r="A14" s="11"/>
      <c r="B14" s="59"/>
      <c r="C14" s="60"/>
      <c r="D14" s="60"/>
      <c r="E14" s="60"/>
      <c r="F14" s="60"/>
      <c r="G14" s="60"/>
      <c r="H14" s="61"/>
      <c r="I14" s="59"/>
      <c r="J14" s="60"/>
      <c r="K14" s="60"/>
      <c r="L14" s="50"/>
      <c r="M14" s="6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49" x14ac:dyDescent="0.25">
      <c r="A15" s="11"/>
      <c r="B15" s="59"/>
      <c r="C15" s="60"/>
      <c r="D15" s="60"/>
      <c r="E15" s="60"/>
      <c r="F15" s="60"/>
      <c r="G15" s="60"/>
      <c r="H15" s="61"/>
      <c r="I15" s="59"/>
      <c r="J15" s="60"/>
      <c r="K15" s="60"/>
      <c r="L15" s="50"/>
      <c r="M15" s="6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49" x14ac:dyDescent="0.25">
      <c r="A16" s="11"/>
      <c r="B16" s="59"/>
      <c r="C16" s="60"/>
      <c r="D16" s="60"/>
      <c r="E16" s="60"/>
      <c r="F16" s="60"/>
      <c r="G16" s="60"/>
      <c r="H16" s="61"/>
      <c r="I16" s="59"/>
      <c r="J16" s="60"/>
      <c r="K16" s="60"/>
      <c r="L16" s="50"/>
      <c r="M16" s="60"/>
      <c r="N16" s="61"/>
      <c r="O16" s="59"/>
      <c r="P16" s="60"/>
      <c r="Q16" s="60"/>
      <c r="R16" s="63"/>
      <c r="S16" s="60"/>
      <c r="T16" s="64"/>
      <c r="U16" s="65"/>
      <c r="V16" s="62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11"/>
      <c r="B17" s="49"/>
      <c r="C17" s="50"/>
      <c r="D17" s="50"/>
      <c r="E17" s="50"/>
      <c r="F17" s="50"/>
      <c r="G17" s="50"/>
      <c r="H17" s="51"/>
      <c r="I17" s="49"/>
      <c r="J17" s="50"/>
      <c r="K17" s="50"/>
      <c r="L17" s="50"/>
      <c r="M17" s="50"/>
      <c r="N17" s="51"/>
      <c r="O17" s="49"/>
      <c r="P17" s="50"/>
      <c r="Q17" s="50"/>
      <c r="R17" s="70"/>
      <c r="S17" s="50"/>
      <c r="T17" s="52"/>
      <c r="U17" s="71"/>
      <c r="V17" s="66"/>
      <c r="W17" s="62"/>
      <c r="X17" s="62"/>
      <c r="Y17" s="66"/>
      <c r="Z17" s="66"/>
      <c r="AA17" s="67"/>
      <c r="AB17" s="68"/>
      <c r="AC17" s="69"/>
      <c r="AD17" s="408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11"/>
      <c r="B18" s="59"/>
      <c r="C18" s="60"/>
      <c r="D18" s="60"/>
      <c r="E18" s="60"/>
      <c r="F18" s="60"/>
      <c r="G18" s="60"/>
      <c r="H18" s="61"/>
      <c r="I18" s="59"/>
      <c r="J18" s="60"/>
      <c r="K18" s="60"/>
      <c r="L18" s="50"/>
      <c r="M18" s="60"/>
      <c r="N18" s="61"/>
      <c r="O18" s="59"/>
      <c r="P18" s="60"/>
      <c r="Q18" s="60"/>
      <c r="R18" s="63"/>
      <c r="S18" s="60"/>
      <c r="T18" s="64"/>
      <c r="U18" s="65"/>
      <c r="V18" s="66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60"/>
      <c r="F19" s="60"/>
      <c r="G19" s="60"/>
      <c r="H19" s="61"/>
      <c r="I19" s="59"/>
      <c r="J19" s="60"/>
      <c r="K19" s="60"/>
      <c r="L19" s="50"/>
      <c r="M19" s="60"/>
      <c r="N19" s="61"/>
      <c r="O19" s="59"/>
      <c r="P19" s="60"/>
      <c r="Q19" s="60"/>
      <c r="R19" s="63"/>
      <c r="S19" s="60"/>
      <c r="T19" s="64"/>
      <c r="U19" s="65"/>
      <c r="V19" s="66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60"/>
      <c r="F20" s="60"/>
      <c r="G20" s="60"/>
      <c r="H20" s="61"/>
      <c r="I20" s="59"/>
      <c r="J20" s="60"/>
      <c r="K20" s="60"/>
      <c r="L20" s="5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60"/>
      <c r="F21" s="60"/>
      <c r="G21" s="60"/>
      <c r="H21" s="61"/>
      <c r="I21" s="59"/>
      <c r="J21" s="60"/>
      <c r="K21" s="60"/>
      <c r="L21" s="5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60"/>
      <c r="F22" s="60"/>
      <c r="G22" s="60"/>
      <c r="H22" s="61"/>
      <c r="I22" s="59"/>
      <c r="J22" s="60"/>
      <c r="K22" s="60"/>
      <c r="L22" s="5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60"/>
      <c r="F23" s="60"/>
      <c r="G23" s="60"/>
      <c r="H23" s="61"/>
      <c r="I23" s="59"/>
      <c r="J23" s="60"/>
      <c r="K23" s="60"/>
      <c r="L23" s="5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60"/>
      <c r="F24" s="60"/>
      <c r="G24" s="60"/>
      <c r="H24" s="61"/>
      <c r="I24" s="59"/>
      <c r="J24" s="60"/>
      <c r="K24" s="60"/>
      <c r="L24" s="5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11"/>
      <c r="B25" s="59"/>
      <c r="C25" s="60"/>
      <c r="D25" s="60"/>
      <c r="E25" s="60"/>
      <c r="F25" s="60"/>
      <c r="G25" s="60"/>
      <c r="H25" s="61"/>
      <c r="I25" s="59"/>
      <c r="J25" s="60"/>
      <c r="K25" s="60"/>
      <c r="L25" s="5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8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11"/>
      <c r="B26" s="59"/>
      <c r="C26" s="60"/>
      <c r="D26" s="60"/>
      <c r="E26" s="60"/>
      <c r="F26" s="60"/>
      <c r="G26" s="60"/>
      <c r="H26" s="61"/>
      <c r="I26" s="59"/>
      <c r="J26" s="60"/>
      <c r="K26" s="60"/>
      <c r="L26" s="5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6"/>
      <c r="Z26" s="66"/>
      <c r="AA26" s="67"/>
      <c r="AB26" s="68"/>
      <c r="AC26" s="69"/>
      <c r="AD26" s="408"/>
      <c r="AE26" s="408"/>
      <c r="AF26" s="69"/>
      <c r="AG26" s="68"/>
      <c r="AH26" s="68"/>
      <c r="AI26" s="68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60"/>
      <c r="F27" s="60"/>
      <c r="G27" s="60"/>
      <c r="H27" s="61"/>
      <c r="I27" s="59"/>
      <c r="J27" s="60"/>
      <c r="K27" s="60"/>
      <c r="L27" s="5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2"/>
      <c r="Z27" s="62"/>
      <c r="AA27" s="72"/>
      <c r="AB27" s="69"/>
      <c r="AC27" s="69"/>
      <c r="AD27" s="408"/>
      <c r="AE27" s="408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60"/>
      <c r="F28" s="60"/>
      <c r="G28" s="60"/>
      <c r="H28" s="61"/>
      <c r="I28" s="59"/>
      <c r="J28" s="60"/>
      <c r="K28" s="60"/>
      <c r="L28" s="5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60"/>
      <c r="F29" s="60"/>
      <c r="G29" s="60"/>
      <c r="H29" s="61"/>
      <c r="I29" s="59"/>
      <c r="J29" s="60"/>
      <c r="K29" s="60"/>
      <c r="L29" s="5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60"/>
      <c r="F30" s="60"/>
      <c r="G30" s="60"/>
      <c r="H30" s="61"/>
      <c r="I30" s="59"/>
      <c r="J30" s="60"/>
      <c r="K30" s="60"/>
      <c r="L30" s="6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60"/>
      <c r="F31" s="60"/>
      <c r="G31" s="60"/>
      <c r="H31" s="61"/>
      <c r="I31" s="59"/>
      <c r="J31" s="60"/>
      <c r="K31" s="60"/>
      <c r="L31" s="6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60"/>
      <c r="F32" s="60"/>
      <c r="G32" s="60"/>
      <c r="H32" s="61"/>
      <c r="I32" s="59"/>
      <c r="J32" s="60"/>
      <c r="K32" s="60"/>
      <c r="L32" s="6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60"/>
      <c r="F33" s="60"/>
      <c r="G33" s="60"/>
      <c r="H33" s="61"/>
      <c r="I33" s="59"/>
      <c r="J33" s="60"/>
      <c r="K33" s="60"/>
      <c r="L33" s="6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60"/>
      <c r="F34" s="60"/>
      <c r="G34" s="60"/>
      <c r="H34" s="61"/>
      <c r="I34" s="59"/>
      <c r="J34" s="60"/>
      <c r="K34" s="60"/>
      <c r="L34" s="6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59"/>
      <c r="C35" s="60"/>
      <c r="D35" s="60"/>
      <c r="E35" s="60"/>
      <c r="F35" s="60"/>
      <c r="G35" s="60"/>
      <c r="H35" s="61"/>
      <c r="I35" s="59"/>
      <c r="J35" s="60"/>
      <c r="K35" s="60"/>
      <c r="L35" s="6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8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8"/>
      <c r="AE36" s="408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59"/>
      <c r="C37" s="60"/>
      <c r="D37" s="60"/>
      <c r="E37" s="60"/>
      <c r="F37" s="60"/>
      <c r="G37" s="60"/>
      <c r="H37" s="61"/>
      <c r="I37" s="59"/>
      <c r="J37" s="60"/>
      <c r="K37" s="60"/>
      <c r="L37" s="6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408"/>
      <c r="AE37" s="408"/>
      <c r="AF37" s="69"/>
      <c r="AG37" s="68"/>
      <c r="AH37" s="68"/>
      <c r="AI37" s="68"/>
      <c r="AJ37" s="69"/>
      <c r="AK37" s="69"/>
      <c r="AL37" s="69"/>
      <c r="AM37" s="69"/>
      <c r="AN37" s="69"/>
      <c r="AO37" s="69"/>
      <c r="AP37" s="69"/>
      <c r="AQ37" s="69"/>
      <c r="AR37" s="69"/>
      <c r="AS37" s="69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8"/>
      <c r="AE38" s="408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0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1">SUM(AJ8:AJ38)</f>
        <v>0</v>
      </c>
      <c r="AK39" s="272">
        <f t="shared" si="1"/>
        <v>0</v>
      </c>
      <c r="AL39" s="272">
        <f t="shared" si="1"/>
        <v>0</v>
      </c>
      <c r="AM39" s="272">
        <f t="shared" si="1"/>
        <v>0</v>
      </c>
      <c r="AN39" s="272">
        <f t="shared" si="1"/>
        <v>0</v>
      </c>
      <c r="AO39" s="272">
        <f t="shared" si="1"/>
        <v>0</v>
      </c>
      <c r="AP39" s="272">
        <f t="shared" si="1"/>
        <v>0</v>
      </c>
      <c r="AQ39" s="272">
        <f t="shared" si="1"/>
        <v>0</v>
      </c>
      <c r="AR39" s="272">
        <f t="shared" si="1"/>
        <v>0</v>
      </c>
      <c r="AS39" s="272">
        <f t="shared" si="1"/>
        <v>0</v>
      </c>
    </row>
    <row r="40" spans="1:45" ht="15.75" thickBot="1" x14ac:dyDescent="0.3">
      <c r="A40" s="47" t="s">
        <v>172</v>
      </c>
      <c r="B40" s="32">
        <f>Projection!$AB$30</f>
        <v>0</v>
      </c>
      <c r="C40" s="33">
        <f>Projection!$AB$28</f>
        <v>0</v>
      </c>
      <c r="D40" s="33">
        <f>Projection!$AB$31</f>
        <v>2.1114878399999997</v>
      </c>
      <c r="E40" s="33">
        <f>Projection!$AB$26</f>
        <v>4.4235360000000004</v>
      </c>
      <c r="F40" s="33">
        <f>Projection!$AB$23</f>
        <v>0</v>
      </c>
      <c r="G40" s="33">
        <f>Projection!$AB$24</f>
        <v>7.2805000000000009E-2</v>
      </c>
      <c r="H40" s="34">
        <f>Projection!$AB$29</f>
        <v>0</v>
      </c>
      <c r="I40" s="32">
        <f>Projection!$AB$30</f>
        <v>0</v>
      </c>
      <c r="J40" s="33">
        <f>Projection!$AB$28</f>
        <v>0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0</v>
      </c>
      <c r="T40" s="38">
        <f>Projection!$AB$28</f>
        <v>0</v>
      </c>
      <c r="U40" s="26">
        <f>Projection!$AB$27</f>
        <v>0.26450000000000001</v>
      </c>
      <c r="V40" s="27">
        <f>Projection!$AB$27</f>
        <v>0.26450000000000001</v>
      </c>
      <c r="W40" s="27">
        <f>Projection!$AB$22</f>
        <v>0</v>
      </c>
      <c r="X40" s="27">
        <f>Projection!$AB$22</f>
        <v>0</v>
      </c>
      <c r="Y40" s="27">
        <f>Projection!$AB$31</f>
        <v>2.1114878399999997</v>
      </c>
      <c r="Z40" s="27">
        <f>Projection!$AB$31</f>
        <v>2.1114878399999997</v>
      </c>
      <c r="AA40" s="28">
        <v>0</v>
      </c>
      <c r="AB40" s="41">
        <f>Projection!$AB$27</f>
        <v>0.26450000000000001</v>
      </c>
      <c r="AC40" s="41">
        <f>Projection!$AB$30</f>
        <v>0</v>
      </c>
      <c r="AD40" s="399">
        <f>SUM(AD8:AD38)</f>
        <v>0</v>
      </c>
      <c r="AE40" s="399">
        <f>SUM(AE8:AE38)</f>
        <v>0</v>
      </c>
      <c r="AF40" s="276">
        <f>SUM(AF8:AF38)</f>
        <v>0</v>
      </c>
      <c r="AG40" s="276">
        <f>SUM(AG8:AG38)</f>
        <v>0</v>
      </c>
      <c r="AH40" s="276">
        <f>SUM(AH8:AH38)</f>
        <v>0</v>
      </c>
      <c r="AI40" s="276">
        <f>IF(SUM(AG40:AH40)&gt;0, AG40/(AG40+AH40), 0)</f>
        <v>0</v>
      </c>
      <c r="AJ40" s="311">
        <v>6.3E-2</v>
      </c>
      <c r="AK40" s="311">
        <f t="shared" ref="AK40:AS40" si="2">$AJ$40</f>
        <v>6.3E-2</v>
      </c>
      <c r="AL40" s="311">
        <f t="shared" si="2"/>
        <v>6.3E-2</v>
      </c>
      <c r="AM40" s="311">
        <f t="shared" si="2"/>
        <v>6.3E-2</v>
      </c>
      <c r="AN40" s="311">
        <f t="shared" si="2"/>
        <v>6.3E-2</v>
      </c>
      <c r="AO40" s="311">
        <f t="shared" si="2"/>
        <v>6.3E-2</v>
      </c>
      <c r="AP40" s="311">
        <f t="shared" si="2"/>
        <v>6.3E-2</v>
      </c>
      <c r="AQ40" s="311">
        <f t="shared" si="2"/>
        <v>6.3E-2</v>
      </c>
      <c r="AR40" s="311">
        <f t="shared" si="2"/>
        <v>6.3E-2</v>
      </c>
      <c r="AS40" s="311">
        <f t="shared" si="2"/>
        <v>6.3E-2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0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J41" s="277">
        <f t="shared" ref="AJ41:AS41" si="4">AJ40*AJ39</f>
        <v>0</v>
      </c>
      <c r="AK41" s="277">
        <f t="shared" si="4"/>
        <v>0</v>
      </c>
      <c r="AL41" s="277">
        <f t="shared" si="4"/>
        <v>0</v>
      </c>
      <c r="AM41" s="277">
        <f t="shared" si="4"/>
        <v>0</v>
      </c>
      <c r="AN41" s="277">
        <f t="shared" si="4"/>
        <v>0</v>
      </c>
      <c r="AO41" s="277">
        <f t="shared" si="4"/>
        <v>0</v>
      </c>
      <c r="AP41" s="277">
        <f t="shared" si="4"/>
        <v>0</v>
      </c>
      <c r="AQ41" s="277">
        <f t="shared" si="4"/>
        <v>0</v>
      </c>
      <c r="AR41" s="277">
        <f t="shared" si="4"/>
        <v>0</v>
      </c>
      <c r="AS41" s="277">
        <f t="shared" si="4"/>
        <v>0</v>
      </c>
    </row>
    <row r="42" spans="1:45" ht="49.5" customHeight="1" thickTop="1" thickBot="1" x14ac:dyDescent="0.3">
      <c r="A42" s="636">
        <f>MARCH!$A$42+31</f>
        <v>44288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0</v>
      </c>
      <c r="C45" s="12"/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0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0</v>
      </c>
      <c r="U49" s="255">
        <f>(T49*8.34*1.04)/45000</f>
        <v>0</v>
      </c>
    </row>
    <row r="50" spans="1:25" ht="48" customHeight="1" thickTop="1" thickBot="1" x14ac:dyDescent="0.3">
      <c r="A50" s="290" t="s">
        <v>223</v>
      </c>
      <c r="B50" s="291">
        <f>SUM(E50+H50)</f>
        <v>0</v>
      </c>
      <c r="C50" s="12"/>
      <c r="D50" s="290" t="s">
        <v>224</v>
      </c>
      <c r="E50" s="291">
        <f>AE40</f>
        <v>0</v>
      </c>
      <c r="F50" s="23"/>
      <c r="G50" s="290" t="s">
        <v>225</v>
      </c>
      <c r="H50" s="291">
        <f>AD40</f>
        <v>0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293" t="e">
        <f>SUM(E44:E48)/E50</f>
        <v>#DIV/0!</v>
      </c>
      <c r="F51" s="23"/>
      <c r="G51" s="290" t="s">
        <v>189</v>
      </c>
      <c r="H51" s="293" t="e">
        <f>SUM(H44:H48)/H50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0</v>
      </c>
      <c r="U51" s="255">
        <f>T51/2000/8</f>
        <v>0</v>
      </c>
    </row>
    <row r="52" spans="1:25" ht="47.25" customHeight="1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372" t="e">
        <f>E44/E49</f>
        <v>#DIV/0!</v>
      </c>
      <c r="G52" s="280" t="s">
        <v>193</v>
      </c>
      <c r="H52" s="293" t="e">
        <f>H51/1000</f>
        <v>#DIV/0!</v>
      </c>
      <c r="I52" s="372" t="e">
        <f>H44/H49</f>
        <v>#DIV/0!</v>
      </c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0</v>
      </c>
      <c r="U54" s="255">
        <f>(T54*8.34*1.029*0.03)/3300</f>
        <v>0</v>
      </c>
    </row>
    <row r="55" spans="1:25" ht="45.7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</row>
    <row r="56" spans="1:25" ht="24" thickTop="1" x14ac:dyDescent="0.25">
      <c r="A56" s="664"/>
      <c r="B56" s="66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6"/>
      <c r="B57" s="66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2"/>
      <c r="B58" s="66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3"/>
      <c r="B59" s="66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2"/>
      <c r="B60" s="66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3"/>
      <c r="B61" s="663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dJ4NjTWirSjFsbD/D81wzP99ntEVbBwFGMAEQb8GdG4j1eXsNMXVwXtqVtQeNZRduVafSBc8U99WlRw+vcibKA==" saltValue="1mODPuIUPXhuXRg7ZPC08Q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65"/>
  <sheetViews>
    <sheetView topLeftCell="A7" zoomScale="80" zoomScaleNormal="80" workbookViewId="0">
      <selection activeCell="AS42" activeCellId="7" sqref="AJ42 AL42 AM42 AN42 AO42 AP42 AR42 AS42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8.28515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0" t="s">
        <v>3</v>
      </c>
      <c r="C4" s="641"/>
      <c r="D4" s="641"/>
      <c r="E4" s="641"/>
      <c r="F4" s="641"/>
      <c r="G4" s="641"/>
      <c r="H4" s="642"/>
      <c r="I4" s="640" t="s">
        <v>4</v>
      </c>
      <c r="J4" s="641"/>
      <c r="K4" s="641"/>
      <c r="L4" s="641"/>
      <c r="M4" s="641"/>
      <c r="N4" s="642"/>
      <c r="O4" s="646" t="s">
        <v>5</v>
      </c>
      <c r="P4" s="647"/>
      <c r="Q4" s="648"/>
      <c r="R4" s="648"/>
      <c r="S4" s="648"/>
      <c r="T4" s="649"/>
      <c r="U4" s="640" t="s">
        <v>6</v>
      </c>
      <c r="V4" s="653"/>
      <c r="W4" s="653"/>
      <c r="X4" s="653"/>
      <c r="Y4" s="653"/>
      <c r="Z4" s="653"/>
      <c r="AA4" s="654"/>
      <c r="AB4" s="658" t="s">
        <v>7</v>
      </c>
      <c r="AC4" s="660" t="s">
        <v>8</v>
      </c>
      <c r="AD4" s="624" t="s">
        <v>222</v>
      </c>
      <c r="AE4" s="624" t="s">
        <v>221</v>
      </c>
      <c r="AF4" s="624" t="s">
        <v>27</v>
      </c>
      <c r="AG4" s="624" t="s">
        <v>31</v>
      </c>
      <c r="AH4" s="624" t="s">
        <v>32</v>
      </c>
      <c r="AI4" s="624" t="s">
        <v>33</v>
      </c>
      <c r="AJ4" s="658" t="s">
        <v>173</v>
      </c>
      <c r="AK4" s="658" t="s">
        <v>174</v>
      </c>
      <c r="AL4" s="658" t="s">
        <v>175</v>
      </c>
      <c r="AM4" s="658" t="s">
        <v>176</v>
      </c>
      <c r="AN4" s="658" t="s">
        <v>177</v>
      </c>
      <c r="AO4" s="658" t="s">
        <v>178</v>
      </c>
      <c r="AP4" s="658" t="s">
        <v>179</v>
      </c>
      <c r="AQ4" s="658" t="s">
        <v>182</v>
      </c>
      <c r="AR4" s="658" t="s">
        <v>180</v>
      </c>
      <c r="AS4" s="658" t="s">
        <v>181</v>
      </c>
      <c r="AV4" t="s">
        <v>169</v>
      </c>
      <c r="AW4" s="336" t="s">
        <v>207</v>
      </c>
    </row>
    <row r="5" spans="1:49" ht="30" customHeight="1" thickBot="1" x14ac:dyDescent="0.3">
      <c r="A5" s="13"/>
      <c r="B5" s="643"/>
      <c r="C5" s="644"/>
      <c r="D5" s="644"/>
      <c r="E5" s="644"/>
      <c r="F5" s="644"/>
      <c r="G5" s="644"/>
      <c r="H5" s="645"/>
      <c r="I5" s="643"/>
      <c r="J5" s="644"/>
      <c r="K5" s="644"/>
      <c r="L5" s="644"/>
      <c r="M5" s="644"/>
      <c r="N5" s="645"/>
      <c r="O5" s="650"/>
      <c r="P5" s="651"/>
      <c r="Q5" s="651"/>
      <c r="R5" s="651"/>
      <c r="S5" s="651"/>
      <c r="T5" s="652"/>
      <c r="U5" s="655"/>
      <c r="V5" s="656"/>
      <c r="W5" s="656"/>
      <c r="X5" s="656"/>
      <c r="Y5" s="656"/>
      <c r="Z5" s="656"/>
      <c r="AA5" s="657"/>
      <c r="AB5" s="659"/>
      <c r="AC5" s="661"/>
      <c r="AD5" s="625"/>
      <c r="AE5" s="625"/>
      <c r="AF5" s="639"/>
      <c r="AG5" s="639"/>
      <c r="AH5" s="639"/>
      <c r="AI5" s="639"/>
      <c r="AJ5" s="625"/>
      <c r="AK5" s="625"/>
      <c r="AL5" s="625"/>
      <c r="AM5" s="625"/>
      <c r="AN5" s="625"/>
      <c r="AO5" s="625"/>
      <c r="AP5" s="625"/>
      <c r="AQ5" s="625"/>
      <c r="AR5" s="625"/>
      <c r="AS5" s="625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5" t="s">
        <v>23</v>
      </c>
      <c r="AD7" s="397" t="s">
        <v>28</v>
      </c>
      <c r="AE7" s="39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/>
      <c r="B8" s="49"/>
      <c r="C8" s="50"/>
      <c r="D8" s="50"/>
      <c r="E8" s="50"/>
      <c r="F8" s="50"/>
      <c r="G8" s="50"/>
      <c r="H8" s="51"/>
      <c r="I8" s="49"/>
      <c r="J8" s="50"/>
      <c r="K8" s="50"/>
      <c r="L8" s="50"/>
      <c r="M8" s="50"/>
      <c r="N8" s="51"/>
      <c r="O8" s="49"/>
      <c r="P8" s="50"/>
      <c r="Q8" s="50"/>
      <c r="R8" s="50"/>
      <c r="S8" s="50"/>
      <c r="T8" s="52"/>
      <c r="U8" s="53"/>
      <c r="V8" s="54"/>
      <c r="W8" s="54"/>
      <c r="X8" s="54"/>
      <c r="Y8" s="54"/>
      <c r="Z8" s="54"/>
      <c r="AA8" s="55"/>
      <c r="AB8" s="57"/>
      <c r="AC8" s="57"/>
      <c r="AD8" s="407"/>
      <c r="AE8" s="407"/>
      <c r="AF8" s="57"/>
      <c r="AG8" s="58"/>
      <c r="AH8" s="58"/>
      <c r="AI8" s="58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 spans="1:49" x14ac:dyDescent="0.25">
      <c r="A9" s="11"/>
      <c r="B9" s="59"/>
      <c r="C9" s="60"/>
      <c r="D9" s="60"/>
      <c r="E9" s="60"/>
      <c r="F9" s="60"/>
      <c r="G9" s="60"/>
      <c r="H9" s="61"/>
      <c r="I9" s="59"/>
      <c r="J9" s="60"/>
      <c r="K9" s="60"/>
      <c r="L9" s="50"/>
      <c r="M9" s="60"/>
      <c r="N9" s="61"/>
      <c r="O9" s="59"/>
      <c r="P9" s="60"/>
      <c r="Q9" s="62"/>
      <c r="R9" s="63"/>
      <c r="S9" s="60"/>
      <c r="T9" s="64"/>
      <c r="U9" s="65"/>
      <c r="V9" s="62"/>
      <c r="W9" s="62"/>
      <c r="X9" s="62"/>
      <c r="Y9" s="66"/>
      <c r="Z9" s="66"/>
      <c r="AA9" s="67"/>
      <c r="AB9" s="68"/>
      <c r="AC9" s="69"/>
      <c r="AD9" s="408"/>
      <c r="AE9" s="408"/>
      <c r="AF9" s="69"/>
      <c r="AG9" s="68"/>
      <c r="AH9" s="68"/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</row>
    <row r="10" spans="1:49" x14ac:dyDescent="0.25">
      <c r="A10" s="11"/>
      <c r="B10" s="59"/>
      <c r="C10" s="60"/>
      <c r="D10" s="60"/>
      <c r="E10" s="60"/>
      <c r="F10" s="60"/>
      <c r="G10" s="60"/>
      <c r="H10" s="61"/>
      <c r="I10" s="59"/>
      <c r="J10" s="60"/>
      <c r="K10" s="60"/>
      <c r="L10" s="50"/>
      <c r="M10" s="60"/>
      <c r="N10" s="61"/>
      <c r="O10" s="59"/>
      <c r="P10" s="60"/>
      <c r="Q10" s="60"/>
      <c r="R10" s="63"/>
      <c r="S10" s="60"/>
      <c r="T10" s="64"/>
      <c r="U10" s="65"/>
      <c r="V10" s="62"/>
      <c r="W10" s="62"/>
      <c r="X10" s="62"/>
      <c r="Y10" s="66"/>
      <c r="Z10" s="66"/>
      <c r="AA10" s="67"/>
      <c r="AB10" s="68"/>
      <c r="AC10" s="69"/>
      <c r="AD10" s="408"/>
      <c r="AE10" s="408"/>
      <c r="AF10" s="69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</row>
    <row r="11" spans="1:49" x14ac:dyDescent="0.25">
      <c r="A11" s="11"/>
      <c r="B11" s="59"/>
      <c r="C11" s="60"/>
      <c r="D11" s="60"/>
      <c r="E11" s="60"/>
      <c r="F11" s="60"/>
      <c r="G11" s="60"/>
      <c r="H11" s="61"/>
      <c r="I11" s="59"/>
      <c r="J11" s="60"/>
      <c r="K11" s="60"/>
      <c r="L11" s="50"/>
      <c r="M11" s="60"/>
      <c r="N11" s="61"/>
      <c r="O11" s="59"/>
      <c r="P11" s="60"/>
      <c r="Q11" s="60"/>
      <c r="R11" s="63"/>
      <c r="S11" s="60"/>
      <c r="T11" s="64"/>
      <c r="U11" s="65"/>
      <c r="V11" s="62"/>
      <c r="W11" s="62"/>
      <c r="X11" s="62"/>
      <c r="Y11" s="66"/>
      <c r="Z11" s="66"/>
      <c r="AA11" s="67"/>
      <c r="AB11" s="68"/>
      <c r="AC11" s="69"/>
      <c r="AD11" s="408"/>
      <c r="AE11" s="408"/>
      <c r="AF11" s="69"/>
      <c r="AG11" s="68"/>
      <c r="AH11" s="68"/>
      <c r="AI11" s="68"/>
      <c r="AJ11" s="69"/>
      <c r="AK11" s="69"/>
      <c r="AL11" s="69"/>
      <c r="AM11" s="69"/>
      <c r="AN11" s="69"/>
      <c r="AO11" s="69"/>
      <c r="AP11" s="69"/>
      <c r="AQ11" s="69"/>
      <c r="AR11" s="69"/>
      <c r="AS11" s="69"/>
    </row>
    <row r="12" spans="1:49" x14ac:dyDescent="0.25">
      <c r="A12" s="11"/>
      <c r="B12" s="59"/>
      <c r="C12" s="60"/>
      <c r="D12" s="60"/>
      <c r="E12" s="60"/>
      <c r="F12" s="60"/>
      <c r="G12" s="60"/>
      <c r="H12" s="61"/>
      <c r="I12" s="59"/>
      <c r="J12" s="60"/>
      <c r="K12" s="60"/>
      <c r="L12" s="50"/>
      <c r="M12" s="60"/>
      <c r="N12" s="61"/>
      <c r="O12" s="59"/>
      <c r="P12" s="60"/>
      <c r="Q12" s="60"/>
      <c r="R12" s="63"/>
      <c r="S12" s="60"/>
      <c r="T12" s="64"/>
      <c r="U12" s="65"/>
      <c r="V12" s="62"/>
      <c r="W12" s="62"/>
      <c r="X12" s="62"/>
      <c r="Y12" s="66"/>
      <c r="Z12" s="66"/>
      <c r="AA12" s="67"/>
      <c r="AB12" s="68"/>
      <c r="AC12" s="69"/>
      <c r="AD12" s="408"/>
      <c r="AE12" s="408"/>
      <c r="AF12" s="69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</row>
    <row r="13" spans="1:49" x14ac:dyDescent="0.25">
      <c r="A13" s="11"/>
      <c r="B13" s="59"/>
      <c r="C13" s="60"/>
      <c r="D13" s="60"/>
      <c r="E13" s="60"/>
      <c r="F13" s="60"/>
      <c r="G13" s="60"/>
      <c r="H13" s="61"/>
      <c r="I13" s="59"/>
      <c r="J13" s="60"/>
      <c r="K13" s="60"/>
      <c r="L13" s="50"/>
      <c r="M13" s="60"/>
      <c r="N13" s="61"/>
      <c r="O13" s="59"/>
      <c r="P13" s="60"/>
      <c r="Q13" s="60"/>
      <c r="R13" s="63"/>
      <c r="S13" s="60"/>
      <c r="T13" s="64"/>
      <c r="U13" s="65"/>
      <c r="V13" s="62"/>
      <c r="W13" s="62"/>
      <c r="X13" s="62"/>
      <c r="Y13" s="66"/>
      <c r="Z13" s="66"/>
      <c r="AA13" s="67"/>
      <c r="AB13" s="68"/>
      <c r="AC13" s="69"/>
      <c r="AD13" s="408"/>
      <c r="AE13" s="408"/>
      <c r="AF13" s="69"/>
      <c r="AG13" s="68"/>
      <c r="AH13" s="68"/>
      <c r="AI13" s="68"/>
      <c r="AJ13" s="69"/>
      <c r="AK13" s="69"/>
      <c r="AL13" s="69"/>
      <c r="AM13" s="69"/>
      <c r="AN13" s="69"/>
      <c r="AO13" s="69"/>
      <c r="AP13" s="69"/>
      <c r="AQ13" s="69"/>
      <c r="AR13" s="69"/>
      <c r="AS13" s="69"/>
    </row>
    <row r="14" spans="1:49" x14ac:dyDescent="0.25">
      <c r="A14" s="11"/>
      <c r="B14" s="59"/>
      <c r="C14" s="60"/>
      <c r="D14" s="60"/>
      <c r="E14" s="60"/>
      <c r="F14" s="60"/>
      <c r="G14" s="60"/>
      <c r="H14" s="61"/>
      <c r="I14" s="59"/>
      <c r="J14" s="60"/>
      <c r="K14" s="60"/>
      <c r="L14" s="50"/>
      <c r="M14" s="60"/>
      <c r="N14" s="61"/>
      <c r="O14" s="59"/>
      <c r="P14" s="60"/>
      <c r="Q14" s="60"/>
      <c r="R14" s="63"/>
      <c r="S14" s="60"/>
      <c r="T14" s="64"/>
      <c r="U14" s="65"/>
      <c r="V14" s="62"/>
      <c r="W14" s="62"/>
      <c r="X14" s="62"/>
      <c r="Y14" s="66"/>
      <c r="Z14" s="66"/>
      <c r="AA14" s="67"/>
      <c r="AB14" s="68"/>
      <c r="AC14" s="69"/>
      <c r="AD14" s="408"/>
      <c r="AE14" s="408"/>
      <c r="AF14" s="69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</row>
    <row r="15" spans="1:49" x14ac:dyDescent="0.25">
      <c r="A15" s="11"/>
      <c r="B15" s="59"/>
      <c r="C15" s="60"/>
      <c r="D15" s="60"/>
      <c r="E15" s="60"/>
      <c r="F15" s="60"/>
      <c r="G15" s="60"/>
      <c r="H15" s="61"/>
      <c r="I15" s="59"/>
      <c r="J15" s="60"/>
      <c r="K15" s="60"/>
      <c r="L15" s="50"/>
      <c r="M15" s="60"/>
      <c r="N15" s="61"/>
      <c r="O15" s="59"/>
      <c r="P15" s="60"/>
      <c r="Q15" s="60"/>
      <c r="R15" s="63"/>
      <c r="S15" s="60"/>
      <c r="T15" s="64"/>
      <c r="U15" s="65"/>
      <c r="V15" s="62"/>
      <c r="W15" s="62"/>
      <c r="X15" s="62"/>
      <c r="Y15" s="66"/>
      <c r="Z15" s="66"/>
      <c r="AA15" s="67"/>
      <c r="AB15" s="68"/>
      <c r="AC15" s="69"/>
      <c r="AD15" s="408"/>
      <c r="AE15" s="408"/>
      <c r="AF15" s="69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</row>
    <row r="16" spans="1:49" x14ac:dyDescent="0.25">
      <c r="A16" s="11"/>
      <c r="B16" s="49"/>
      <c r="C16" s="50"/>
      <c r="D16" s="50"/>
      <c r="E16" s="50"/>
      <c r="F16" s="50"/>
      <c r="G16" s="50"/>
      <c r="H16" s="51"/>
      <c r="I16" s="49"/>
      <c r="J16" s="50"/>
      <c r="K16" s="50"/>
      <c r="L16" s="50"/>
      <c r="M16" s="50"/>
      <c r="N16" s="51"/>
      <c r="O16" s="49"/>
      <c r="P16" s="50"/>
      <c r="Q16" s="50"/>
      <c r="R16" s="70"/>
      <c r="S16" s="50"/>
      <c r="T16" s="52"/>
      <c r="U16" s="71"/>
      <c r="V16" s="66"/>
      <c r="W16" s="62"/>
      <c r="X16" s="62"/>
      <c r="Y16" s="66"/>
      <c r="Z16" s="66"/>
      <c r="AA16" s="67"/>
      <c r="AB16" s="68"/>
      <c r="AC16" s="69"/>
      <c r="AD16" s="408"/>
      <c r="AE16" s="408"/>
      <c r="AF16" s="69"/>
      <c r="AG16" s="68"/>
      <c r="AH16" s="68"/>
      <c r="AI16" s="68"/>
      <c r="AJ16" s="69"/>
      <c r="AK16" s="69"/>
      <c r="AL16" s="69"/>
      <c r="AM16" s="69"/>
      <c r="AN16" s="69"/>
      <c r="AO16" s="69"/>
      <c r="AP16" s="69"/>
      <c r="AQ16" s="69"/>
      <c r="AR16" s="69"/>
      <c r="AS16" s="69"/>
    </row>
    <row r="17" spans="1:45" x14ac:dyDescent="0.25">
      <c r="A17" s="11"/>
      <c r="B17" s="59"/>
      <c r="C17" s="60"/>
      <c r="D17" s="60"/>
      <c r="E17" s="60"/>
      <c r="F17" s="60"/>
      <c r="G17" s="60"/>
      <c r="H17" s="61"/>
      <c r="I17" s="59"/>
      <c r="J17" s="60"/>
      <c r="K17" s="60"/>
      <c r="L17" s="50"/>
      <c r="M17" s="60"/>
      <c r="N17" s="61"/>
      <c r="O17" s="59"/>
      <c r="P17" s="60"/>
      <c r="Q17" s="60"/>
      <c r="R17" s="63"/>
      <c r="S17" s="60"/>
      <c r="T17" s="64"/>
      <c r="U17" s="65"/>
      <c r="V17" s="62"/>
      <c r="W17" s="62"/>
      <c r="X17" s="62"/>
      <c r="Y17" s="66"/>
      <c r="Z17" s="66"/>
      <c r="AA17" s="67"/>
      <c r="AB17" s="68"/>
      <c r="AC17" s="69"/>
      <c r="AD17" s="408"/>
      <c r="AE17" s="408"/>
      <c r="AF17" s="69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x14ac:dyDescent="0.25">
      <c r="A18" s="11"/>
      <c r="B18" s="59"/>
      <c r="C18" s="60"/>
      <c r="D18" s="60"/>
      <c r="E18" s="60"/>
      <c r="F18" s="60"/>
      <c r="G18" s="60"/>
      <c r="H18" s="61"/>
      <c r="I18" s="59"/>
      <c r="J18" s="60"/>
      <c r="K18" s="60"/>
      <c r="L18" s="50"/>
      <c r="M18" s="60"/>
      <c r="N18" s="61"/>
      <c r="O18" s="59"/>
      <c r="P18" s="60"/>
      <c r="Q18" s="60"/>
      <c r="R18" s="63"/>
      <c r="S18" s="60"/>
      <c r="T18" s="64"/>
      <c r="U18" s="65"/>
      <c r="V18" s="62"/>
      <c r="W18" s="62"/>
      <c r="X18" s="62"/>
      <c r="Y18" s="66"/>
      <c r="Z18" s="66"/>
      <c r="AA18" s="67"/>
      <c r="AB18" s="68"/>
      <c r="AC18" s="69"/>
      <c r="AD18" s="408"/>
      <c r="AE18" s="408"/>
      <c r="AF18" s="69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x14ac:dyDescent="0.25">
      <c r="A19" s="11"/>
      <c r="B19" s="59"/>
      <c r="C19" s="60"/>
      <c r="D19" s="60"/>
      <c r="E19" s="60"/>
      <c r="F19" s="60"/>
      <c r="G19" s="60"/>
      <c r="H19" s="61"/>
      <c r="I19" s="59"/>
      <c r="J19" s="60"/>
      <c r="K19" s="60"/>
      <c r="L19" s="50"/>
      <c r="M19" s="60"/>
      <c r="N19" s="61"/>
      <c r="O19" s="59"/>
      <c r="P19" s="60"/>
      <c r="Q19" s="60"/>
      <c r="R19" s="63"/>
      <c r="S19" s="60"/>
      <c r="T19" s="64"/>
      <c r="U19" s="65"/>
      <c r="V19" s="62"/>
      <c r="W19" s="62"/>
      <c r="X19" s="62"/>
      <c r="Y19" s="66"/>
      <c r="Z19" s="66"/>
      <c r="AA19" s="67"/>
      <c r="AB19" s="68"/>
      <c r="AC19" s="69"/>
      <c r="AD19" s="408"/>
      <c r="AE19" s="408"/>
      <c r="AF19" s="69"/>
      <c r="AG19" s="68"/>
      <c r="AH19" s="68"/>
      <c r="AI19" s="68"/>
      <c r="AJ19" s="69"/>
      <c r="AK19" s="69"/>
      <c r="AL19" s="69"/>
      <c r="AM19" s="69"/>
      <c r="AN19" s="69"/>
      <c r="AO19" s="69"/>
      <c r="AP19" s="69"/>
      <c r="AQ19" s="69"/>
      <c r="AR19" s="69"/>
      <c r="AS19" s="69"/>
    </row>
    <row r="20" spans="1:45" x14ac:dyDescent="0.25">
      <c r="A20" s="11"/>
      <c r="B20" s="59"/>
      <c r="C20" s="60"/>
      <c r="D20" s="60"/>
      <c r="E20" s="60"/>
      <c r="F20" s="60"/>
      <c r="G20" s="60"/>
      <c r="H20" s="61"/>
      <c r="I20" s="59"/>
      <c r="J20" s="60"/>
      <c r="K20" s="60"/>
      <c r="L20" s="50"/>
      <c r="M20" s="60"/>
      <c r="N20" s="61"/>
      <c r="O20" s="59"/>
      <c r="P20" s="60"/>
      <c r="Q20" s="60"/>
      <c r="R20" s="63"/>
      <c r="S20" s="60"/>
      <c r="T20" s="64"/>
      <c r="U20" s="65"/>
      <c r="V20" s="62"/>
      <c r="W20" s="62"/>
      <c r="X20" s="62"/>
      <c r="Y20" s="66"/>
      <c r="Z20" s="66"/>
      <c r="AA20" s="67"/>
      <c r="AB20" s="68"/>
      <c r="AC20" s="69"/>
      <c r="AD20" s="408"/>
      <c r="AE20" s="408"/>
      <c r="AF20" s="69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</row>
    <row r="21" spans="1:45" x14ac:dyDescent="0.25">
      <c r="A21" s="11"/>
      <c r="B21" s="59"/>
      <c r="C21" s="60"/>
      <c r="D21" s="60"/>
      <c r="E21" s="60"/>
      <c r="F21" s="60"/>
      <c r="G21" s="60"/>
      <c r="H21" s="61"/>
      <c r="I21" s="59"/>
      <c r="J21" s="60"/>
      <c r="K21" s="60"/>
      <c r="L21" s="50"/>
      <c r="M21" s="60"/>
      <c r="N21" s="61"/>
      <c r="O21" s="59"/>
      <c r="P21" s="60"/>
      <c r="Q21" s="60"/>
      <c r="R21" s="63"/>
      <c r="S21" s="60"/>
      <c r="T21" s="64"/>
      <c r="U21" s="65"/>
      <c r="V21" s="62"/>
      <c r="W21" s="62"/>
      <c r="X21" s="62"/>
      <c r="Y21" s="66"/>
      <c r="Z21" s="66"/>
      <c r="AA21" s="67"/>
      <c r="AB21" s="68"/>
      <c r="AC21" s="69"/>
      <c r="AD21" s="408"/>
      <c r="AE21" s="408"/>
      <c r="AF21" s="69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</row>
    <row r="22" spans="1:45" x14ac:dyDescent="0.25">
      <c r="A22" s="11"/>
      <c r="B22" s="59"/>
      <c r="C22" s="60"/>
      <c r="D22" s="60"/>
      <c r="E22" s="60"/>
      <c r="F22" s="60"/>
      <c r="G22" s="60"/>
      <c r="H22" s="61"/>
      <c r="I22" s="59"/>
      <c r="J22" s="60"/>
      <c r="K22" s="60"/>
      <c r="L22" s="50"/>
      <c r="M22" s="60"/>
      <c r="N22" s="61"/>
      <c r="O22" s="59"/>
      <c r="P22" s="60"/>
      <c r="Q22" s="60"/>
      <c r="R22" s="63"/>
      <c r="S22" s="60"/>
      <c r="T22" s="64"/>
      <c r="U22" s="65"/>
      <c r="V22" s="62"/>
      <c r="W22" s="62"/>
      <c r="X22" s="62"/>
      <c r="Y22" s="66"/>
      <c r="Z22" s="66"/>
      <c r="AA22" s="67"/>
      <c r="AB22" s="68"/>
      <c r="AC22" s="69"/>
      <c r="AD22" s="408"/>
      <c r="AE22" s="408"/>
      <c r="AF22" s="69"/>
      <c r="AG22" s="68"/>
      <c r="AH22" s="68"/>
      <c r="AI22" s="68"/>
      <c r="AJ22" s="69"/>
      <c r="AK22" s="69"/>
      <c r="AL22" s="69"/>
      <c r="AM22" s="69"/>
      <c r="AN22" s="69"/>
      <c r="AO22" s="69"/>
      <c r="AP22" s="69"/>
      <c r="AQ22" s="69"/>
      <c r="AR22" s="69"/>
      <c r="AS22" s="69"/>
    </row>
    <row r="23" spans="1:45" x14ac:dyDescent="0.25">
      <c r="A23" s="11"/>
      <c r="B23" s="59"/>
      <c r="C23" s="60"/>
      <c r="D23" s="60"/>
      <c r="E23" s="60"/>
      <c r="F23" s="60"/>
      <c r="G23" s="60"/>
      <c r="H23" s="61"/>
      <c r="I23" s="59"/>
      <c r="J23" s="60"/>
      <c r="K23" s="60"/>
      <c r="L23" s="50"/>
      <c r="M23" s="60"/>
      <c r="N23" s="61"/>
      <c r="O23" s="59"/>
      <c r="P23" s="60"/>
      <c r="Q23" s="60"/>
      <c r="R23" s="63"/>
      <c r="S23" s="60"/>
      <c r="T23" s="64"/>
      <c r="U23" s="65"/>
      <c r="V23" s="62"/>
      <c r="W23" s="62"/>
      <c r="X23" s="62"/>
      <c r="Y23" s="66"/>
      <c r="Z23" s="66"/>
      <c r="AA23" s="67"/>
      <c r="AB23" s="68"/>
      <c r="AC23" s="69"/>
      <c r="AD23" s="408"/>
      <c r="AE23" s="408"/>
      <c r="AF23" s="69"/>
      <c r="AG23" s="68"/>
      <c r="AH23" s="68"/>
      <c r="AI23" s="68"/>
      <c r="AJ23" s="69"/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x14ac:dyDescent="0.25">
      <c r="A24" s="11"/>
      <c r="B24" s="59"/>
      <c r="C24" s="60"/>
      <c r="D24" s="60"/>
      <c r="E24" s="60"/>
      <c r="F24" s="60"/>
      <c r="G24" s="60"/>
      <c r="H24" s="61"/>
      <c r="I24" s="59"/>
      <c r="J24" s="60"/>
      <c r="K24" s="60"/>
      <c r="L24" s="50"/>
      <c r="M24" s="60"/>
      <c r="N24" s="61"/>
      <c r="O24" s="59"/>
      <c r="P24" s="60"/>
      <c r="Q24" s="60"/>
      <c r="R24" s="63"/>
      <c r="S24" s="60"/>
      <c r="T24" s="64"/>
      <c r="U24" s="65"/>
      <c r="V24" s="62"/>
      <c r="W24" s="62"/>
      <c r="X24" s="62"/>
      <c r="Y24" s="66"/>
      <c r="Z24" s="66"/>
      <c r="AA24" s="67"/>
      <c r="AB24" s="68"/>
      <c r="AC24" s="69"/>
      <c r="AD24" s="408"/>
      <c r="AE24" s="408"/>
      <c r="AF24" s="69"/>
      <c r="AG24" s="68"/>
      <c r="AH24" s="68"/>
      <c r="AI24" s="68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1:45" x14ac:dyDescent="0.25">
      <c r="A25" s="11"/>
      <c r="B25" s="59"/>
      <c r="C25" s="60"/>
      <c r="D25" s="60"/>
      <c r="E25" s="60"/>
      <c r="F25" s="60"/>
      <c r="G25" s="60"/>
      <c r="H25" s="61"/>
      <c r="I25" s="59"/>
      <c r="J25" s="60"/>
      <c r="K25" s="60"/>
      <c r="L25" s="50"/>
      <c r="M25" s="60"/>
      <c r="N25" s="61"/>
      <c r="O25" s="59"/>
      <c r="P25" s="60"/>
      <c r="Q25" s="60"/>
      <c r="R25" s="63"/>
      <c r="S25" s="60"/>
      <c r="T25" s="64"/>
      <c r="U25" s="65"/>
      <c r="V25" s="62"/>
      <c r="W25" s="62"/>
      <c r="X25" s="62"/>
      <c r="Y25" s="66"/>
      <c r="Z25" s="66"/>
      <c r="AA25" s="67"/>
      <c r="AB25" s="68"/>
      <c r="AC25" s="69"/>
      <c r="AD25" s="408"/>
      <c r="AE25" s="408"/>
      <c r="AF25" s="69"/>
      <c r="AG25" s="68"/>
      <c r="AH25" s="68"/>
      <c r="AI25" s="68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1:45" x14ac:dyDescent="0.25">
      <c r="A26" s="11"/>
      <c r="B26" s="59"/>
      <c r="C26" s="60"/>
      <c r="D26" s="60"/>
      <c r="E26" s="60"/>
      <c r="F26" s="60"/>
      <c r="G26" s="60"/>
      <c r="H26" s="61"/>
      <c r="I26" s="59"/>
      <c r="J26" s="60"/>
      <c r="K26" s="60"/>
      <c r="L26" s="50"/>
      <c r="M26" s="60"/>
      <c r="N26" s="61"/>
      <c r="O26" s="59"/>
      <c r="P26" s="60"/>
      <c r="Q26" s="60"/>
      <c r="R26" s="63"/>
      <c r="S26" s="60"/>
      <c r="T26" s="64"/>
      <c r="U26" s="65"/>
      <c r="V26" s="62"/>
      <c r="W26" s="62"/>
      <c r="X26" s="62"/>
      <c r="Y26" s="62"/>
      <c r="Z26" s="62"/>
      <c r="AA26" s="72"/>
      <c r="AB26" s="69"/>
      <c r="AC26" s="69"/>
      <c r="AD26" s="408"/>
      <c r="AE26" s="408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x14ac:dyDescent="0.25">
      <c r="A27" s="11"/>
      <c r="B27" s="59"/>
      <c r="C27" s="60"/>
      <c r="D27" s="60"/>
      <c r="E27" s="60"/>
      <c r="F27" s="60"/>
      <c r="G27" s="60"/>
      <c r="H27" s="61"/>
      <c r="I27" s="59"/>
      <c r="J27" s="60"/>
      <c r="K27" s="60"/>
      <c r="L27" s="50"/>
      <c r="M27" s="60"/>
      <c r="N27" s="61"/>
      <c r="O27" s="59"/>
      <c r="P27" s="60"/>
      <c r="Q27" s="60"/>
      <c r="R27" s="63"/>
      <c r="S27" s="60"/>
      <c r="T27" s="64"/>
      <c r="U27" s="65"/>
      <c r="V27" s="62"/>
      <c r="W27" s="62"/>
      <c r="X27" s="62"/>
      <c r="Y27" s="66"/>
      <c r="Z27" s="66"/>
      <c r="AA27" s="67"/>
      <c r="AB27" s="68"/>
      <c r="AC27" s="69"/>
      <c r="AD27" s="408"/>
      <c r="AE27" s="408"/>
      <c r="AF27" s="69"/>
      <c r="AG27" s="68"/>
      <c r="AH27" s="68"/>
      <c r="AI27" s="68"/>
      <c r="AJ27" s="69"/>
      <c r="AK27" s="69"/>
      <c r="AL27" s="69"/>
      <c r="AM27" s="69"/>
      <c r="AN27" s="69"/>
      <c r="AO27" s="69"/>
      <c r="AP27" s="69"/>
      <c r="AQ27" s="69"/>
      <c r="AR27" s="69"/>
      <c r="AS27" s="69"/>
    </row>
    <row r="28" spans="1:45" x14ac:dyDescent="0.25">
      <c r="A28" s="11"/>
      <c r="B28" s="59"/>
      <c r="C28" s="60"/>
      <c r="D28" s="60"/>
      <c r="E28" s="60"/>
      <c r="F28" s="60"/>
      <c r="G28" s="60"/>
      <c r="H28" s="61"/>
      <c r="I28" s="59"/>
      <c r="J28" s="60"/>
      <c r="K28" s="60"/>
      <c r="L28" s="50"/>
      <c r="M28" s="60"/>
      <c r="N28" s="61"/>
      <c r="O28" s="59"/>
      <c r="P28" s="60"/>
      <c r="Q28" s="60"/>
      <c r="R28" s="63"/>
      <c r="S28" s="60"/>
      <c r="T28" s="64"/>
      <c r="U28" s="65"/>
      <c r="V28" s="62"/>
      <c r="W28" s="62"/>
      <c r="X28" s="62"/>
      <c r="Y28" s="66"/>
      <c r="Z28" s="66"/>
      <c r="AA28" s="67"/>
      <c r="AB28" s="68"/>
      <c r="AC28" s="69"/>
      <c r="AD28" s="408"/>
      <c r="AE28" s="408"/>
      <c r="AF28" s="69"/>
      <c r="AG28" s="68"/>
      <c r="AH28" s="68"/>
      <c r="AI28" s="68"/>
      <c r="AJ28" s="69"/>
      <c r="AK28" s="69"/>
      <c r="AL28" s="69"/>
      <c r="AM28" s="69"/>
      <c r="AN28" s="69"/>
      <c r="AO28" s="69"/>
      <c r="AP28" s="69"/>
      <c r="AQ28" s="69"/>
      <c r="AR28" s="69"/>
      <c r="AS28" s="69"/>
    </row>
    <row r="29" spans="1:45" x14ac:dyDescent="0.25">
      <c r="A29" s="11"/>
      <c r="B29" s="59"/>
      <c r="C29" s="60"/>
      <c r="D29" s="60"/>
      <c r="E29" s="60"/>
      <c r="F29" s="60"/>
      <c r="G29" s="60"/>
      <c r="H29" s="61"/>
      <c r="I29" s="59"/>
      <c r="J29" s="60"/>
      <c r="K29" s="60"/>
      <c r="L29" s="50"/>
      <c r="M29" s="60"/>
      <c r="N29" s="61"/>
      <c r="O29" s="59"/>
      <c r="P29" s="60"/>
      <c r="Q29" s="60"/>
      <c r="R29" s="63"/>
      <c r="S29" s="60"/>
      <c r="T29" s="64"/>
      <c r="U29" s="65"/>
      <c r="V29" s="62"/>
      <c r="W29" s="62"/>
      <c r="X29" s="62"/>
      <c r="Y29" s="66"/>
      <c r="Z29" s="66"/>
      <c r="AA29" s="67"/>
      <c r="AB29" s="68"/>
      <c r="AC29" s="69"/>
      <c r="AD29" s="408"/>
      <c r="AE29" s="408"/>
      <c r="AF29" s="69"/>
      <c r="AG29" s="68"/>
      <c r="AH29" s="68"/>
      <c r="AI29" s="68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0" spans="1:45" x14ac:dyDescent="0.25">
      <c r="A30" s="11"/>
      <c r="B30" s="59"/>
      <c r="C30" s="60"/>
      <c r="D30" s="60"/>
      <c r="E30" s="60"/>
      <c r="F30" s="60"/>
      <c r="G30" s="60"/>
      <c r="H30" s="61"/>
      <c r="I30" s="59"/>
      <c r="J30" s="60"/>
      <c r="K30" s="60"/>
      <c r="L30" s="50"/>
      <c r="M30" s="60"/>
      <c r="N30" s="61"/>
      <c r="O30" s="59"/>
      <c r="P30" s="60"/>
      <c r="Q30" s="60"/>
      <c r="R30" s="63"/>
      <c r="S30" s="60"/>
      <c r="T30" s="64"/>
      <c r="U30" s="65"/>
      <c r="V30" s="62"/>
      <c r="W30" s="62"/>
      <c r="X30" s="62"/>
      <c r="Y30" s="66"/>
      <c r="Z30" s="66"/>
      <c r="AA30" s="67"/>
      <c r="AB30" s="68"/>
      <c r="AC30" s="69"/>
      <c r="AD30" s="408"/>
      <c r="AE30" s="408"/>
      <c r="AF30" s="69"/>
      <c r="AG30" s="68"/>
      <c r="AH30" s="68"/>
      <c r="AI30" s="68"/>
      <c r="AJ30" s="69"/>
      <c r="AK30" s="69"/>
      <c r="AL30" s="69"/>
      <c r="AM30" s="69"/>
      <c r="AN30" s="69"/>
      <c r="AO30" s="69"/>
      <c r="AP30" s="69"/>
      <c r="AQ30" s="69"/>
      <c r="AR30" s="69"/>
      <c r="AS30" s="69"/>
    </row>
    <row r="31" spans="1:45" x14ac:dyDescent="0.25">
      <c r="A31" s="11"/>
      <c r="B31" s="59"/>
      <c r="C31" s="60"/>
      <c r="D31" s="60"/>
      <c r="E31" s="60"/>
      <c r="F31" s="60"/>
      <c r="G31" s="60"/>
      <c r="H31" s="61"/>
      <c r="I31" s="59"/>
      <c r="J31" s="60"/>
      <c r="K31" s="60"/>
      <c r="L31" s="50"/>
      <c r="M31" s="60"/>
      <c r="N31" s="61"/>
      <c r="O31" s="59"/>
      <c r="P31" s="60"/>
      <c r="Q31" s="60"/>
      <c r="R31" s="63"/>
      <c r="S31" s="60"/>
      <c r="T31" s="64"/>
      <c r="U31" s="65"/>
      <c r="V31" s="62"/>
      <c r="W31" s="62"/>
      <c r="X31" s="62"/>
      <c r="Y31" s="66"/>
      <c r="Z31" s="66"/>
      <c r="AA31" s="67"/>
      <c r="AB31" s="68"/>
      <c r="AC31" s="69"/>
      <c r="AD31" s="408"/>
      <c r="AE31" s="408"/>
      <c r="AF31" s="69"/>
      <c r="AG31" s="68"/>
      <c r="AH31" s="68"/>
      <c r="AI31" s="68"/>
      <c r="AJ31" s="69"/>
      <c r="AK31" s="69"/>
      <c r="AL31" s="69"/>
      <c r="AM31" s="69"/>
      <c r="AN31" s="69"/>
      <c r="AO31" s="69"/>
      <c r="AP31" s="69"/>
      <c r="AQ31" s="69"/>
      <c r="AR31" s="69"/>
      <c r="AS31" s="69"/>
    </row>
    <row r="32" spans="1:45" x14ac:dyDescent="0.25">
      <c r="A32" s="11"/>
      <c r="B32" s="59"/>
      <c r="C32" s="60"/>
      <c r="D32" s="60"/>
      <c r="E32" s="60"/>
      <c r="F32" s="60"/>
      <c r="G32" s="60"/>
      <c r="H32" s="61"/>
      <c r="I32" s="59"/>
      <c r="J32" s="60"/>
      <c r="K32" s="60"/>
      <c r="L32" s="50"/>
      <c r="M32" s="60"/>
      <c r="N32" s="61"/>
      <c r="O32" s="59"/>
      <c r="P32" s="60"/>
      <c r="Q32" s="60"/>
      <c r="R32" s="63"/>
      <c r="S32" s="60"/>
      <c r="T32" s="64"/>
      <c r="U32" s="65"/>
      <c r="V32" s="62"/>
      <c r="W32" s="62"/>
      <c r="X32" s="62"/>
      <c r="Y32" s="66"/>
      <c r="Z32" s="66"/>
      <c r="AA32" s="67"/>
      <c r="AB32" s="68"/>
      <c r="AC32" s="69"/>
      <c r="AD32" s="408"/>
      <c r="AE32" s="408"/>
      <c r="AF32" s="69"/>
      <c r="AG32" s="68"/>
      <c r="AH32" s="68"/>
      <c r="AI32" s="68"/>
      <c r="AJ32" s="69"/>
      <c r="AK32" s="69"/>
      <c r="AL32" s="69"/>
      <c r="AM32" s="69"/>
      <c r="AN32" s="69"/>
      <c r="AO32" s="69"/>
      <c r="AP32" s="69"/>
      <c r="AQ32" s="69"/>
      <c r="AR32" s="69"/>
      <c r="AS32" s="69"/>
    </row>
    <row r="33" spans="1:45" x14ac:dyDescent="0.25">
      <c r="A33" s="11"/>
      <c r="B33" s="59"/>
      <c r="C33" s="60"/>
      <c r="D33" s="60"/>
      <c r="E33" s="60"/>
      <c r="F33" s="60"/>
      <c r="G33" s="60"/>
      <c r="H33" s="61"/>
      <c r="I33" s="59"/>
      <c r="J33" s="60"/>
      <c r="K33" s="60"/>
      <c r="L33" s="50"/>
      <c r="M33" s="60"/>
      <c r="N33" s="61"/>
      <c r="O33" s="59"/>
      <c r="P33" s="60"/>
      <c r="Q33" s="60"/>
      <c r="R33" s="63"/>
      <c r="S33" s="60"/>
      <c r="T33" s="64"/>
      <c r="U33" s="65"/>
      <c r="V33" s="62"/>
      <c r="W33" s="62"/>
      <c r="X33" s="62"/>
      <c r="Y33" s="66"/>
      <c r="Z33" s="66"/>
      <c r="AA33" s="67"/>
      <c r="AB33" s="68"/>
      <c r="AC33" s="69"/>
      <c r="AD33" s="408"/>
      <c r="AE33" s="408"/>
      <c r="AF33" s="69"/>
      <c r="AG33" s="68"/>
      <c r="AH33" s="68"/>
      <c r="AI33" s="68"/>
      <c r="AJ33" s="69"/>
      <c r="AK33" s="69"/>
      <c r="AL33" s="69"/>
      <c r="AM33" s="69"/>
      <c r="AN33" s="69"/>
      <c r="AO33" s="69"/>
      <c r="AP33" s="69"/>
      <c r="AQ33" s="69"/>
      <c r="AR33" s="69"/>
      <c r="AS33" s="69"/>
    </row>
    <row r="34" spans="1:45" x14ac:dyDescent="0.25">
      <c r="A34" s="11"/>
      <c r="B34" s="59"/>
      <c r="C34" s="60"/>
      <c r="D34" s="60"/>
      <c r="E34" s="60"/>
      <c r="F34" s="60"/>
      <c r="G34" s="60"/>
      <c r="H34" s="61"/>
      <c r="I34" s="59"/>
      <c r="J34" s="60"/>
      <c r="K34" s="60"/>
      <c r="L34" s="50"/>
      <c r="M34" s="60"/>
      <c r="N34" s="61"/>
      <c r="O34" s="59"/>
      <c r="P34" s="60"/>
      <c r="Q34" s="60"/>
      <c r="R34" s="63"/>
      <c r="S34" s="60"/>
      <c r="T34" s="64"/>
      <c r="U34" s="65"/>
      <c r="V34" s="62"/>
      <c r="W34" s="62"/>
      <c r="X34" s="62"/>
      <c r="Y34" s="66"/>
      <c r="Z34" s="66"/>
      <c r="AA34" s="67"/>
      <c r="AB34" s="68"/>
      <c r="AC34" s="69"/>
      <c r="AD34" s="408"/>
      <c r="AE34" s="408"/>
      <c r="AF34" s="69"/>
      <c r="AG34" s="68"/>
      <c r="AH34" s="68"/>
      <c r="AI34" s="68"/>
      <c r="AJ34" s="69"/>
      <c r="AK34" s="69"/>
      <c r="AL34" s="69"/>
      <c r="AM34" s="69"/>
      <c r="AN34" s="69"/>
      <c r="AO34" s="69"/>
      <c r="AP34" s="69"/>
      <c r="AQ34" s="69"/>
      <c r="AR34" s="69"/>
      <c r="AS34" s="69"/>
    </row>
    <row r="35" spans="1:45" x14ac:dyDescent="0.25">
      <c r="A35" s="11"/>
      <c r="B35" s="59"/>
      <c r="C35" s="60"/>
      <c r="D35" s="60"/>
      <c r="E35" s="60"/>
      <c r="F35" s="60"/>
      <c r="G35" s="60"/>
      <c r="H35" s="61"/>
      <c r="I35" s="59"/>
      <c r="J35" s="60"/>
      <c r="K35" s="60"/>
      <c r="L35" s="50"/>
      <c r="M35" s="60"/>
      <c r="N35" s="61"/>
      <c r="O35" s="59"/>
      <c r="P35" s="60"/>
      <c r="Q35" s="60"/>
      <c r="R35" s="63"/>
      <c r="S35" s="60"/>
      <c r="T35" s="64"/>
      <c r="U35" s="65"/>
      <c r="V35" s="62"/>
      <c r="W35" s="62"/>
      <c r="X35" s="62"/>
      <c r="Y35" s="66"/>
      <c r="Z35" s="66"/>
      <c r="AA35" s="67"/>
      <c r="AB35" s="68"/>
      <c r="AC35" s="69"/>
      <c r="AD35" s="408"/>
      <c r="AE35" s="408"/>
      <c r="AF35" s="69"/>
      <c r="AG35" s="68"/>
      <c r="AH35" s="68"/>
      <c r="AI35" s="68"/>
      <c r="AJ35" s="69"/>
      <c r="AK35" s="69"/>
      <c r="AL35" s="69"/>
      <c r="AM35" s="69"/>
      <c r="AN35" s="69"/>
      <c r="AO35" s="69"/>
      <c r="AP35" s="69"/>
      <c r="AQ35" s="69"/>
      <c r="AR35" s="69"/>
      <c r="AS35" s="69"/>
    </row>
    <row r="36" spans="1:45" s="415" customFormat="1" x14ac:dyDescent="0.25">
      <c r="A36" s="11"/>
      <c r="B36" s="410"/>
      <c r="C36" s="411"/>
      <c r="D36" s="411"/>
      <c r="E36" s="411"/>
      <c r="F36" s="411"/>
      <c r="G36" s="411"/>
      <c r="H36" s="412"/>
      <c r="I36" s="410"/>
      <c r="J36" s="411"/>
      <c r="K36" s="411"/>
      <c r="L36" s="50"/>
      <c r="M36" s="411"/>
      <c r="N36" s="412"/>
      <c r="O36" s="410"/>
      <c r="P36" s="411"/>
      <c r="Q36" s="411"/>
      <c r="R36" s="411"/>
      <c r="S36" s="411"/>
      <c r="T36" s="412"/>
      <c r="U36" s="410"/>
      <c r="V36" s="411"/>
      <c r="W36" s="411"/>
      <c r="X36" s="411"/>
      <c r="Y36" s="411"/>
      <c r="Z36" s="411"/>
      <c r="AA36" s="412"/>
      <c r="AB36" s="413"/>
      <c r="AC36" s="56"/>
      <c r="AD36" s="414"/>
      <c r="AE36" s="413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</row>
    <row r="37" spans="1:45" x14ac:dyDescent="0.25">
      <c r="A37" s="11"/>
      <c r="B37" s="65"/>
      <c r="C37" s="66"/>
      <c r="D37" s="66"/>
      <c r="E37" s="66"/>
      <c r="F37" s="66"/>
      <c r="G37" s="66"/>
      <c r="H37" s="67"/>
      <c r="I37" s="71"/>
      <c r="J37" s="66"/>
      <c r="K37" s="66"/>
      <c r="L37" s="50"/>
      <c r="M37" s="66"/>
      <c r="N37" s="67"/>
      <c r="O37" s="71"/>
      <c r="P37" s="66"/>
      <c r="Q37" s="66"/>
      <c r="R37" s="389"/>
      <c r="S37" s="66"/>
      <c r="T37" s="67"/>
      <c r="U37" s="71"/>
      <c r="V37" s="66"/>
      <c r="W37" s="62"/>
      <c r="X37" s="62"/>
      <c r="Y37" s="66"/>
      <c r="Z37" s="66"/>
      <c r="AA37" s="67"/>
      <c r="AB37" s="68"/>
      <c r="AC37" s="390"/>
      <c r="AD37" s="408"/>
      <c r="AE37" s="408"/>
      <c r="AF37" s="390"/>
      <c r="AG37" s="68"/>
      <c r="AH37" s="68"/>
      <c r="AI37" s="68"/>
      <c r="AJ37" s="390"/>
      <c r="AK37" s="390"/>
      <c r="AL37" s="390"/>
      <c r="AM37" s="390"/>
      <c r="AN37" s="390"/>
      <c r="AO37" s="390"/>
      <c r="AP37" s="390"/>
      <c r="AQ37" s="390"/>
      <c r="AR37" s="390"/>
      <c r="AS37" s="390"/>
    </row>
    <row r="38" spans="1:45" ht="15.75" thickBot="1" x14ac:dyDescent="0.3">
      <c r="A38" s="11"/>
      <c r="B38" s="381"/>
      <c r="C38" s="383"/>
      <c r="D38" s="383"/>
      <c r="E38" s="383"/>
      <c r="F38" s="383"/>
      <c r="G38" s="383"/>
      <c r="H38" s="384"/>
      <c r="I38" s="385"/>
      <c r="J38" s="383"/>
      <c r="K38" s="383"/>
      <c r="L38" s="50"/>
      <c r="M38" s="383"/>
      <c r="N38" s="384"/>
      <c r="O38" s="385"/>
      <c r="P38" s="383"/>
      <c r="Q38" s="383"/>
      <c r="R38" s="386"/>
      <c r="S38" s="383"/>
      <c r="T38" s="387"/>
      <c r="U38" s="385"/>
      <c r="V38" s="383"/>
      <c r="W38" s="382"/>
      <c r="X38" s="382"/>
      <c r="Y38" s="383"/>
      <c r="Z38" s="383"/>
      <c r="AA38" s="384"/>
      <c r="AB38" s="388"/>
      <c r="AC38" s="85"/>
      <c r="AD38" s="408"/>
      <c r="AE38" s="408"/>
      <c r="AF38" s="85"/>
      <c r="AG38" s="388"/>
      <c r="AH38" s="388"/>
      <c r="AI38" s="388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5.75" thickTop="1" x14ac:dyDescent="0.25">
      <c r="A39" s="46" t="s">
        <v>171</v>
      </c>
      <c r="B39" s="29">
        <f t="shared" ref="B39" si="0">SUM(B8:B36)</f>
        <v>0</v>
      </c>
      <c r="C39" s="30">
        <f t="shared" ref="C39:AC39" si="1">SUM(C8:C38)</f>
        <v>0</v>
      </c>
      <c r="D39" s="30">
        <f t="shared" si="1"/>
        <v>0</v>
      </c>
      <c r="E39" s="30">
        <f t="shared" si="1"/>
        <v>0</v>
      </c>
      <c r="F39" s="30">
        <f t="shared" si="1"/>
        <v>0</v>
      </c>
      <c r="G39" s="30">
        <f t="shared" si="1"/>
        <v>0</v>
      </c>
      <c r="H39" s="31">
        <f t="shared" si="1"/>
        <v>0</v>
      </c>
      <c r="I39" s="29">
        <f t="shared" si="1"/>
        <v>0</v>
      </c>
      <c r="J39" s="30">
        <f t="shared" si="1"/>
        <v>0</v>
      </c>
      <c r="K39" s="30">
        <f t="shared" si="1"/>
        <v>0</v>
      </c>
      <c r="L39" s="30">
        <f t="shared" si="1"/>
        <v>0</v>
      </c>
      <c r="M39" s="30">
        <f t="shared" si="1"/>
        <v>0</v>
      </c>
      <c r="N39" s="31">
        <f t="shared" si="1"/>
        <v>0</v>
      </c>
      <c r="O39" s="260">
        <f t="shared" si="1"/>
        <v>0</v>
      </c>
      <c r="P39" s="261">
        <f t="shared" si="1"/>
        <v>0</v>
      </c>
      <c r="Q39" s="261">
        <f t="shared" si="1"/>
        <v>0</v>
      </c>
      <c r="R39" s="261">
        <f t="shared" si="1"/>
        <v>0</v>
      </c>
      <c r="S39" s="261">
        <f t="shared" si="1"/>
        <v>0</v>
      </c>
      <c r="T39" s="262">
        <f t="shared" si="1"/>
        <v>0</v>
      </c>
      <c r="U39" s="260">
        <f t="shared" si="1"/>
        <v>0</v>
      </c>
      <c r="V39" s="261">
        <f t="shared" si="1"/>
        <v>0</v>
      </c>
      <c r="W39" s="261">
        <f t="shared" si="1"/>
        <v>0</v>
      </c>
      <c r="X39" s="261">
        <f t="shared" si="1"/>
        <v>0</v>
      </c>
      <c r="Y39" s="261">
        <f t="shared" si="1"/>
        <v>0</v>
      </c>
      <c r="Z39" s="261">
        <f t="shared" si="1"/>
        <v>0</v>
      </c>
      <c r="AA39" s="269">
        <f t="shared" si="1"/>
        <v>0</v>
      </c>
      <c r="AB39" s="272">
        <f t="shared" si="1"/>
        <v>0</v>
      </c>
      <c r="AC39" s="272">
        <f t="shared" si="1"/>
        <v>0</v>
      </c>
      <c r="AD39" s="275" t="s">
        <v>29</v>
      </c>
      <c r="AE39" s="275" t="s">
        <v>29</v>
      </c>
      <c r="AF39" s="275" t="s">
        <v>29</v>
      </c>
      <c r="AG39" s="275" t="s">
        <v>29</v>
      </c>
      <c r="AH39" s="275" t="s">
        <v>29</v>
      </c>
      <c r="AI39" s="275" t="s">
        <v>159</v>
      </c>
      <c r="AJ39" s="272">
        <f t="shared" ref="AJ39:AS39" si="2">SUM(AJ8:AJ38)</f>
        <v>0</v>
      </c>
      <c r="AK39" s="272">
        <f t="shared" si="2"/>
        <v>0</v>
      </c>
      <c r="AL39" s="272">
        <f t="shared" si="2"/>
        <v>0</v>
      </c>
      <c r="AM39" s="272">
        <f t="shared" si="2"/>
        <v>0</v>
      </c>
      <c r="AN39" s="272">
        <f t="shared" si="2"/>
        <v>0</v>
      </c>
      <c r="AO39" s="272">
        <f t="shared" si="2"/>
        <v>0</v>
      </c>
      <c r="AP39" s="272">
        <f t="shared" si="2"/>
        <v>0</v>
      </c>
      <c r="AQ39" s="272">
        <f t="shared" si="2"/>
        <v>0</v>
      </c>
      <c r="AR39" s="272">
        <f t="shared" si="2"/>
        <v>0</v>
      </c>
      <c r="AS39" s="272">
        <f t="shared" si="2"/>
        <v>0</v>
      </c>
    </row>
    <row r="40" spans="1:45" ht="15.75" thickBot="1" x14ac:dyDescent="0.3">
      <c r="A40" s="47" t="s">
        <v>172</v>
      </c>
      <c r="B40" s="32">
        <f>Projection!$AB$30</f>
        <v>0</v>
      </c>
      <c r="C40" s="33">
        <f>Projection!$AB$28</f>
        <v>0</v>
      </c>
      <c r="D40" s="33">
        <f>Projection!$AB$31</f>
        <v>2.1114878399999997</v>
      </c>
      <c r="E40" s="33">
        <f>Projection!$AB$26</f>
        <v>4.4235360000000004</v>
      </c>
      <c r="F40" s="33">
        <f>Projection!$AB$23</f>
        <v>0</v>
      </c>
      <c r="G40" s="33">
        <f>Projection!$AB$24</f>
        <v>7.2805000000000009E-2</v>
      </c>
      <c r="H40" s="34">
        <f>Projection!$AB$29</f>
        <v>0</v>
      </c>
      <c r="I40" s="32">
        <f>Projection!$AB$30</f>
        <v>0</v>
      </c>
      <c r="J40" s="33">
        <f>Projection!$AB$28</f>
        <v>0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0</v>
      </c>
      <c r="T40" s="38">
        <f>Projection!$AB$28</f>
        <v>0</v>
      </c>
      <c r="U40" s="26">
        <f>Projection!$AB$27</f>
        <v>0.26450000000000001</v>
      </c>
      <c r="V40" s="27">
        <f>Projection!$AB$27</f>
        <v>0.26450000000000001</v>
      </c>
      <c r="W40" s="27">
        <f>Projection!$AB$22</f>
        <v>0</v>
      </c>
      <c r="X40" s="27">
        <f>Projection!$AB$22</f>
        <v>0</v>
      </c>
      <c r="Y40" s="27">
        <f>Projection!$AB$31</f>
        <v>2.1114878399999997</v>
      </c>
      <c r="Z40" s="27">
        <f>Projection!$AB$31</f>
        <v>2.1114878399999997</v>
      </c>
      <c r="AA40" s="28">
        <v>0</v>
      </c>
      <c r="AB40" s="41">
        <f>Projection!$AB$27</f>
        <v>0.26450000000000001</v>
      </c>
      <c r="AC40" s="41">
        <f>Projection!$AB$30</f>
        <v>0</v>
      </c>
      <c r="AD40" s="399">
        <f>SUM(AD8:AD38)</f>
        <v>0</v>
      </c>
      <c r="AE40" s="399">
        <f>SUM(AE8:AE38)</f>
        <v>0</v>
      </c>
      <c r="AF40" s="276">
        <f>SUM(AF9:AF38)</f>
        <v>0</v>
      </c>
      <c r="AG40" s="276">
        <f>SUM(AG8:AG38)</f>
        <v>0</v>
      </c>
      <c r="AH40" s="276">
        <f>SUM(AH8:AH38)</f>
        <v>0</v>
      </c>
      <c r="AI40" s="276">
        <f>IF(SUM(AG40:AH40)&gt;0, AG40/(AG40+AH40), 0)</f>
        <v>0</v>
      </c>
      <c r="AJ40" s="311">
        <v>6.7000000000000004E-2</v>
      </c>
      <c r="AK40" s="311">
        <f t="shared" ref="AK40:AS40" si="3">$AJ$40</f>
        <v>6.7000000000000004E-2</v>
      </c>
      <c r="AL40" s="311">
        <f t="shared" si="3"/>
        <v>6.7000000000000004E-2</v>
      </c>
      <c r="AM40" s="311">
        <f t="shared" si="3"/>
        <v>6.7000000000000004E-2</v>
      </c>
      <c r="AN40" s="311">
        <f t="shared" si="3"/>
        <v>6.7000000000000004E-2</v>
      </c>
      <c r="AO40" s="311">
        <f t="shared" si="3"/>
        <v>6.7000000000000004E-2</v>
      </c>
      <c r="AP40" s="311">
        <f t="shared" si="3"/>
        <v>6.7000000000000004E-2</v>
      </c>
      <c r="AQ40" s="311">
        <f t="shared" si="3"/>
        <v>6.7000000000000004E-2</v>
      </c>
      <c r="AR40" s="311">
        <f t="shared" si="3"/>
        <v>6.7000000000000004E-2</v>
      </c>
      <c r="AS40" s="311">
        <f t="shared" si="3"/>
        <v>6.7000000000000004E-2</v>
      </c>
    </row>
    <row r="41" spans="1:45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0</v>
      </c>
      <c r="D41" s="36">
        <f t="shared" si="4"/>
        <v>0</v>
      </c>
      <c r="E41" s="36">
        <f t="shared" si="4"/>
        <v>0</v>
      </c>
      <c r="F41" s="36">
        <f t="shared" si="4"/>
        <v>0</v>
      </c>
      <c r="G41" s="36">
        <f t="shared" si="4"/>
        <v>0</v>
      </c>
      <c r="H41" s="37">
        <f t="shared" si="4"/>
        <v>0</v>
      </c>
      <c r="I41" s="35">
        <f t="shared" si="4"/>
        <v>0</v>
      </c>
      <c r="J41" s="36">
        <f t="shared" si="4"/>
        <v>0</v>
      </c>
      <c r="K41" s="36">
        <f t="shared" si="4"/>
        <v>0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6">
        <f t="shared" si="4"/>
        <v>0</v>
      </c>
      <c r="P41" s="267">
        <f t="shared" si="4"/>
        <v>0</v>
      </c>
      <c r="Q41" s="267">
        <f t="shared" si="4"/>
        <v>0</v>
      </c>
      <c r="R41" s="267">
        <f t="shared" si="4"/>
        <v>0</v>
      </c>
      <c r="S41" s="267">
        <f t="shared" si="4"/>
        <v>0</v>
      </c>
      <c r="T41" s="268">
        <f t="shared" si="4"/>
        <v>0</v>
      </c>
      <c r="U41" s="266">
        <f t="shared" si="4"/>
        <v>0</v>
      </c>
      <c r="V41" s="267">
        <f t="shared" si="4"/>
        <v>0</v>
      </c>
      <c r="W41" s="267">
        <f t="shared" si="4"/>
        <v>0</v>
      </c>
      <c r="X41" s="267">
        <f t="shared" si="4"/>
        <v>0</v>
      </c>
      <c r="Y41" s="267">
        <f t="shared" si="4"/>
        <v>0</v>
      </c>
      <c r="Z41" s="267">
        <f t="shared" si="4"/>
        <v>0</v>
      </c>
      <c r="AA41" s="271">
        <f t="shared" si="4"/>
        <v>0</v>
      </c>
      <c r="AB41" s="274">
        <f t="shared" si="4"/>
        <v>0</v>
      </c>
      <c r="AC41" s="274">
        <f t="shared" si="4"/>
        <v>0</v>
      </c>
      <c r="AJ41" s="277">
        <f t="shared" ref="AJ41:AS41" si="5">AJ40*AJ39</f>
        <v>0</v>
      </c>
      <c r="AK41" s="277">
        <f t="shared" si="5"/>
        <v>0</v>
      </c>
      <c r="AL41" s="277">
        <f t="shared" si="5"/>
        <v>0</v>
      </c>
      <c r="AM41" s="277">
        <f t="shared" si="5"/>
        <v>0</v>
      </c>
      <c r="AN41" s="277">
        <f t="shared" si="5"/>
        <v>0</v>
      </c>
      <c r="AO41" s="277">
        <f t="shared" si="5"/>
        <v>0</v>
      </c>
      <c r="AP41" s="277">
        <f t="shared" si="5"/>
        <v>0</v>
      </c>
      <c r="AQ41" s="277">
        <f t="shared" si="5"/>
        <v>0</v>
      </c>
      <c r="AR41" s="277">
        <f t="shared" si="5"/>
        <v>0</v>
      </c>
      <c r="AS41" s="277">
        <f t="shared" si="5"/>
        <v>0</v>
      </c>
    </row>
    <row r="42" spans="1:45" ht="49.5" customHeight="1" thickTop="1" thickBot="1" x14ac:dyDescent="0.3">
      <c r="A42" s="636">
        <f>APRIL!$A$42+30</f>
        <v>44318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5" t="s">
        <v>184</v>
      </c>
      <c r="AJ42" s="294"/>
      <c r="AK42" s="277" t="s">
        <v>197</v>
      </c>
      <c r="AL42" s="277"/>
      <c r="AM42" s="277"/>
      <c r="AN42" s="277"/>
      <c r="AO42" s="277"/>
      <c r="AP42" s="277"/>
      <c r="AQ42" s="277" t="s">
        <v>197</v>
      </c>
      <c r="AR42" s="277"/>
      <c r="AS42" s="277"/>
    </row>
    <row r="43" spans="1:45" ht="38.25" customHeight="1" thickTop="1" thickBot="1" x14ac:dyDescent="0.3">
      <c r="A43" s="633" t="s">
        <v>49</v>
      </c>
      <c r="B43" s="629"/>
      <c r="C43" s="288"/>
      <c r="D43" s="629" t="s">
        <v>47</v>
      </c>
      <c r="E43" s="629"/>
      <c r="F43" s="288"/>
      <c r="G43" s="629" t="s">
        <v>48</v>
      </c>
      <c r="H43" s="629"/>
      <c r="I43" s="289"/>
      <c r="J43" s="629" t="s">
        <v>50</v>
      </c>
      <c r="K43" s="630"/>
      <c r="L43" s="44"/>
      <c r="M43" s="44"/>
      <c r="N43" s="44"/>
      <c r="O43" s="45"/>
      <c r="P43" s="45"/>
      <c r="Q43" s="45"/>
      <c r="R43" s="618" t="s">
        <v>166</v>
      </c>
      <c r="S43" s="619"/>
      <c r="T43" s="619"/>
      <c r="U43" s="620"/>
      <c r="AC43" s="45"/>
      <c r="AD43" s="45"/>
      <c r="AE43" s="45"/>
    </row>
    <row r="44" spans="1:45" ht="24.75" thickTop="1" thickBot="1" x14ac:dyDescent="0.3">
      <c r="A44" s="281" t="s">
        <v>135</v>
      </c>
      <c r="B44" s="282">
        <f>SUM(B41:AC41)</f>
        <v>0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0</v>
      </c>
      <c r="I44" s="12"/>
      <c r="J44" s="281" t="s">
        <v>198</v>
      </c>
      <c r="K44" s="282"/>
      <c r="L44" s="12"/>
      <c r="M44" s="12"/>
      <c r="N44" s="12"/>
      <c r="O44" s="12"/>
      <c r="P44" s="12"/>
      <c r="Q44" s="12"/>
      <c r="R44" s="318" t="s">
        <v>135</v>
      </c>
      <c r="S44" s="319"/>
      <c r="T44" s="312" t="s">
        <v>167</v>
      </c>
      <c r="U44" s="254" t="s">
        <v>168</v>
      </c>
    </row>
    <row r="45" spans="1:45" ht="24" thickBot="1" x14ac:dyDescent="0.4">
      <c r="A45" s="283" t="s">
        <v>183</v>
      </c>
      <c r="B45" s="284">
        <f>SUM(AJ41:AS41)</f>
        <v>0</v>
      </c>
      <c r="C45" s="12"/>
      <c r="D45" s="283" t="s">
        <v>183</v>
      </c>
      <c r="E45" s="284">
        <f>AJ41*(1-$AI$40)+AK41+AL41*0.5+AN41+AO41*(1-$AI$40)+AP41*(1-$AI$40)+AQ41*(1-$AI$40)+AR41*0.5+AS41*0.5</f>
        <v>0</v>
      </c>
      <c r="F45" s="24"/>
      <c r="G45" s="283" t="s">
        <v>183</v>
      </c>
      <c r="H45" s="284">
        <f>AJ41*AI40+AL41*0.5+AM41+AO41*AI40+AP41*AI40+AQ41*AI40+AR41*0.5+AS41*0.5</f>
        <v>0</v>
      </c>
      <c r="I45" s="12"/>
      <c r="J45" s="12"/>
      <c r="K45" s="287"/>
      <c r="L45" s="12"/>
      <c r="M45" s="12"/>
      <c r="N45" s="12"/>
      <c r="O45" s="12"/>
      <c r="P45" s="12"/>
      <c r="Q45" s="12"/>
      <c r="R45" s="316" t="s">
        <v>141</v>
      </c>
      <c r="S45" s="317"/>
      <c r="T45" s="253">
        <f>$W$39+$X$39</f>
        <v>0</v>
      </c>
      <c r="U45" s="255">
        <f>(T45*8.34*0.895)/27000</f>
        <v>0</v>
      </c>
    </row>
    <row r="46" spans="1:45" ht="32.25" thickBot="1" x14ac:dyDescent="0.3">
      <c r="A46" s="285" t="s">
        <v>184</v>
      </c>
      <c r="B46" s="286">
        <f>SUM(AJ42:AS42)</f>
        <v>0</v>
      </c>
      <c r="C46" s="12"/>
      <c r="D46" s="285" t="s">
        <v>184</v>
      </c>
      <c r="E46" s="286">
        <f>AJ42*(1-$AI$40)+AL42*0.5+AN42+AO42*(1-$AI$40)+AP42*(1-$AI$40)+AR42*0.5+AS42*0.5</f>
        <v>0</v>
      </c>
      <c r="F46" s="23"/>
      <c r="G46" s="285" t="s">
        <v>184</v>
      </c>
      <c r="H46" s="286">
        <f>AJ42*AI40+AL42*0.5+AM42+AO42*AI40+AP42*AI40+AR42*0.5+AS42*0.5</f>
        <v>0</v>
      </c>
      <c r="I46" s="12"/>
      <c r="J46" s="631" t="s">
        <v>199</v>
      </c>
      <c r="K46" s="632"/>
      <c r="L46" s="12"/>
      <c r="M46" s="12"/>
      <c r="N46" s="12"/>
      <c r="O46" s="12"/>
      <c r="P46" s="12"/>
      <c r="Q46" s="12"/>
      <c r="R46" s="316" t="s">
        <v>145</v>
      </c>
      <c r="S46" s="317"/>
      <c r="T46" s="253">
        <f>$M$39+$N$39+$F$39</f>
        <v>0</v>
      </c>
      <c r="U46" s="256">
        <f>(((T46*8.34)*0.005)/(8.34*1.055))/400</f>
        <v>0</v>
      </c>
    </row>
    <row r="47" spans="1:45" ht="24.75" thickTop="1" thickBot="1" x14ac:dyDescent="0.4">
      <c r="A47" s="285" t="s">
        <v>185</v>
      </c>
      <c r="B47" s="286">
        <f>K44</f>
        <v>0</v>
      </c>
      <c r="C47" s="12"/>
      <c r="D47" s="285" t="s">
        <v>187</v>
      </c>
      <c r="E47" s="286">
        <f>K44*0.5</f>
        <v>0</v>
      </c>
      <c r="F47" s="24"/>
      <c r="G47" s="285" t="s">
        <v>185</v>
      </c>
      <c r="H47" s="286">
        <f>K44*0.5</f>
        <v>0</v>
      </c>
      <c r="I47" s="12"/>
      <c r="J47" s="281" t="s">
        <v>198</v>
      </c>
      <c r="K47" s="282"/>
      <c r="L47" s="12"/>
      <c r="M47" s="12"/>
      <c r="N47" s="12"/>
      <c r="O47" s="12"/>
      <c r="P47" s="12"/>
      <c r="Q47" s="12"/>
      <c r="R47" s="316" t="s">
        <v>148</v>
      </c>
      <c r="S47" s="317"/>
      <c r="T47" s="253">
        <f>$G$39</f>
        <v>0</v>
      </c>
      <c r="U47" s="255">
        <f>T47/40000</f>
        <v>0</v>
      </c>
    </row>
    <row r="48" spans="1:45" ht="24" thickBot="1" x14ac:dyDescent="0.3">
      <c r="A48" s="285" t="s">
        <v>186</v>
      </c>
      <c r="B48" s="286">
        <f>K47</f>
        <v>0</v>
      </c>
      <c r="C48" s="12"/>
      <c r="D48" s="285" t="s">
        <v>186</v>
      </c>
      <c r="E48" s="286">
        <f>K47*0.5</f>
        <v>0</v>
      </c>
      <c r="F48" s="23"/>
      <c r="G48" s="285" t="s">
        <v>186</v>
      </c>
      <c r="H48" s="286">
        <f>K47*0.5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16" t="s">
        <v>150</v>
      </c>
      <c r="S48" s="317"/>
      <c r="T48" s="253">
        <f>$L$39</f>
        <v>0</v>
      </c>
      <c r="U48" s="255">
        <f>T48*9.34*0.107</f>
        <v>0</v>
      </c>
    </row>
    <row r="49" spans="1:25" ht="48" thickTop="1" thickBot="1" x14ac:dyDescent="0.3">
      <c r="A49" s="290" t="s">
        <v>194</v>
      </c>
      <c r="B49" s="291">
        <f>AF40</f>
        <v>0</v>
      </c>
      <c r="C49" s="12"/>
      <c r="D49" s="290" t="s">
        <v>195</v>
      </c>
      <c r="E49" s="291">
        <f>AH40</f>
        <v>0</v>
      </c>
      <c r="F49" s="23"/>
      <c r="G49" s="290" t="s">
        <v>196</v>
      </c>
      <c r="H49" s="291">
        <f>AG40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16" t="s">
        <v>152</v>
      </c>
      <c r="S49" s="317"/>
      <c r="T49" s="253">
        <f>$E$39+$K$39</f>
        <v>0</v>
      </c>
      <c r="U49" s="255">
        <f>(T49*8.34*1.04)/45000</f>
        <v>0</v>
      </c>
    </row>
    <row r="50" spans="1:25" ht="48" customHeight="1" thickTop="1" thickBot="1" x14ac:dyDescent="0.3">
      <c r="A50" s="290" t="s">
        <v>223</v>
      </c>
      <c r="B50" s="291">
        <f>SUM(E50+H50)</f>
        <v>0</v>
      </c>
      <c r="C50" s="12"/>
      <c r="D50" s="290" t="s">
        <v>226</v>
      </c>
      <c r="E50" s="291">
        <f>AE40</f>
        <v>0</v>
      </c>
      <c r="F50" s="23"/>
      <c r="G50" s="290" t="s">
        <v>227</v>
      </c>
      <c r="H50" s="291">
        <f>AD40</f>
        <v>0</v>
      </c>
      <c r="I50" s="12"/>
      <c r="J50" s="12"/>
      <c r="K50" s="86"/>
      <c r="L50" s="12"/>
      <c r="M50" s="12"/>
      <c r="N50" s="12"/>
      <c r="O50" s="12"/>
      <c r="P50" s="12"/>
      <c r="Q50" s="12"/>
      <c r="R50" s="316"/>
      <c r="S50" s="317"/>
      <c r="T50" s="253"/>
      <c r="U50" s="255"/>
    </row>
    <row r="51" spans="1:25" ht="48" thickTop="1" thickBot="1" x14ac:dyDescent="0.3">
      <c r="A51" s="290" t="s">
        <v>190</v>
      </c>
      <c r="B51" s="292" t="e">
        <f>(SUM(B44:B48)/B50)</f>
        <v>#DIV/0!</v>
      </c>
      <c r="C51" s="12"/>
      <c r="D51" s="290" t="s">
        <v>188</v>
      </c>
      <c r="E51" s="293" t="e">
        <f>SUM(E44:E48)/E50</f>
        <v>#DIV/0!</v>
      </c>
      <c r="F51" s="373" t="e">
        <f>E44/E49</f>
        <v>#DIV/0!</v>
      </c>
      <c r="G51" s="290" t="s">
        <v>189</v>
      </c>
      <c r="H51" s="293" t="e">
        <f>SUM(H44:H48)/H50</f>
        <v>#DIV/0!</v>
      </c>
      <c r="I51" s="363" t="e">
        <f>H44/H49</f>
        <v>#DIV/0!</v>
      </c>
      <c r="J51" s="12"/>
      <c r="K51" s="86"/>
      <c r="L51" s="12"/>
      <c r="M51" s="12"/>
      <c r="N51" s="12"/>
      <c r="O51" s="12"/>
      <c r="P51" s="12"/>
      <c r="Q51" s="12"/>
      <c r="R51" s="316" t="s">
        <v>153</v>
      </c>
      <c r="S51" s="317"/>
      <c r="T51" s="253">
        <f>$U$39+$V$39+$AB$39</f>
        <v>0</v>
      </c>
      <c r="U51" s="255">
        <f>T51/2000/8</f>
        <v>0</v>
      </c>
    </row>
    <row r="52" spans="1:25" ht="57" customHeight="1" thickTop="1" thickBot="1" x14ac:dyDescent="0.3">
      <c r="A52" s="280" t="s">
        <v>191</v>
      </c>
      <c r="B52" s="293" t="e">
        <f>B51/1000</f>
        <v>#DIV/0!</v>
      </c>
      <c r="C52" s="12"/>
      <c r="D52" s="280" t="s">
        <v>192</v>
      </c>
      <c r="E52" s="293" t="e">
        <f>E51/1000</f>
        <v>#DIV/0!</v>
      </c>
      <c r="F52" s="12"/>
      <c r="G52" s="280" t="s">
        <v>193</v>
      </c>
      <c r="H52" s="293" t="e">
        <f>H51/1000</f>
        <v>#DIV/0!</v>
      </c>
      <c r="I52" s="12"/>
      <c r="J52" s="12"/>
      <c r="K52" s="86"/>
      <c r="L52" s="12"/>
      <c r="M52" s="12"/>
      <c r="N52" s="12"/>
      <c r="O52" s="12"/>
      <c r="P52" s="12"/>
      <c r="Q52" s="12"/>
      <c r="R52" s="316" t="s">
        <v>154</v>
      </c>
      <c r="S52" s="317"/>
      <c r="T52" s="253">
        <f>$C$39+$J$39+$S$39+$T$39</f>
        <v>0</v>
      </c>
      <c r="U52" s="255">
        <f>(T52*8.34*1.4)/45000</f>
        <v>0</v>
      </c>
    </row>
    <row r="53" spans="1:25" ht="16.5" thickTop="1" thickBot="1" x14ac:dyDescent="0.3">
      <c r="A53" s="301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6" t="s">
        <v>155</v>
      </c>
      <c r="S53" s="317"/>
      <c r="T53" s="253">
        <f>$H$39</f>
        <v>0</v>
      </c>
      <c r="U53" s="255">
        <f>(T53*8.34*1.135)/45000</f>
        <v>0</v>
      </c>
    </row>
    <row r="54" spans="1:25" ht="48" customHeight="1" thickTop="1" thickBot="1" x14ac:dyDescent="0.3">
      <c r="A54" s="621" t="s">
        <v>51</v>
      </c>
      <c r="B54" s="622"/>
      <c r="C54" s="622"/>
      <c r="D54" s="622"/>
      <c r="E54" s="623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6" t="s">
        <v>156</v>
      </c>
      <c r="S54" s="317"/>
      <c r="T54" s="253">
        <f>$B$39+$I$39+$AC$39</f>
        <v>0</v>
      </c>
      <c r="U54" s="255">
        <f>(T54*8.34*1.029*0.03)/3300</f>
        <v>0</v>
      </c>
    </row>
    <row r="55" spans="1:25" ht="45.75" customHeight="1" thickBot="1" x14ac:dyDescent="0.3">
      <c r="A55" s="626" t="s">
        <v>200</v>
      </c>
      <c r="B55" s="627"/>
      <c r="C55" s="627"/>
      <c r="D55" s="627"/>
      <c r="E55" s="628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4" t="s">
        <v>158</v>
      </c>
      <c r="S55" s="635"/>
      <c r="T55" s="257">
        <f>$D$39+$Y$39+$Z$39</f>
        <v>0</v>
      </c>
      <c r="U55" s="258">
        <f>(T55*1.54*8.34)/45000</f>
        <v>0</v>
      </c>
    </row>
    <row r="56" spans="1:25" ht="24" thickTop="1" x14ac:dyDescent="0.25">
      <c r="A56" s="664"/>
      <c r="B56" s="665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6"/>
      <c r="B57" s="66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2"/>
      <c r="B58" s="66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3"/>
      <c r="B59" s="66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2"/>
      <c r="B60" s="66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3"/>
      <c r="B61" s="663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  <row r="65" spans="1:3" x14ac:dyDescent="0.25">
      <c r="A65" s="12"/>
      <c r="B65" s="12"/>
      <c r="C65" s="12"/>
    </row>
  </sheetData>
  <sheetProtection algorithmName="SHA-512" hashValue="H8O0wQU82KJVbhnE7DJlhvUzypCQ3C9kFNS0leov2Ews+y4UeIasPTjtaIFZbQcTAuGMqo6qo/Tp8hRgSYXC0g==" saltValue="EYFD8SSpW0h9eEJq7J5JrA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Conte, Chris</cp:lastModifiedBy>
  <cp:lastPrinted>2017-01-18T15:43:36Z</cp:lastPrinted>
  <dcterms:created xsi:type="dcterms:W3CDTF">2010-10-11T23:47:50Z</dcterms:created>
  <dcterms:modified xsi:type="dcterms:W3CDTF">2021-03-13T23:22:49Z</dcterms:modified>
</cp:coreProperties>
</file>