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Previous Years BWPF Cost Reports\"/>
    </mc:Choice>
  </mc:AlternateContent>
  <xr:revisionPtr revIDLastSave="0" documentId="13_ncr:1_{0EFD5C02-9D00-479D-B0BF-0BCF4B5BC2D6}" xr6:coauthVersionLast="44" xr6:coauthVersionMax="45" xr10:uidLastSave="{00000000-0000-0000-0000-000000000000}"/>
  <workbookProtection workbookAlgorithmName="SHA-512" workbookHashValue="07sntLMf125f1oiyF9KVUxyBxm07OSmkvHPnQYPI7uu49OUBdIuYzefZqOQLROlzx5IJGlQ9XH9tgQHRK2ZnLA==" workbookSaltValue="Hzp+bUMRdwgyitobge4urw==" workbookSpinCount="100000" lockStructure="1"/>
  <bookViews>
    <workbookView xWindow="2325" yWindow="1575" windowWidth="21600" windowHeight="12675" tabRatio="928" firstSheet="3" activeTab="3" xr2:uid="{00000000-000D-0000-FFFF-FFFF00000000}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APRIL!$A$42:$K$55</definedName>
    <definedName name="_xlnm.Print_Area" localSheetId="11">AUGUST!$A$42:$K$55</definedName>
    <definedName name="_xlnm.Print_Area" localSheetId="15">DECEMBER!$A$42:$K$55</definedName>
    <definedName name="_xlnm.Print_Area" localSheetId="5">FEBRUARY!$A$42:$K$55</definedName>
    <definedName name="_xlnm.Print_Area" localSheetId="4">JANUARY!$A$42:$K$55</definedName>
    <definedName name="_xlnm.Print_Area" localSheetId="10">JULY!$A$42:$K$55</definedName>
    <definedName name="_xlnm.Print_Area" localSheetId="9">JUNE!$A$42:$K$55</definedName>
    <definedName name="_xlnm.Print_Area" localSheetId="6">MARCH!$A$42:$K$55</definedName>
    <definedName name="_xlnm.Print_Area" localSheetId="8">MAY!$A$42:$K$55</definedName>
    <definedName name="_xlnm.Print_Area" localSheetId="14">NOVEMBER!$A$42:$K$55</definedName>
    <definedName name="_xlnm.Print_Area" localSheetId="13">OCTOBER!$A$42:$K$55</definedName>
    <definedName name="_xlnm.Print_Area" localSheetId="12">SEPTEMBER!$A$42:$K$55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2" i="28" l="1"/>
  <c r="K49" i="21" l="1"/>
  <c r="C39" i="26" l="1"/>
  <c r="AS39" i="18" l="1"/>
  <c r="AR39" i="18"/>
  <c r="AQ39" i="18"/>
  <c r="AP39" i="18"/>
  <c r="AO39" i="18"/>
  <c r="AN39" i="18"/>
  <c r="AM39" i="18"/>
  <c r="AL39" i="18"/>
  <c r="AK39" i="18"/>
  <c r="AJ39" i="18"/>
  <c r="AH40" i="18"/>
  <c r="AG40" i="18"/>
  <c r="AF40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AS39" i="17"/>
  <c r="AR39" i="17"/>
  <c r="AQ39" i="17"/>
  <c r="AP39" i="17"/>
  <c r="AO39" i="17"/>
  <c r="AN39" i="17"/>
  <c r="AM39" i="17"/>
  <c r="AL39" i="17"/>
  <c r="AK39" i="17"/>
  <c r="AJ39" i="17"/>
  <c r="AH40" i="17"/>
  <c r="AG40" i="17"/>
  <c r="AF40" i="17"/>
  <c r="AE40" i="17"/>
  <c r="AD40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A42" i="21" l="1"/>
  <c r="A42" i="20" s="1"/>
  <c r="A42" i="19" s="1"/>
  <c r="A42" i="18" s="1"/>
  <c r="A42" i="17" s="1"/>
  <c r="A42" i="24" s="1"/>
  <c r="A42" i="23" s="1"/>
  <c r="A42" i="16" s="1"/>
  <c r="A42" i="6" s="1"/>
  <c r="A42" i="25" s="1"/>
  <c r="A42" i="26" s="1"/>
  <c r="AE40" i="26" l="1"/>
  <c r="AF15" i="27" s="1"/>
  <c r="AD40" i="26"/>
  <c r="AE15" i="27" s="1"/>
  <c r="AE40" i="25"/>
  <c r="AF14" i="27" s="1"/>
  <c r="AD40" i="25"/>
  <c r="AE14" i="27" s="1"/>
  <c r="AE40" i="6"/>
  <c r="AF13" i="27" s="1"/>
  <c r="AD40" i="6"/>
  <c r="AE13" i="27" s="1"/>
  <c r="AE40" i="23"/>
  <c r="AF11" i="27" s="1"/>
  <c r="AD40" i="23"/>
  <c r="AE11" i="27" s="1"/>
  <c r="AE40" i="24"/>
  <c r="AF10" i="27" s="1"/>
  <c r="AD40" i="24"/>
  <c r="AE10" i="27" s="1"/>
  <c r="AF9" i="27"/>
  <c r="AE9" i="27"/>
  <c r="AE40" i="18"/>
  <c r="AF8" i="27" s="1"/>
  <c r="AD40" i="18"/>
  <c r="AE8" i="27" s="1"/>
  <c r="AE40" i="19"/>
  <c r="AF7" i="27" s="1"/>
  <c r="AD40" i="19"/>
  <c r="AE7" i="27" s="1"/>
  <c r="AE40" i="20"/>
  <c r="AF6" i="27" s="1"/>
  <c r="AD40" i="20"/>
  <c r="AE6" i="27" s="1"/>
  <c r="AE40" i="22"/>
  <c r="AF4" i="27" s="1"/>
  <c r="AD40" i="22"/>
  <c r="AE4" i="27" s="1"/>
  <c r="AE40" i="21"/>
  <c r="AF5" i="27" s="1"/>
  <c r="AD40" i="21"/>
  <c r="AE5" i="27" s="1"/>
  <c r="AG10" i="27" l="1"/>
  <c r="AG11" i="27"/>
  <c r="AG13" i="27"/>
  <c r="AG15" i="27"/>
  <c r="AG9" i="27"/>
  <c r="AG8" i="27"/>
  <c r="AG7" i="27"/>
  <c r="AG4" i="27"/>
  <c r="AG5" i="27"/>
  <c r="AG6" i="27"/>
  <c r="AG14" i="27"/>
  <c r="H50" i="26"/>
  <c r="E50" i="26"/>
  <c r="H50" i="25"/>
  <c r="E50" i="25"/>
  <c r="H50" i="6"/>
  <c r="E50" i="6"/>
  <c r="H50" i="23"/>
  <c r="E50" i="23"/>
  <c r="H50" i="24"/>
  <c r="E50" i="24"/>
  <c r="H50" i="17"/>
  <c r="E50" i="17"/>
  <c r="H50" i="18"/>
  <c r="E50" i="18"/>
  <c r="H50" i="19"/>
  <c r="E50" i="19"/>
  <c r="B50" i="19" l="1"/>
  <c r="B50" i="17"/>
  <c r="B50" i="26"/>
  <c r="B50" i="25"/>
  <c r="B50" i="6"/>
  <c r="B50" i="23"/>
  <c r="B50" i="24"/>
  <c r="B50" i="18"/>
  <c r="H50" i="20"/>
  <c r="E50" i="20"/>
  <c r="B50" i="20" l="1"/>
  <c r="H50" i="21"/>
  <c r="E50" i="21"/>
  <c r="B50" i="21" l="1"/>
  <c r="H50" i="22"/>
  <c r="E50" i="22"/>
  <c r="B50" i="22" l="1"/>
  <c r="C39" i="21" l="1"/>
  <c r="AB22" i="28" l="1"/>
  <c r="AC22" i="28"/>
  <c r="AD22" i="28"/>
  <c r="AI22" i="28" l="1"/>
  <c r="AH22" i="28"/>
  <c r="AG22" i="28"/>
  <c r="AF22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AH19" i="28"/>
  <c r="AF19" i="28"/>
  <c r="AI10" i="28"/>
  <c r="AG10" i="28"/>
  <c r="AH40" i="24" l="1"/>
  <c r="E49" i="24" s="1"/>
  <c r="AG40" i="24"/>
  <c r="AF40" i="24"/>
  <c r="B49" i="24" s="1"/>
  <c r="H48" i="26"/>
  <c r="E48" i="26"/>
  <c r="B48" i="26"/>
  <c r="H47" i="26"/>
  <c r="E47" i="26"/>
  <c r="B47" i="26"/>
  <c r="B46" i="26"/>
  <c r="AS40" i="26"/>
  <c r="AR40" i="26"/>
  <c r="AQ40" i="26"/>
  <c r="AP40" i="26"/>
  <c r="AO40" i="26"/>
  <c r="AN40" i="26"/>
  <c r="AM40" i="26"/>
  <c r="AL40" i="26"/>
  <c r="AK40" i="26"/>
  <c r="L39" i="26"/>
  <c r="B39" i="26"/>
  <c r="H48" i="25"/>
  <c r="E48" i="25"/>
  <c r="B48" i="25"/>
  <c r="H47" i="25"/>
  <c r="E47" i="25"/>
  <c r="B47" i="25"/>
  <c r="B46" i="25"/>
  <c r="AS40" i="25"/>
  <c r="AR40" i="25"/>
  <c r="AQ40" i="25"/>
  <c r="AP40" i="25"/>
  <c r="AO40" i="25"/>
  <c r="AN40" i="25"/>
  <c r="AM40" i="25"/>
  <c r="AL40" i="25"/>
  <c r="AK40" i="25"/>
  <c r="AH40" i="25"/>
  <c r="E49" i="25" s="1"/>
  <c r="AG40" i="25"/>
  <c r="AF40" i="25"/>
  <c r="B49" i="25" s="1"/>
  <c r="AS39" i="25"/>
  <c r="AR39" i="25"/>
  <c r="AQ39" i="25"/>
  <c r="AP39" i="25"/>
  <c r="AO39" i="25"/>
  <c r="AN39" i="25"/>
  <c r="AM39" i="25"/>
  <c r="AL39" i="25"/>
  <c r="AK39" i="25"/>
  <c r="AJ39" i="25"/>
  <c r="AJ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3" i="25" s="1"/>
  <c r="U53" i="25" s="1"/>
  <c r="G39" i="25"/>
  <c r="T47" i="25" s="1"/>
  <c r="U47" i="25" s="1"/>
  <c r="F39" i="25"/>
  <c r="E39" i="25"/>
  <c r="D39" i="25"/>
  <c r="C39" i="25"/>
  <c r="B39" i="25"/>
  <c r="H48" i="6"/>
  <c r="E48" i="6"/>
  <c r="B48" i="6"/>
  <c r="H47" i="6"/>
  <c r="E47" i="6"/>
  <c r="B47" i="6"/>
  <c r="B46" i="6"/>
  <c r="AS40" i="6"/>
  <c r="AR40" i="6"/>
  <c r="AQ40" i="6"/>
  <c r="AP40" i="6"/>
  <c r="AO40" i="6"/>
  <c r="AN40" i="6"/>
  <c r="AM40" i="6"/>
  <c r="AL40" i="6"/>
  <c r="AK40" i="6"/>
  <c r="AH40" i="6"/>
  <c r="E49" i="6" s="1"/>
  <c r="AG40" i="6"/>
  <c r="AF40" i="6"/>
  <c r="B49" i="6" s="1"/>
  <c r="AS39" i="6"/>
  <c r="AR39" i="6"/>
  <c r="AQ39" i="6"/>
  <c r="AP39" i="6"/>
  <c r="AO39" i="6"/>
  <c r="AN39" i="6"/>
  <c r="AM39" i="6"/>
  <c r="AL39" i="6"/>
  <c r="AK39" i="6"/>
  <c r="AJ39" i="6"/>
  <c r="AJ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3" i="6" s="1"/>
  <c r="U53" i="6" s="1"/>
  <c r="G39" i="6"/>
  <c r="T47" i="6" s="1"/>
  <c r="U47" i="6" s="1"/>
  <c r="F39" i="6"/>
  <c r="E39" i="6"/>
  <c r="D39" i="6"/>
  <c r="C39" i="6"/>
  <c r="B39" i="6"/>
  <c r="AH40" i="23"/>
  <c r="E49" i="23" s="1"/>
  <c r="AG40" i="23"/>
  <c r="AF40" i="23"/>
  <c r="B49" i="23" s="1"/>
  <c r="H48" i="23"/>
  <c r="E48" i="23"/>
  <c r="B48" i="23"/>
  <c r="H47" i="23"/>
  <c r="E47" i="23"/>
  <c r="B47" i="23"/>
  <c r="B46" i="23"/>
  <c r="AS40" i="23"/>
  <c r="AR40" i="23"/>
  <c r="AQ40" i="23"/>
  <c r="AP40" i="23"/>
  <c r="AO40" i="23"/>
  <c r="AN40" i="23"/>
  <c r="AM40" i="23"/>
  <c r="AL40" i="23"/>
  <c r="AK40" i="23"/>
  <c r="AS39" i="23"/>
  <c r="AR39" i="23"/>
  <c r="AQ39" i="23"/>
  <c r="AP39" i="23"/>
  <c r="AO39" i="23"/>
  <c r="AN39" i="23"/>
  <c r="AM39" i="23"/>
  <c r="AL39" i="23"/>
  <c r="AK39" i="23"/>
  <c r="AJ39" i="23"/>
  <c r="AJ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3" i="23" s="1"/>
  <c r="U53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S40" i="24"/>
  <c r="AR40" i="24"/>
  <c r="AQ40" i="24"/>
  <c r="AP40" i="24"/>
  <c r="AO40" i="24"/>
  <c r="AN40" i="24"/>
  <c r="AM40" i="24"/>
  <c r="AL40" i="24"/>
  <c r="AK40" i="24"/>
  <c r="AS39" i="24"/>
  <c r="AR39" i="24"/>
  <c r="AQ39" i="24"/>
  <c r="AP39" i="24"/>
  <c r="AO39" i="24"/>
  <c r="AN39" i="24"/>
  <c r="AM39" i="24"/>
  <c r="AL39" i="24"/>
  <c r="AK39" i="24"/>
  <c r="AJ39" i="24"/>
  <c r="AJ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3" i="24" s="1"/>
  <c r="U53" i="24" s="1"/>
  <c r="G39" i="24"/>
  <c r="T47" i="24" s="1"/>
  <c r="U47" i="24" s="1"/>
  <c r="F39" i="24"/>
  <c r="E39" i="24"/>
  <c r="D39" i="24"/>
  <c r="C39" i="24"/>
  <c r="B39" i="24"/>
  <c r="H48" i="17"/>
  <c r="E48" i="17"/>
  <c r="B48" i="17"/>
  <c r="H47" i="17"/>
  <c r="E47" i="17"/>
  <c r="B47" i="17"/>
  <c r="B46" i="17"/>
  <c r="AS40" i="17"/>
  <c r="AR40" i="17"/>
  <c r="AQ40" i="17"/>
  <c r="AP40" i="17"/>
  <c r="AO40" i="17"/>
  <c r="AN40" i="17"/>
  <c r="AM40" i="17"/>
  <c r="AL40" i="17"/>
  <c r="AK40" i="17"/>
  <c r="E49" i="17"/>
  <c r="B49" i="17"/>
  <c r="AJ41" i="17"/>
  <c r="AA41" i="17"/>
  <c r="T41" i="17"/>
  <c r="S41" i="17"/>
  <c r="R41" i="17"/>
  <c r="Q41" i="17"/>
  <c r="P41" i="17"/>
  <c r="O41" i="17"/>
  <c r="J41" i="17"/>
  <c r="T53" i="17"/>
  <c r="U53" i="17" s="1"/>
  <c r="T47" i="17"/>
  <c r="U47" i="17" s="1"/>
  <c r="B39" i="17"/>
  <c r="H48" i="18"/>
  <c r="E48" i="18"/>
  <c r="B48" i="18"/>
  <c r="H47" i="18"/>
  <c r="E47" i="18"/>
  <c r="B47" i="18"/>
  <c r="B46" i="18"/>
  <c r="AS40" i="18"/>
  <c r="AR40" i="18"/>
  <c r="AQ40" i="18"/>
  <c r="AP40" i="18"/>
  <c r="AO40" i="18"/>
  <c r="AN40" i="18"/>
  <c r="AM40" i="18"/>
  <c r="AL40" i="18"/>
  <c r="AK40" i="18"/>
  <c r="E49" i="18"/>
  <c r="B49" i="18"/>
  <c r="AJ41" i="18"/>
  <c r="AA41" i="18"/>
  <c r="T41" i="18"/>
  <c r="S41" i="18"/>
  <c r="R41" i="18"/>
  <c r="Q41" i="18"/>
  <c r="P41" i="18"/>
  <c r="O41" i="18"/>
  <c r="J41" i="18"/>
  <c r="T53" i="18"/>
  <c r="U53" i="18" s="1"/>
  <c r="T47" i="18"/>
  <c r="U47" i="18" s="1"/>
  <c r="B39" i="18"/>
  <c r="H48" i="19"/>
  <c r="E48" i="19"/>
  <c r="B48" i="19"/>
  <c r="H47" i="19"/>
  <c r="E47" i="19"/>
  <c r="B47" i="19"/>
  <c r="B46" i="19"/>
  <c r="AS40" i="19"/>
  <c r="AR40" i="19"/>
  <c r="AQ40" i="19"/>
  <c r="AP40" i="19"/>
  <c r="AO40" i="19"/>
  <c r="AN40" i="19"/>
  <c r="AM40" i="19"/>
  <c r="AL40" i="19"/>
  <c r="AK40" i="19"/>
  <c r="AH40" i="19"/>
  <c r="E49" i="19" s="1"/>
  <c r="AG40" i="19"/>
  <c r="AF40" i="19"/>
  <c r="B49" i="19" s="1"/>
  <c r="AS39" i="19"/>
  <c r="AR39" i="19"/>
  <c r="AQ39" i="19"/>
  <c r="AP39" i="19"/>
  <c r="AO39" i="19"/>
  <c r="AN39" i="19"/>
  <c r="AM39" i="19"/>
  <c r="AL39" i="19"/>
  <c r="AK39" i="19"/>
  <c r="AJ39" i="19"/>
  <c r="AJ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3" i="19" s="1"/>
  <c r="U53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B46" i="20"/>
  <c r="AS40" i="20"/>
  <c r="AR40" i="20"/>
  <c r="AQ40" i="20"/>
  <c r="AP40" i="20"/>
  <c r="AO40" i="20"/>
  <c r="AN40" i="20"/>
  <c r="AM40" i="20"/>
  <c r="AL40" i="20"/>
  <c r="AK40" i="20"/>
  <c r="AH40" i="20"/>
  <c r="E49" i="20" s="1"/>
  <c r="AG40" i="20"/>
  <c r="AF40" i="20"/>
  <c r="B49" i="20" s="1"/>
  <c r="AS39" i="20"/>
  <c r="AR39" i="20"/>
  <c r="AQ39" i="20"/>
  <c r="AP39" i="20"/>
  <c r="AO39" i="20"/>
  <c r="AN39" i="20"/>
  <c r="AM39" i="20"/>
  <c r="AL39" i="20"/>
  <c r="AK39" i="20"/>
  <c r="AJ39" i="20"/>
  <c r="AJ41" i="20" s="1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3" i="20" s="1"/>
  <c r="U53" i="20" s="1"/>
  <c r="G39" i="20"/>
  <c r="T47" i="20" s="1"/>
  <c r="U47" i="20" s="1"/>
  <c r="F39" i="20"/>
  <c r="E39" i="20"/>
  <c r="D39" i="20"/>
  <c r="C39" i="20"/>
  <c r="B39" i="20"/>
  <c r="AI40" i="25" l="1"/>
  <c r="E46" i="25" s="1"/>
  <c r="AI40" i="6"/>
  <c r="E46" i="6" s="1"/>
  <c r="AI40" i="24"/>
  <c r="E46" i="24" s="1"/>
  <c r="H49" i="19"/>
  <c r="AI40" i="19"/>
  <c r="H49" i="23"/>
  <c r="AI40" i="23"/>
  <c r="H46" i="23" s="1"/>
  <c r="AI40" i="17"/>
  <c r="E46" i="17" s="1"/>
  <c r="H49" i="18"/>
  <c r="AI40" i="18"/>
  <c r="H49" i="20"/>
  <c r="AI40" i="20"/>
  <c r="T54" i="24"/>
  <c r="U54" i="24" s="1"/>
  <c r="T49" i="18"/>
  <c r="U49" i="18" s="1"/>
  <c r="T54" i="19"/>
  <c r="U54" i="19" s="1"/>
  <c r="T54" i="17"/>
  <c r="U54" i="17" s="1"/>
  <c r="T54" i="23"/>
  <c r="U54" i="23" s="1"/>
  <c r="T55" i="19"/>
  <c r="U55" i="19" s="1"/>
  <c r="T55" i="17"/>
  <c r="U55" i="17" s="1"/>
  <c r="T45" i="24"/>
  <c r="U45" i="24" s="1"/>
  <c r="T45" i="20"/>
  <c r="U45" i="20" s="1"/>
  <c r="T54" i="20"/>
  <c r="U54" i="20" s="1"/>
  <c r="T54" i="6"/>
  <c r="U54" i="6" s="1"/>
  <c r="T49" i="25"/>
  <c r="U49" i="25" s="1"/>
  <c r="T52" i="19"/>
  <c r="U52" i="19" s="1"/>
  <c r="T45" i="19"/>
  <c r="U45" i="19" s="1"/>
  <c r="T55" i="18"/>
  <c r="U55" i="18" s="1"/>
  <c r="T52" i="17"/>
  <c r="U52" i="17" s="1"/>
  <c r="T45" i="17"/>
  <c r="U45" i="17" s="1"/>
  <c r="T45" i="23"/>
  <c r="U45" i="23" s="1"/>
  <c r="T55" i="20"/>
  <c r="U55" i="20" s="1"/>
  <c r="T49" i="19"/>
  <c r="U49" i="19" s="1"/>
  <c r="T51" i="19"/>
  <c r="U51" i="19" s="1"/>
  <c r="T54" i="18"/>
  <c r="U54" i="18" s="1"/>
  <c r="T49" i="17"/>
  <c r="U49" i="17" s="1"/>
  <c r="T51" i="17"/>
  <c r="U51" i="17" s="1"/>
  <c r="T55" i="24"/>
  <c r="U55" i="24" s="1"/>
  <c r="T55" i="23"/>
  <c r="U55" i="23" s="1"/>
  <c r="T55" i="6"/>
  <c r="U55" i="6" s="1"/>
  <c r="T52" i="20"/>
  <c r="U52" i="20" s="1"/>
  <c r="T51" i="18"/>
  <c r="U51" i="18" s="1"/>
  <c r="T52" i="24"/>
  <c r="U52" i="24" s="1"/>
  <c r="T52" i="23"/>
  <c r="U52" i="23" s="1"/>
  <c r="T52" i="6"/>
  <c r="U52" i="6" s="1"/>
  <c r="T49" i="20"/>
  <c r="U49" i="20" s="1"/>
  <c r="T51" i="20"/>
  <c r="U51" i="20" s="1"/>
  <c r="T52" i="18"/>
  <c r="U52" i="18" s="1"/>
  <c r="T45" i="18"/>
  <c r="U45" i="18" s="1"/>
  <c r="T49" i="24"/>
  <c r="U49" i="24" s="1"/>
  <c r="T51" i="24"/>
  <c r="U51" i="24" s="1"/>
  <c r="T49" i="23"/>
  <c r="U49" i="23" s="1"/>
  <c r="T51" i="23"/>
  <c r="U51" i="23" s="1"/>
  <c r="T49" i="6"/>
  <c r="U49" i="6" s="1"/>
  <c r="T46" i="19"/>
  <c r="U46" i="19" s="1"/>
  <c r="T46" i="20"/>
  <c r="U46" i="20" s="1"/>
  <c r="T51" i="25"/>
  <c r="U51" i="25" s="1"/>
  <c r="T45" i="25"/>
  <c r="U45" i="25" s="1"/>
  <c r="T52" i="25"/>
  <c r="U52" i="25" s="1"/>
  <c r="T54" i="25"/>
  <c r="U54" i="25" s="1"/>
  <c r="T55" i="25"/>
  <c r="U55" i="25" s="1"/>
  <c r="T46" i="25"/>
  <c r="U46" i="25" s="1"/>
  <c r="AL41" i="25"/>
  <c r="AN41" i="25"/>
  <c r="AP41" i="25"/>
  <c r="AR41" i="25"/>
  <c r="AK41" i="25"/>
  <c r="AM41" i="25"/>
  <c r="AO41" i="25"/>
  <c r="AQ41" i="25"/>
  <c r="AS41" i="25"/>
  <c r="T51" i="6"/>
  <c r="U51" i="6" s="1"/>
  <c r="T45" i="6"/>
  <c r="U45" i="6" s="1"/>
  <c r="AL41" i="6"/>
  <c r="AN41" i="6"/>
  <c r="AP41" i="6"/>
  <c r="AR41" i="6"/>
  <c r="AK41" i="6"/>
  <c r="AM41" i="6"/>
  <c r="AO41" i="6"/>
  <c r="AQ41" i="6"/>
  <c r="AS41" i="6"/>
  <c r="AL41" i="23"/>
  <c r="AN41" i="23"/>
  <c r="AP41" i="23"/>
  <c r="AR41" i="23"/>
  <c r="AK41" i="23"/>
  <c r="AM41" i="23"/>
  <c r="AO41" i="23"/>
  <c r="AQ41" i="23"/>
  <c r="AS41" i="23"/>
  <c r="AL41" i="24"/>
  <c r="AN41" i="24"/>
  <c r="AP41" i="24"/>
  <c r="AR41" i="24"/>
  <c r="AK41" i="24"/>
  <c r="AM41" i="24"/>
  <c r="AO41" i="24"/>
  <c r="AQ41" i="24"/>
  <c r="AS41" i="24"/>
  <c r="AL41" i="17"/>
  <c r="AN41" i="17"/>
  <c r="AP41" i="17"/>
  <c r="AR41" i="17"/>
  <c r="AK41" i="17"/>
  <c r="AM41" i="17"/>
  <c r="AO41" i="17"/>
  <c r="AQ41" i="17"/>
  <c r="AS41" i="17"/>
  <c r="AK41" i="19"/>
  <c r="AM41" i="19"/>
  <c r="AO41" i="19"/>
  <c r="AQ41" i="19"/>
  <c r="AS41" i="19"/>
  <c r="AL41" i="19"/>
  <c r="AN41" i="19"/>
  <c r="AP41" i="19"/>
  <c r="AR41" i="19"/>
  <c r="AL41" i="20"/>
  <c r="AN41" i="20"/>
  <c r="AP41" i="20"/>
  <c r="AR41" i="20"/>
  <c r="AK41" i="20"/>
  <c r="AM41" i="20"/>
  <c r="AO41" i="20"/>
  <c r="AQ41" i="20"/>
  <c r="AS41" i="20"/>
  <c r="T48" i="26"/>
  <c r="U48" i="26" s="1"/>
  <c r="T48" i="25"/>
  <c r="U48" i="25" s="1"/>
  <c r="H49" i="25"/>
  <c r="T46" i="6"/>
  <c r="U46" i="6" s="1"/>
  <c r="T48" i="6"/>
  <c r="U48" i="6" s="1"/>
  <c r="H49" i="6"/>
  <c r="T46" i="23"/>
  <c r="U46" i="23" s="1"/>
  <c r="T48" i="23"/>
  <c r="U48" i="23" s="1"/>
  <c r="T46" i="24"/>
  <c r="U46" i="24" s="1"/>
  <c r="T48" i="24"/>
  <c r="U48" i="24" s="1"/>
  <c r="H49" i="24"/>
  <c r="T46" i="17"/>
  <c r="U46" i="17" s="1"/>
  <c r="C41" i="17"/>
  <c r="T48" i="17"/>
  <c r="U48" i="17" s="1"/>
  <c r="H49" i="17"/>
  <c r="AK41" i="18"/>
  <c r="AM41" i="18"/>
  <c r="AO41" i="18"/>
  <c r="AQ41" i="18"/>
  <c r="AS41" i="18"/>
  <c r="T46" i="18"/>
  <c r="U46" i="18" s="1"/>
  <c r="AL41" i="18"/>
  <c r="AN41" i="18"/>
  <c r="AP41" i="18"/>
  <c r="AR41" i="18"/>
  <c r="C41" i="18"/>
  <c r="T48" i="18"/>
  <c r="U48" i="18" s="1"/>
  <c r="C41" i="19"/>
  <c r="T48" i="19"/>
  <c r="U48" i="19" s="1"/>
  <c r="T48" i="20"/>
  <c r="U48" i="20" s="1"/>
  <c r="E46" i="19" l="1"/>
  <c r="H46" i="19"/>
  <c r="H46" i="20"/>
  <c r="E46" i="20"/>
  <c r="E45" i="23"/>
  <c r="H45" i="6"/>
  <c r="H46" i="24"/>
  <c r="H45" i="19"/>
  <c r="E45" i="24"/>
  <c r="E46" i="23"/>
  <c r="E45" i="20"/>
  <c r="H46" i="17"/>
  <c r="E45" i="19"/>
  <c r="E45" i="17"/>
  <c r="H46" i="6"/>
  <c r="H45" i="20"/>
  <c r="B45" i="19"/>
  <c r="B45" i="24"/>
  <c r="H45" i="24"/>
  <c r="B45" i="23"/>
  <c r="B45" i="17"/>
  <c r="E45" i="6"/>
  <c r="B45" i="20"/>
  <c r="B45" i="6"/>
  <c r="E46" i="18"/>
  <c r="H46" i="18"/>
  <c r="E45" i="25"/>
  <c r="B45" i="25"/>
  <c r="H45" i="25"/>
  <c r="H46" i="25"/>
  <c r="H45" i="23"/>
  <c r="H45" i="17"/>
  <c r="E45" i="18"/>
  <c r="B45" i="18"/>
  <c r="H45" i="18"/>
  <c r="H48" i="21" l="1"/>
  <c r="E48" i="21"/>
  <c r="B48" i="21"/>
  <c r="H47" i="21"/>
  <c r="E47" i="21"/>
  <c r="B47" i="21"/>
  <c r="B46" i="21"/>
  <c r="AS40" i="21"/>
  <c r="AR40" i="21"/>
  <c r="AQ40" i="21"/>
  <c r="AP40" i="21"/>
  <c r="AO40" i="21"/>
  <c r="AN40" i="21"/>
  <c r="AM40" i="21"/>
  <c r="AL40" i="21"/>
  <c r="AK40" i="21"/>
  <c r="AH40" i="21"/>
  <c r="E49" i="21" s="1"/>
  <c r="AG40" i="21"/>
  <c r="AF40" i="21"/>
  <c r="B49" i="21" s="1"/>
  <c r="AS39" i="21"/>
  <c r="AR39" i="21"/>
  <c r="AQ39" i="21"/>
  <c r="AP39" i="21"/>
  <c r="AO39" i="21"/>
  <c r="AN39" i="21"/>
  <c r="AM39" i="21"/>
  <c r="AL39" i="21"/>
  <c r="AK39" i="21"/>
  <c r="AJ39" i="21"/>
  <c r="AJ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3" i="21" s="1"/>
  <c r="U53" i="21" s="1"/>
  <c r="G39" i="21"/>
  <c r="T47" i="21" s="1"/>
  <c r="U47" i="21" s="1"/>
  <c r="F39" i="21"/>
  <c r="E39" i="21"/>
  <c r="D39" i="21"/>
  <c r="B39" i="21"/>
  <c r="AI40" i="21" l="1"/>
  <c r="H46" i="21" s="1"/>
  <c r="T49" i="21"/>
  <c r="U49" i="21" s="1"/>
  <c r="T52" i="21"/>
  <c r="U52" i="21" s="1"/>
  <c r="T51" i="21"/>
  <c r="U51" i="21" s="1"/>
  <c r="T55" i="21"/>
  <c r="U55" i="21" s="1"/>
  <c r="T54" i="21"/>
  <c r="U54" i="21" s="1"/>
  <c r="AL41" i="21"/>
  <c r="AN41" i="21"/>
  <c r="AP41" i="21"/>
  <c r="AR41" i="21"/>
  <c r="AK41" i="21"/>
  <c r="AM41" i="21"/>
  <c r="AO41" i="21"/>
  <c r="AQ41" i="21"/>
  <c r="AS41" i="21"/>
  <c r="T46" i="21"/>
  <c r="U46" i="21" s="1"/>
  <c r="T45" i="21"/>
  <c r="U45" i="21" s="1"/>
  <c r="T48" i="21"/>
  <c r="U48" i="21" s="1"/>
  <c r="H49" i="21"/>
  <c r="E46" i="21" l="1"/>
  <c r="E45" i="21"/>
  <c r="B45" i="21"/>
  <c r="H45" i="21"/>
  <c r="H48" i="22" l="1"/>
  <c r="E48" i="22"/>
  <c r="B48" i="22"/>
  <c r="H47" i="22"/>
  <c r="E47" i="22"/>
  <c r="B47" i="22"/>
  <c r="B46" i="22"/>
  <c r="AS40" i="22"/>
  <c r="AR40" i="22"/>
  <c r="AQ40" i="22"/>
  <c r="AP40" i="22"/>
  <c r="AO40" i="22"/>
  <c r="AN40" i="22"/>
  <c r="AM40" i="22"/>
  <c r="AL40" i="22"/>
  <c r="AK40" i="22"/>
  <c r="AH40" i="22"/>
  <c r="E49" i="22" s="1"/>
  <c r="AG40" i="22"/>
  <c r="AF40" i="22"/>
  <c r="B49" i="22" s="1"/>
  <c r="AS39" i="22"/>
  <c r="AR39" i="22"/>
  <c r="AQ39" i="22"/>
  <c r="AP39" i="22"/>
  <c r="AO39" i="22"/>
  <c r="AN39" i="22"/>
  <c r="AM39" i="22"/>
  <c r="AL39" i="22"/>
  <c r="AK39" i="22"/>
  <c r="AJ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3" i="22" s="1"/>
  <c r="U53" i="22" s="1"/>
  <c r="G39" i="22"/>
  <c r="T47" i="22" s="1"/>
  <c r="U47" i="22" s="1"/>
  <c r="F39" i="22"/>
  <c r="E39" i="22"/>
  <c r="D39" i="22"/>
  <c r="C39" i="22"/>
  <c r="B39" i="22"/>
  <c r="AI40" i="22" l="1"/>
  <c r="H46" i="22" s="1"/>
  <c r="T55" i="22"/>
  <c r="U55" i="22" s="1"/>
  <c r="T49" i="22"/>
  <c r="U49" i="22" s="1"/>
  <c r="T54" i="22"/>
  <c r="U54" i="22" s="1"/>
  <c r="AJ41" i="22"/>
  <c r="T52" i="22"/>
  <c r="U52" i="22" s="1"/>
  <c r="T51" i="22"/>
  <c r="U51" i="22" s="1"/>
  <c r="T45" i="22"/>
  <c r="U45" i="22" s="1"/>
  <c r="AL41" i="22"/>
  <c r="AN41" i="22"/>
  <c r="AP41" i="22"/>
  <c r="AR41" i="22"/>
  <c r="AK41" i="22"/>
  <c r="AM41" i="22"/>
  <c r="AO41" i="22"/>
  <c r="AQ41" i="22"/>
  <c r="AS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S40" i="16"/>
  <c r="AR40" i="16"/>
  <c r="AQ40" i="16"/>
  <c r="AP40" i="16"/>
  <c r="AO40" i="16"/>
  <c r="AN40" i="16"/>
  <c r="AM40" i="16"/>
  <c r="AL40" i="16"/>
  <c r="AK40" i="16"/>
  <c r="H47" i="16"/>
  <c r="E47" i="16"/>
  <c r="AB26" i="28" l="1"/>
  <c r="AC26" i="28"/>
  <c r="AD26" i="28"/>
  <c r="AA26" i="28"/>
  <c r="K40" i="20" l="1"/>
  <c r="K41" i="20" s="1"/>
  <c r="L20" i="27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F19" i="27" s="1"/>
  <c r="E40" i="22"/>
  <c r="E41" i="22" s="1"/>
  <c r="F18" i="27" s="1"/>
  <c r="K40" i="16"/>
  <c r="K40" i="23"/>
  <c r="K41" i="23" s="1"/>
  <c r="L25" i="27" s="1"/>
  <c r="K40" i="24"/>
  <c r="K41" i="24" s="1"/>
  <c r="E40" i="16"/>
  <c r="E40" i="23"/>
  <c r="E41" i="23" s="1"/>
  <c r="F25" i="27" s="1"/>
  <c r="E40" i="24"/>
  <c r="E41" i="24" s="1"/>
  <c r="F24" i="27" s="1"/>
  <c r="K40" i="26"/>
  <c r="K40" i="25"/>
  <c r="K41" i="25" s="1"/>
  <c r="K40" i="6"/>
  <c r="K41" i="6" s="1"/>
  <c r="E40" i="26"/>
  <c r="E40" i="25"/>
  <c r="E41" i="25" s="1"/>
  <c r="E40" i="6"/>
  <c r="E41" i="6" s="1"/>
  <c r="K40" i="17"/>
  <c r="K41" i="17" s="1"/>
  <c r="L23" i="27" s="1"/>
  <c r="K40" i="18"/>
  <c r="K41" i="18" s="1"/>
  <c r="L22" i="27" s="1"/>
  <c r="K40" i="19"/>
  <c r="K41" i="19" s="1"/>
  <c r="L21" i="27" s="1"/>
  <c r="E40" i="17"/>
  <c r="E41" i="17" s="1"/>
  <c r="F23" i="27" s="1"/>
  <c r="E40" i="18"/>
  <c r="E41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L24" i="27"/>
  <c r="P24" i="27"/>
  <c r="Q24" i="27"/>
  <c r="R24" i="27"/>
  <c r="S24" i="27"/>
  <c r="AB24" i="27"/>
  <c r="AH10" i="27"/>
  <c r="AI10" i="27"/>
  <c r="AJ10" i="27"/>
  <c r="AK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H9" i="27"/>
  <c r="AI9" i="27"/>
  <c r="AJ9" i="27"/>
  <c r="AK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H8" i="27"/>
  <c r="AI8" i="27"/>
  <c r="AJ8" i="27"/>
  <c r="AK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H7" i="27"/>
  <c r="AI7" i="27"/>
  <c r="AJ7" i="27"/>
  <c r="AK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H6" i="27"/>
  <c r="AI6" i="27"/>
  <c r="AJ6" i="27"/>
  <c r="AK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H5" i="27"/>
  <c r="AI5" i="27"/>
  <c r="AJ5" i="27"/>
  <c r="AK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H11" i="27"/>
  <c r="AI11" i="27"/>
  <c r="AJ11" i="27"/>
  <c r="AK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H30" i="27"/>
  <c r="AI30" i="27"/>
  <c r="AJ30" i="27"/>
  <c r="AK30" i="27"/>
  <c r="AH4" i="27"/>
  <c r="AI4" i="27"/>
  <c r="AJ4" i="27"/>
  <c r="AK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Y25" i="27" s="1"/>
  <c r="X40" i="24"/>
  <c r="X41" i="24" s="1"/>
  <c r="N40" i="20"/>
  <c r="N41" i="20" s="1"/>
  <c r="O20" i="27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O19" i="27" s="1"/>
  <c r="N40" i="16"/>
  <c r="F40" i="16"/>
  <c r="M40" i="23"/>
  <c r="M41" i="23" s="1"/>
  <c r="N25" i="27" s="1"/>
  <c r="N40" i="24"/>
  <c r="N41" i="24" s="1"/>
  <c r="O24" i="27" s="1"/>
  <c r="F40" i="24"/>
  <c r="F41" i="24" s="1"/>
  <c r="N40" i="23"/>
  <c r="N41" i="23" s="1"/>
  <c r="O25" i="27" s="1"/>
  <c r="F40" i="23"/>
  <c r="F41" i="23" s="1"/>
  <c r="G25" i="27" s="1"/>
  <c r="M40" i="16"/>
  <c r="M40" i="24"/>
  <c r="M41" i="24" s="1"/>
  <c r="M40" i="26"/>
  <c r="N40" i="26"/>
  <c r="F40" i="26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C40" i="26"/>
  <c r="S40" i="25"/>
  <c r="S41" i="25" s="1"/>
  <c r="C40" i="25"/>
  <c r="C41" i="25" s="1"/>
  <c r="S40" i="6"/>
  <c r="S41" i="6" s="1"/>
  <c r="C40" i="6"/>
  <c r="C41" i="6" s="1"/>
  <c r="T40" i="26"/>
  <c r="J40" i="26"/>
  <c r="T40" i="25"/>
  <c r="T41" i="25" s="1"/>
  <c r="J40" i="25"/>
  <c r="J41" i="25" s="1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5"/>
  <c r="H41" i="25" s="1"/>
  <c r="H40" i="26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AC40" i="25"/>
  <c r="AC41" i="25" s="1"/>
  <c r="B40" i="25"/>
  <c r="B41" i="25" s="1"/>
  <c r="I40" i="6"/>
  <c r="I41" i="6" s="1"/>
  <c r="AC40" i="26"/>
  <c r="B40" i="26"/>
  <c r="B41" i="26" s="1"/>
  <c r="I40" i="25"/>
  <c r="I41" i="25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Z40" i="25"/>
  <c r="Z41" i="25" s="1"/>
  <c r="D40" i="25"/>
  <c r="D41" i="25" s="1"/>
  <c r="Z40" i="6"/>
  <c r="Z41" i="6" s="1"/>
  <c r="Z40" i="26"/>
  <c r="D40" i="26"/>
  <c r="Y40" i="25"/>
  <c r="Y41" i="25" s="1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0" i="25"/>
  <c r="W41" i="25" s="1"/>
  <c r="W40" i="6"/>
  <c r="W41" i="6" s="1"/>
  <c r="X40" i="25"/>
  <c r="X41" i="25" s="1"/>
  <c r="X40" i="26"/>
  <c r="X40" i="6"/>
  <c r="X41" i="6" s="1"/>
  <c r="M40" i="17"/>
  <c r="M41" i="17" s="1"/>
  <c r="N40" i="18"/>
  <c r="N41" i="18" s="1"/>
  <c r="O22" i="27" s="1"/>
  <c r="F40" i="18"/>
  <c r="F41" i="18" s="1"/>
  <c r="M40" i="19"/>
  <c r="M41" i="19" s="1"/>
  <c r="F40" i="17"/>
  <c r="F41" i="17" s="1"/>
  <c r="N40" i="19"/>
  <c r="N41" i="19" s="1"/>
  <c r="O21" i="27" s="1"/>
  <c r="N40" i="17"/>
  <c r="N41" i="17" s="1"/>
  <c r="O23" i="2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0" i="6"/>
  <c r="G41" i="6" s="1"/>
  <c r="G40" i="25"/>
  <c r="G41" i="25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U40" i="26"/>
  <c r="V40" i="25"/>
  <c r="V41" i="25" s="1"/>
  <c r="AB40" i="6"/>
  <c r="AB41" i="6" s="1"/>
  <c r="U40" i="6"/>
  <c r="U41" i="6" s="1"/>
  <c r="V40" i="26"/>
  <c r="AB40" i="25"/>
  <c r="AB41" i="25" s="1"/>
  <c r="U40" i="25"/>
  <c r="U41" i="25" s="1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J14" i="27"/>
  <c r="AH14" i="27"/>
  <c r="M39" i="16"/>
  <c r="B39" i="16"/>
  <c r="AJ13" i="27"/>
  <c r="AH13" i="27"/>
  <c r="B44" i="23" l="1"/>
  <c r="C25" i="27"/>
  <c r="B44" i="22"/>
  <c r="C18" i="27"/>
  <c r="E44" i="24"/>
  <c r="E51" i="24" s="1"/>
  <c r="U24" i="27"/>
  <c r="E44" i="23"/>
  <c r="E51" i="23" s="1"/>
  <c r="U25" i="27"/>
  <c r="H44" i="24"/>
  <c r="H51" i="24" s="1"/>
  <c r="T24" i="27"/>
  <c r="H44" i="23"/>
  <c r="H51" i="23" s="1"/>
  <c r="T25" i="27"/>
  <c r="E44" i="19"/>
  <c r="E51" i="19" s="1"/>
  <c r="W21" i="27"/>
  <c r="H44" i="19"/>
  <c r="H51" i="19" s="1"/>
  <c r="V21" i="27"/>
  <c r="E44" i="18"/>
  <c r="E51" i="18" s="1"/>
  <c r="W22" i="27"/>
  <c r="B44" i="17"/>
  <c r="C23" i="27"/>
  <c r="H44" i="20"/>
  <c r="H51" i="20" s="1"/>
  <c r="V20" i="27"/>
  <c r="B44" i="6"/>
  <c r="B44" i="25"/>
  <c r="B44" i="24"/>
  <c r="C24" i="27"/>
  <c r="B44" i="21"/>
  <c r="C19" i="27"/>
  <c r="B44" i="20"/>
  <c r="C20" i="27"/>
  <c r="H44" i="18"/>
  <c r="H51" i="18" s="1"/>
  <c r="V22" i="27"/>
  <c r="E44" i="17"/>
  <c r="E51" i="17" s="1"/>
  <c r="W23" i="27"/>
  <c r="H44" i="17"/>
  <c r="H51" i="17" s="1"/>
  <c r="V23" i="27"/>
  <c r="B44" i="19"/>
  <c r="C21" i="27"/>
  <c r="B44" i="18"/>
  <c r="C22" i="27"/>
  <c r="H44" i="22"/>
  <c r="H51" i="22" s="1"/>
  <c r="T18" i="27"/>
  <c r="H44" i="21"/>
  <c r="H51" i="21" s="1"/>
  <c r="T19" i="27"/>
  <c r="E44" i="22"/>
  <c r="E51" i="22" s="1"/>
  <c r="U18" i="27"/>
  <c r="E44" i="21"/>
  <c r="E51" i="21" s="1"/>
  <c r="U19" i="27"/>
  <c r="E44" i="20"/>
  <c r="E51" i="20" s="1"/>
  <c r="U20" i="27"/>
  <c r="E44" i="6"/>
  <c r="E51" i="6" s="1"/>
  <c r="E44" i="25"/>
  <c r="F51" i="25" s="1"/>
  <c r="H44" i="6"/>
  <c r="H51" i="6" s="1"/>
  <c r="H44" i="25"/>
  <c r="I51" i="25" s="1"/>
  <c r="C29" i="27"/>
  <c r="C15" i="27"/>
  <c r="M29" i="27"/>
  <c r="M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K14" i="27"/>
  <c r="AI14" i="27"/>
  <c r="Z27" i="27"/>
  <c r="Z13" i="27"/>
  <c r="AB27" i="27"/>
  <c r="AB13" i="27"/>
  <c r="AD13" i="27"/>
  <c r="AI13" i="27"/>
  <c r="AK13" i="27"/>
  <c r="Y27" i="27"/>
  <c r="Y13" i="27"/>
  <c r="AA27" i="27"/>
  <c r="AA13" i="27"/>
  <c r="AC13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M41" i="16"/>
  <c r="N12" i="27"/>
  <c r="B51" i="20" l="1"/>
  <c r="B52" i="20" s="1"/>
  <c r="C35" i="27" s="1"/>
  <c r="B51" i="25"/>
  <c r="B52" i="25" s="1"/>
  <c r="C43" i="27" s="1"/>
  <c r="H51" i="25"/>
  <c r="H52" i="25" s="1"/>
  <c r="E43" i="27" s="1"/>
  <c r="E51" i="25"/>
  <c r="E52" i="25" s="1"/>
  <c r="D43" i="27" s="1"/>
  <c r="B51" i="6"/>
  <c r="B52" i="6" s="1"/>
  <c r="C42" i="27" s="1"/>
  <c r="B51" i="23"/>
  <c r="B52" i="23" s="1"/>
  <c r="C40" i="27" s="1"/>
  <c r="B51" i="24"/>
  <c r="B52" i="24" s="1"/>
  <c r="C39" i="27" s="1"/>
  <c r="B51" i="17"/>
  <c r="B52" i="17" s="1"/>
  <c r="C38" i="27" s="1"/>
  <c r="B51" i="18"/>
  <c r="B52" i="18" s="1"/>
  <c r="C37" i="27" s="1"/>
  <c r="B51" i="19"/>
  <c r="B52" i="19" s="1"/>
  <c r="C36" i="27" s="1"/>
  <c r="B51" i="21"/>
  <c r="B52" i="21" s="1"/>
  <c r="C34" i="27" s="1"/>
  <c r="B51" i="22"/>
  <c r="B52" i="22" s="1"/>
  <c r="C33" i="27" s="1"/>
  <c r="E52" i="22"/>
  <c r="D33" i="27" s="1"/>
  <c r="F52" i="22"/>
  <c r="H52" i="22"/>
  <c r="E33" i="27" s="1"/>
  <c r="I52" i="22"/>
  <c r="E52" i="18"/>
  <c r="D37" i="27" s="1"/>
  <c r="F51" i="18"/>
  <c r="E52" i="19"/>
  <c r="D36" i="27" s="1"/>
  <c r="F52" i="19"/>
  <c r="H52" i="19"/>
  <c r="E36" i="27" s="1"/>
  <c r="I52" i="19"/>
  <c r="H52" i="20"/>
  <c r="E35" i="27" s="1"/>
  <c r="I51" i="20"/>
  <c r="E52" i="20"/>
  <c r="D35" i="27" s="1"/>
  <c r="F51" i="20"/>
  <c r="E52" i="21"/>
  <c r="D34" i="27" s="1"/>
  <c r="F52" i="21"/>
  <c r="H52" i="21"/>
  <c r="E34" i="27" s="1"/>
  <c r="I52" i="21"/>
  <c r="E52" i="6"/>
  <c r="D42" i="27" s="1"/>
  <c r="F52" i="6"/>
  <c r="H52" i="6"/>
  <c r="E42" i="27" s="1"/>
  <c r="I52" i="6"/>
  <c r="H52" i="23"/>
  <c r="E40" i="27" s="1"/>
  <c r="I52" i="23"/>
  <c r="E52" i="23"/>
  <c r="D40" i="27" s="1"/>
  <c r="F52" i="23"/>
  <c r="H52" i="17"/>
  <c r="E38" i="27" s="1"/>
  <c r="I49" i="17"/>
  <c r="E52" i="17"/>
  <c r="D38" i="27" s="1"/>
  <c r="F49" i="17"/>
  <c r="H52" i="24"/>
  <c r="E39" i="27" s="1"/>
  <c r="I49" i="24"/>
  <c r="E52" i="24"/>
  <c r="D39" i="27" s="1"/>
  <c r="F49" i="24"/>
  <c r="H52" i="18"/>
  <c r="E37" i="27" s="1"/>
  <c r="I51" i="18"/>
  <c r="N26" i="27"/>
  <c r="AD28" i="27"/>
  <c r="V28" i="27"/>
  <c r="J28" i="27"/>
  <c r="AC28" i="27"/>
  <c r="C27" i="27"/>
  <c r="C13" i="27"/>
  <c r="C17" i="27" s="1"/>
  <c r="C6" i="28" s="1"/>
  <c r="E27" i="27"/>
  <c r="E13" i="27"/>
  <c r="G27" i="27"/>
  <c r="G13" i="27"/>
  <c r="I27" i="27"/>
  <c r="I13" i="27"/>
  <c r="K27" i="27"/>
  <c r="K13" i="27"/>
  <c r="M27" i="27"/>
  <c r="M13" i="27"/>
  <c r="O27" i="27"/>
  <c r="O13" i="27"/>
  <c r="Q27" i="27"/>
  <c r="Q13" i="27"/>
  <c r="S27" i="27"/>
  <c r="S13" i="27"/>
  <c r="U27" i="27"/>
  <c r="U13" i="27"/>
  <c r="W27" i="27"/>
  <c r="W13" i="27"/>
  <c r="AC27" i="27"/>
  <c r="AD27" i="27"/>
  <c r="D27" i="27"/>
  <c r="D13" i="27"/>
  <c r="F27" i="27"/>
  <c r="F13" i="27"/>
  <c r="H27" i="27"/>
  <c r="H13" i="27"/>
  <c r="J27" i="27"/>
  <c r="J13" i="27"/>
  <c r="L27" i="27"/>
  <c r="L13" i="27"/>
  <c r="N27" i="27"/>
  <c r="N13" i="27"/>
  <c r="P27" i="27"/>
  <c r="P13" i="27"/>
  <c r="R27" i="27"/>
  <c r="R13" i="27"/>
  <c r="T27" i="27"/>
  <c r="T13" i="27"/>
  <c r="V27" i="27"/>
  <c r="V13" i="27"/>
  <c r="X27" i="27"/>
  <c r="X13" i="27"/>
  <c r="C26" i="27"/>
  <c r="C30" i="27" l="1"/>
  <c r="C10" i="28" s="1"/>
  <c r="C7" i="28"/>
  <c r="C9" i="28" s="1"/>
  <c r="AB39" i="26" l="1"/>
  <c r="AA39" i="26"/>
  <c r="K39" i="26"/>
  <c r="G39" i="26"/>
  <c r="J39" i="26" l="1"/>
  <c r="D39" i="26"/>
  <c r="AF40" i="26"/>
  <c r="AA41" i="26"/>
  <c r="AB29" i="27" s="1"/>
  <c r="AB15" i="27"/>
  <c r="N39" i="26"/>
  <c r="M39" i="26"/>
  <c r="F39" i="26"/>
  <c r="K41" i="26"/>
  <c r="L29" i="27" s="1"/>
  <c r="L15" i="27"/>
  <c r="H39" i="26"/>
  <c r="AB41" i="26"/>
  <c r="AC29" i="27" s="1"/>
  <c r="AC15" i="27"/>
  <c r="T47" i="26"/>
  <c r="U47" i="26" s="1"/>
  <c r="G41" i="26"/>
  <c r="H29" i="27" s="1"/>
  <c r="H15" i="27"/>
  <c r="E39" i="26"/>
  <c r="I39" i="26"/>
  <c r="AC39" i="26"/>
  <c r="AK39" i="26" l="1"/>
  <c r="AK41" i="26" s="1"/>
  <c r="T49" i="26"/>
  <c r="U49" i="26" s="1"/>
  <c r="E41" i="26"/>
  <c r="F29" i="27" s="1"/>
  <c r="F15" i="27"/>
  <c r="E15" i="27"/>
  <c r="D41" i="26"/>
  <c r="E29" i="27" s="1"/>
  <c r="T46" i="26"/>
  <c r="U46" i="26" s="1"/>
  <c r="N15" i="27"/>
  <c r="N17" i="27" s="1"/>
  <c r="U6" i="28" s="1"/>
  <c r="M41" i="26"/>
  <c r="N29" i="27" s="1"/>
  <c r="N30" i="27" s="1"/>
  <c r="U10" i="28" s="1"/>
  <c r="AH40" i="26"/>
  <c r="AL39" i="26"/>
  <c r="AL41" i="26" s="1"/>
  <c r="T53" i="26"/>
  <c r="U53" i="26" s="1"/>
  <c r="H41" i="26"/>
  <c r="I29" i="27" s="1"/>
  <c r="I15" i="27"/>
  <c r="J41" i="26"/>
  <c r="K29" i="27" s="1"/>
  <c r="K15" i="27"/>
  <c r="T54" i="26"/>
  <c r="U54" i="26" s="1"/>
  <c r="I41" i="26"/>
  <c r="J15" i="27"/>
  <c r="AD15" i="27"/>
  <c r="AC41" i="26"/>
  <c r="AD29" i="27" s="1"/>
  <c r="G15" i="27"/>
  <c r="F41" i="26"/>
  <c r="G29" i="27" s="1"/>
  <c r="D15" i="27"/>
  <c r="C41" i="26"/>
  <c r="N41" i="26"/>
  <c r="O29" i="27" s="1"/>
  <c r="O15" i="27"/>
  <c r="B49" i="26"/>
  <c r="AH15" i="27"/>
  <c r="D29" i="27" l="1"/>
  <c r="J29" i="27"/>
  <c r="AG40" i="26"/>
  <c r="AI40" i="26" s="1"/>
  <c r="W39" i="26"/>
  <c r="X39" i="26"/>
  <c r="V39" i="26"/>
  <c r="Q39" i="26"/>
  <c r="P39" i="26"/>
  <c r="Z39" i="26"/>
  <c r="T39" i="26"/>
  <c r="R39" i="26"/>
  <c r="O39" i="26"/>
  <c r="Y39" i="26"/>
  <c r="U39" i="26"/>
  <c r="S39" i="26"/>
  <c r="U7" i="28"/>
  <c r="E49" i="26"/>
  <c r="AJ15" i="27"/>
  <c r="T51" i="26" l="1"/>
  <c r="U51" i="26" s="1"/>
  <c r="U41" i="26"/>
  <c r="V29" i="27" s="1"/>
  <c r="V15" i="27"/>
  <c r="T41" i="26"/>
  <c r="U29" i="27" s="1"/>
  <c r="U15" i="27"/>
  <c r="V41" i="26"/>
  <c r="W29" i="27" s="1"/>
  <c r="W15" i="27"/>
  <c r="Y41" i="26"/>
  <c r="Z29" i="27" s="1"/>
  <c r="Z15" i="27"/>
  <c r="T55" i="26"/>
  <c r="U55" i="26" s="1"/>
  <c r="Z41" i="26"/>
  <c r="AA29" i="27" s="1"/>
  <c r="AA15" i="27"/>
  <c r="Y15" i="27"/>
  <c r="X41" i="26"/>
  <c r="Y29" i="27" s="1"/>
  <c r="U9" i="28"/>
  <c r="O41" i="26"/>
  <c r="P15" i="27"/>
  <c r="P41" i="26"/>
  <c r="Q15" i="27"/>
  <c r="T45" i="26"/>
  <c r="U45" i="26" s="1"/>
  <c r="X15" i="27"/>
  <c r="W41" i="26"/>
  <c r="X29" i="27" s="1"/>
  <c r="H49" i="26"/>
  <c r="AI15" i="27"/>
  <c r="T15" i="27"/>
  <c r="S41" i="26"/>
  <c r="T29" i="27" s="1"/>
  <c r="T52" i="26"/>
  <c r="U52" i="26" s="1"/>
  <c r="R41" i="26"/>
  <c r="S29" i="27" s="1"/>
  <c r="S15" i="27"/>
  <c r="Q41" i="26"/>
  <c r="R29" i="27" s="1"/>
  <c r="R15" i="27"/>
  <c r="Q29" i="27" l="1"/>
  <c r="E44" i="26"/>
  <c r="F51" i="26" s="1"/>
  <c r="P29" i="27"/>
  <c r="H44" i="26"/>
  <c r="I51" i="26" s="1"/>
  <c r="B44" i="26"/>
  <c r="H46" i="26"/>
  <c r="E46" i="26"/>
  <c r="AK15" i="27"/>
  <c r="AR39" i="26" l="1"/>
  <c r="AR41" i="26" s="1"/>
  <c r="AQ39" i="26" l="1"/>
  <c r="AQ41" i="26" s="1"/>
  <c r="AN39" i="26" l="1"/>
  <c r="AN41" i="26" s="1"/>
  <c r="AO39" i="26"/>
  <c r="AO41" i="26" s="1"/>
  <c r="AJ39" i="26"/>
  <c r="AJ41" i="26" l="1"/>
  <c r="AM39" i="26" l="1"/>
  <c r="AM41" i="26" l="1"/>
  <c r="AP39" i="26" l="1"/>
  <c r="AS39" i="26"/>
  <c r="AS41" i="26" s="1"/>
  <c r="AP41" i="26" l="1"/>
  <c r="E45" i="26" l="1"/>
  <c r="B45" i="26"/>
  <c r="H45" i="26"/>
  <c r="B51" i="26" l="1"/>
  <c r="B52" i="26" s="1"/>
  <c r="C44" i="27" s="1"/>
  <c r="H51" i="26"/>
  <c r="H52" i="26" s="1"/>
  <c r="E44" i="27" s="1"/>
  <c r="E51" i="26"/>
  <c r="E52" i="26" s="1"/>
  <c r="D44" i="27" s="1"/>
  <c r="AB39" i="16" l="1"/>
  <c r="AB41" i="16" s="1"/>
  <c r="AC26" i="27" s="1"/>
  <c r="AC30" i="27" s="1"/>
  <c r="AD10" i="28" s="1"/>
  <c r="AC12" i="27" l="1"/>
  <c r="AC17" i="27" s="1"/>
  <c r="AA39" i="16"/>
  <c r="AA41" i="16" s="1"/>
  <c r="AB26" i="27" s="1"/>
  <c r="AB30" i="27" s="1"/>
  <c r="H39" i="16"/>
  <c r="H41" i="16" s="1"/>
  <c r="I26" i="27" s="1"/>
  <c r="I30" i="27" s="1"/>
  <c r="I10" i="28" s="1"/>
  <c r="C39" i="16"/>
  <c r="V39" i="16"/>
  <c r="I12" i="27" l="1"/>
  <c r="I17" i="27" s="1"/>
  <c r="I6" i="28" s="1"/>
  <c r="I7" i="28" s="1"/>
  <c r="T53" i="16"/>
  <c r="U53" i="16" s="1"/>
  <c r="AB12" i="27"/>
  <c r="AB17" i="27" s="1"/>
  <c r="AK39" i="16"/>
  <c r="AK41" i="16" s="1"/>
  <c r="AL39" i="16"/>
  <c r="AL41" i="16" s="1"/>
  <c r="P39" i="16"/>
  <c r="Q12" i="27" s="1"/>
  <c r="Q17" i="27" s="1"/>
  <c r="J6" i="28" s="1"/>
  <c r="AE40" i="16"/>
  <c r="AF12" i="27" s="1"/>
  <c r="AF17" i="27" s="1"/>
  <c r="K39" i="16"/>
  <c r="K41" i="16" s="1"/>
  <c r="L26" i="27" s="1"/>
  <c r="L30" i="27" s="1"/>
  <c r="S10" i="28" s="1"/>
  <c r="L39" i="16"/>
  <c r="T48" i="16" s="1"/>
  <c r="U48" i="16" s="1"/>
  <c r="G39" i="16"/>
  <c r="T47" i="16" s="1"/>
  <c r="U47" i="16" s="1"/>
  <c r="F39" i="16"/>
  <c r="F41" i="16" s="1"/>
  <c r="G26" i="27" s="1"/>
  <c r="G30" i="27" s="1"/>
  <c r="G10" i="28" s="1"/>
  <c r="J39" i="16"/>
  <c r="J41" i="16" s="1"/>
  <c r="K26" i="27" s="1"/>
  <c r="K30" i="27" s="1"/>
  <c r="R10" i="28" s="1"/>
  <c r="AF40" i="16"/>
  <c r="B49" i="16" s="1"/>
  <c r="AD40" i="16"/>
  <c r="H50" i="16" s="1"/>
  <c r="D39" i="16"/>
  <c r="E12" i="27" s="1"/>
  <c r="E17" i="27" s="1"/>
  <c r="E6" i="28" s="1"/>
  <c r="E39" i="16"/>
  <c r="N39" i="16"/>
  <c r="O12" i="27" s="1"/>
  <c r="O17" i="27" s="1"/>
  <c r="V6" i="28" s="1"/>
  <c r="X39" i="16"/>
  <c r="X41" i="16" s="1"/>
  <c r="Y26" i="27" s="1"/>
  <c r="Y30" i="27" s="1"/>
  <c r="N10" i="28" s="1"/>
  <c r="Q39" i="16"/>
  <c r="Q41" i="16" s="1"/>
  <c r="R26" i="27" s="1"/>
  <c r="R30" i="27" s="1"/>
  <c r="X10" i="28" s="1"/>
  <c r="U39" i="16"/>
  <c r="U41" i="16" s="1"/>
  <c r="V26" i="27" s="1"/>
  <c r="V30" i="27" s="1"/>
  <c r="Z10" i="28" s="1"/>
  <c r="C41" i="16"/>
  <c r="D12" i="27"/>
  <c r="D17" i="27" s="1"/>
  <c r="D6" i="28" s="1"/>
  <c r="W39" i="16"/>
  <c r="W41" i="16" s="1"/>
  <c r="X26" i="27" s="1"/>
  <c r="X30" i="27" s="1"/>
  <c r="AA10" i="28" s="1"/>
  <c r="O39" i="16"/>
  <c r="O41" i="16" s="1"/>
  <c r="R39" i="16"/>
  <c r="T39" i="16"/>
  <c r="S39" i="16"/>
  <c r="AC39" i="16"/>
  <c r="I39" i="16"/>
  <c r="Y39" i="16"/>
  <c r="Z39" i="16"/>
  <c r="W12" i="27"/>
  <c r="W17" i="27" s="1"/>
  <c r="M6" i="28" s="1"/>
  <c r="V41" i="16"/>
  <c r="W26" i="27" s="1"/>
  <c r="W30" i="27" s="1"/>
  <c r="M10" i="28" s="1"/>
  <c r="AH12" i="27" l="1"/>
  <c r="AH17" i="27" s="1"/>
  <c r="AF6" i="28" s="1"/>
  <c r="G12" i="27"/>
  <c r="G17" i="27" s="1"/>
  <c r="G6" i="28" s="1"/>
  <c r="G7" i="28" s="1"/>
  <c r="D41" i="16"/>
  <c r="E26" i="27" s="1"/>
  <c r="E30" i="27" s="1"/>
  <c r="E10" i="28" s="1"/>
  <c r="N41" i="16"/>
  <c r="O26" i="27" s="1"/>
  <c r="O30" i="27" s="1"/>
  <c r="V10" i="28" s="1"/>
  <c r="P41" i="16"/>
  <c r="Q26" i="27" s="1"/>
  <c r="Q30" i="27" s="1"/>
  <c r="J10" i="28" s="1"/>
  <c r="T49" i="16"/>
  <c r="U49" i="16" s="1"/>
  <c r="R12" i="27"/>
  <c r="R17" i="27" s="1"/>
  <c r="X6" i="28" s="1"/>
  <c r="X7" i="28" s="1"/>
  <c r="L12" i="27"/>
  <c r="L17" i="27" s="1"/>
  <c r="S6" i="28" s="1"/>
  <c r="S7" i="28" s="1"/>
  <c r="V12" i="27"/>
  <c r="V17" i="27" s="1"/>
  <c r="Z6" i="28" s="1"/>
  <c r="Z7" i="28" s="1"/>
  <c r="M12" i="27"/>
  <c r="M17" i="27" s="1"/>
  <c r="T6" i="28" s="1"/>
  <c r="T7" i="28" s="1"/>
  <c r="P12" i="27"/>
  <c r="P17" i="27" s="1"/>
  <c r="W6" i="28" s="1"/>
  <c r="W7" i="28" s="1"/>
  <c r="W9" i="28" s="1"/>
  <c r="E41" i="16"/>
  <c r="F26" i="27" s="1"/>
  <c r="F30" i="27" s="1"/>
  <c r="F10" i="28" s="1"/>
  <c r="Y12" i="27"/>
  <c r="Y17" i="27" s="1"/>
  <c r="N6" i="28" s="1"/>
  <c r="N7" i="28" s="1"/>
  <c r="K12" i="27"/>
  <c r="K17" i="27" s="1"/>
  <c r="R6" i="28" s="1"/>
  <c r="R7" i="28" s="1"/>
  <c r="G41" i="16"/>
  <c r="H26" i="27" s="1"/>
  <c r="H30" i="27" s="1"/>
  <c r="H10" i="28" s="1"/>
  <c r="AE12" i="27"/>
  <c r="AE17" i="27" s="1"/>
  <c r="H12" i="27"/>
  <c r="H17" i="27" s="1"/>
  <c r="H6" i="28" s="1"/>
  <c r="H7" i="28" s="1"/>
  <c r="X12" i="27"/>
  <c r="X17" i="27" s="1"/>
  <c r="AA6" i="28" s="1"/>
  <c r="AA7" i="28" s="1"/>
  <c r="T55" i="16"/>
  <c r="U55" i="16" s="1"/>
  <c r="T46" i="16"/>
  <c r="U46" i="16" s="1"/>
  <c r="F12" i="27"/>
  <c r="F17" i="27" s="1"/>
  <c r="F6" i="28" s="1"/>
  <c r="F7" i="28" s="1"/>
  <c r="F9" i="28" s="1"/>
  <c r="T52" i="16"/>
  <c r="U52" i="16" s="1"/>
  <c r="L41" i="16"/>
  <c r="M26" i="27" s="1"/>
  <c r="M30" i="27" s="1"/>
  <c r="T10" i="28" s="1"/>
  <c r="E50" i="16"/>
  <c r="B50" i="16" s="1"/>
  <c r="AG40" i="16"/>
  <c r="AI12" i="27" s="1"/>
  <c r="AI17" i="27" s="1"/>
  <c r="AH40" i="16"/>
  <c r="AJ12" i="27" s="1"/>
  <c r="AJ17" i="27" s="1"/>
  <c r="AH6" i="28" s="1"/>
  <c r="T51" i="16"/>
  <c r="U51" i="16" s="1"/>
  <c r="D26" i="27"/>
  <c r="D30" i="27" s="1"/>
  <c r="D10" i="28" s="1"/>
  <c r="T45" i="16"/>
  <c r="U45" i="16" s="1"/>
  <c r="D7" i="28"/>
  <c r="R41" i="16"/>
  <c r="S26" i="27" s="1"/>
  <c r="S30" i="27" s="1"/>
  <c r="K16" i="28" s="1"/>
  <c r="S12" i="27"/>
  <c r="S17" i="27" s="1"/>
  <c r="K6" i="28" s="1"/>
  <c r="P26" i="27"/>
  <c r="P30" i="27" s="1"/>
  <c r="W10" i="28" s="1"/>
  <c r="M7" i="28"/>
  <c r="I9" i="28"/>
  <c r="V7" i="28"/>
  <c r="E7" i="28"/>
  <c r="AA12" i="27"/>
  <c r="AA17" i="27" s="1"/>
  <c r="O6" i="28" s="1"/>
  <c r="Z41" i="16"/>
  <c r="AA26" i="27" s="1"/>
  <c r="AA30" i="27" s="1"/>
  <c r="O10" i="28" s="1"/>
  <c r="Y41" i="16"/>
  <c r="Z26" i="27" s="1"/>
  <c r="Z30" i="27" s="1"/>
  <c r="AB10" i="28" s="1"/>
  <c r="Z12" i="27"/>
  <c r="Z17" i="27" s="1"/>
  <c r="AB6" i="28" s="1"/>
  <c r="I41" i="16"/>
  <c r="J26" i="27" s="1"/>
  <c r="J30" i="27" s="1"/>
  <c r="Q10" i="28" s="1"/>
  <c r="T54" i="16"/>
  <c r="U54" i="16" s="1"/>
  <c r="J12" i="27"/>
  <c r="J17" i="27" s="1"/>
  <c r="Q6" i="28" s="1"/>
  <c r="AC41" i="16"/>
  <c r="AD26" i="27" s="1"/>
  <c r="AD30" i="27" s="1"/>
  <c r="AE10" i="28" s="1"/>
  <c r="AD12" i="27"/>
  <c r="AD17" i="27" s="1"/>
  <c r="T12" i="27"/>
  <c r="T17" i="27" s="1"/>
  <c r="Y6" i="28" s="1"/>
  <c r="S41" i="16"/>
  <c r="T26" i="27" s="1"/>
  <c r="T30" i="27" s="1"/>
  <c r="Y16" i="28" s="1"/>
  <c r="T41" i="16"/>
  <c r="U26" i="27" s="1"/>
  <c r="U30" i="27" s="1"/>
  <c r="L16" i="28" s="1"/>
  <c r="U12" i="27"/>
  <c r="U17" i="27" s="1"/>
  <c r="L6" i="28" s="1"/>
  <c r="D58" i="27"/>
  <c r="D51" i="27"/>
  <c r="D49" i="27"/>
  <c r="J7" i="28"/>
  <c r="H49" i="16" l="1"/>
  <c r="D50" i="27"/>
  <c r="E44" i="16"/>
  <c r="AG12" i="27"/>
  <c r="AG17" i="27" s="1"/>
  <c r="C58" i="27" s="1"/>
  <c r="I14" i="28"/>
  <c r="E14" i="28"/>
  <c r="H14" i="28"/>
  <c r="F14" i="28"/>
  <c r="G14" i="28"/>
  <c r="I8" i="28"/>
  <c r="I15" i="28" s="1"/>
  <c r="I16" i="28" s="1"/>
  <c r="E29" i="28" s="1"/>
  <c r="J14" i="28"/>
  <c r="E49" i="16"/>
  <c r="AI40" i="16"/>
  <c r="E46" i="16" s="1"/>
  <c r="D52" i="27" s="1"/>
  <c r="M14" i="28"/>
  <c r="N14" i="28"/>
  <c r="D14" i="28"/>
  <c r="B44" i="16"/>
  <c r="H44" i="16"/>
  <c r="I51" i="16" s="1"/>
  <c r="K7" i="28"/>
  <c r="K14" i="28"/>
  <c r="D8" i="28"/>
  <c r="D15" i="28" s="1"/>
  <c r="D9" i="28"/>
  <c r="D48" i="27"/>
  <c r="J8" i="28"/>
  <c r="J15" i="28" s="1"/>
  <c r="J9" i="28"/>
  <c r="S9" i="28"/>
  <c r="T9" i="28"/>
  <c r="H9" i="28"/>
  <c r="H8" i="28"/>
  <c r="H15" i="28" s="1"/>
  <c r="G9" i="28"/>
  <c r="G8" i="28"/>
  <c r="G15" i="28" s="1"/>
  <c r="L7" i="28"/>
  <c r="L14" i="28"/>
  <c r="Y7" i="28"/>
  <c r="R9" i="28"/>
  <c r="Q7" i="28"/>
  <c r="AB7" i="28"/>
  <c r="O7" i="28"/>
  <c r="O14" i="28"/>
  <c r="E58" i="27"/>
  <c r="E51" i="27"/>
  <c r="E49" i="27"/>
  <c r="E9" i="28"/>
  <c r="E8" i="28"/>
  <c r="E15" i="28" s="1"/>
  <c r="V9" i="28"/>
  <c r="C29" i="28"/>
  <c r="G29" i="28" s="1"/>
  <c r="J29" i="28" s="1"/>
  <c r="M29" i="28" s="1"/>
  <c r="O29" i="28" s="1"/>
  <c r="M9" i="28"/>
  <c r="M8" i="28"/>
  <c r="M15" i="28" s="1"/>
  <c r="Z9" i="28"/>
  <c r="AA9" i="28"/>
  <c r="N8" i="28"/>
  <c r="N15" i="28" s="1"/>
  <c r="N9" i="28"/>
  <c r="X9" i="28"/>
  <c r="F8" i="28"/>
  <c r="F15" i="28" s="1"/>
  <c r="C8" i="28"/>
  <c r="C15" i="28" s="1"/>
  <c r="C14" i="28"/>
  <c r="AK17" i="27"/>
  <c r="AI6" i="28" s="1"/>
  <c r="AG6" i="28"/>
  <c r="T8" i="28" s="1"/>
  <c r="T15" i="28" s="1"/>
  <c r="E48" i="27" l="1"/>
  <c r="F51" i="16"/>
  <c r="C49" i="27"/>
  <c r="C51" i="27"/>
  <c r="AK12" i="27"/>
  <c r="H46" i="16"/>
  <c r="E52" i="27" s="1"/>
  <c r="C52" i="27"/>
  <c r="AA8" i="28"/>
  <c r="AA15" i="28" s="1"/>
  <c r="AA16" i="28" s="1"/>
  <c r="V8" i="28"/>
  <c r="V15" i="28" s="1"/>
  <c r="V16" i="28" s="1"/>
  <c r="E50" i="27"/>
  <c r="Q14" i="28"/>
  <c r="Y14" i="28"/>
  <c r="R14" i="28"/>
  <c r="S14" i="28"/>
  <c r="AA14" i="28"/>
  <c r="T14" i="28"/>
  <c r="X14" i="28"/>
  <c r="W8" i="28"/>
  <c r="W15" i="28" s="1"/>
  <c r="Z14" i="28"/>
  <c r="V14" i="28"/>
  <c r="AB14" i="28"/>
  <c r="R8" i="28"/>
  <c r="R15" i="28" s="1"/>
  <c r="R16" i="28" s="1"/>
  <c r="S8" i="28"/>
  <c r="S15" i="28" s="1"/>
  <c r="S16" i="28" s="1"/>
  <c r="D16" i="28"/>
  <c r="P10" i="28"/>
  <c r="AC6" i="28"/>
  <c r="P6" i="28"/>
  <c r="AC10" i="28"/>
  <c r="J11" i="28" s="1"/>
  <c r="X8" i="28"/>
  <c r="X15" i="28" s="1"/>
  <c r="Z8" i="28"/>
  <c r="Z15" i="28" s="1"/>
  <c r="Z16" i="28" s="1"/>
  <c r="K8" i="28"/>
  <c r="K15" i="28" s="1"/>
  <c r="K9" i="28"/>
  <c r="C48" i="27"/>
  <c r="C49" i="16"/>
  <c r="W14" i="28"/>
  <c r="H18" i="28"/>
  <c r="X18" i="28" s="1"/>
  <c r="AE18" i="28" s="1"/>
  <c r="AD14" i="28"/>
  <c r="AE14" i="28"/>
  <c r="AE15" i="28" s="1"/>
  <c r="AE16" i="28" s="1"/>
  <c r="U8" i="28"/>
  <c r="U15" i="28" s="1"/>
  <c r="U16" i="28" s="1"/>
  <c r="AD8" i="28"/>
  <c r="AD15" i="28" s="1"/>
  <c r="AD16" i="28" s="1"/>
  <c r="R11" i="28"/>
  <c r="U14" i="28"/>
  <c r="C16" i="28"/>
  <c r="F16" i="28"/>
  <c r="N16" i="28"/>
  <c r="M16" i="28"/>
  <c r="E16" i="28"/>
  <c r="O9" i="28"/>
  <c r="O8" i="28"/>
  <c r="O15" i="28" s="1"/>
  <c r="O16" i="28" s="1"/>
  <c r="AB8" i="28"/>
  <c r="AB15" i="28" s="1"/>
  <c r="AB16" i="28" s="1"/>
  <c r="AB9" i="28"/>
  <c r="Q9" i="28"/>
  <c r="Q8" i="28"/>
  <c r="Q15" i="28" s="1"/>
  <c r="Q16" i="28" s="1"/>
  <c r="Y8" i="28"/>
  <c r="Y15" i="28" s="1"/>
  <c r="Y9" i="28"/>
  <c r="L9" i="28"/>
  <c r="L8" i="28"/>
  <c r="L15" i="28" s="1"/>
  <c r="G16" i="28"/>
  <c r="H16" i="28"/>
  <c r="E24" i="28" s="1"/>
  <c r="C24" i="28"/>
  <c r="G24" i="28" s="1"/>
  <c r="J24" i="28" s="1"/>
  <c r="M24" i="28" s="1"/>
  <c r="O24" i="28" s="1"/>
  <c r="T16" i="28"/>
  <c r="E25" i="28" s="1"/>
  <c r="C25" i="28"/>
  <c r="G25" i="28" s="1"/>
  <c r="J25" i="28" s="1"/>
  <c r="E22" i="28" l="1"/>
  <c r="C50" i="27"/>
  <c r="C26" i="28"/>
  <c r="G26" i="28" s="1"/>
  <c r="J26" i="28" s="1"/>
  <c r="M26" i="28" s="1"/>
  <c r="O26" i="28" s="1"/>
  <c r="C23" i="28"/>
  <c r="G23" i="28" s="1"/>
  <c r="J23" i="28" s="1"/>
  <c r="M23" i="28" s="1"/>
  <c r="O23" i="28" s="1"/>
  <c r="C22" i="28"/>
  <c r="G22" i="28" s="1"/>
  <c r="J22" i="28" s="1"/>
  <c r="M22" i="28" s="1"/>
  <c r="O22" i="28" s="1"/>
  <c r="C27" i="28"/>
  <c r="G27" i="28" s="1"/>
  <c r="J27" i="28" s="1"/>
  <c r="M27" i="28" s="1"/>
  <c r="O27" i="28" s="1"/>
  <c r="C28" i="28"/>
  <c r="G28" i="28" s="1"/>
  <c r="J28" i="28" s="1"/>
  <c r="M28" i="28" s="1"/>
  <c r="O28" i="28" s="1"/>
  <c r="J17" i="28"/>
  <c r="E31" i="28"/>
  <c r="E26" i="28"/>
  <c r="E23" i="28"/>
  <c r="P14" i="28"/>
  <c r="P7" i="28"/>
  <c r="E27" i="28"/>
  <c r="F11" i="28"/>
  <c r="M11" i="28"/>
  <c r="E28" i="28"/>
  <c r="AC14" i="28"/>
  <c r="AC7" i="28"/>
  <c r="C31" i="28"/>
  <c r="G31" i="28" s="1"/>
  <c r="J31" i="28" s="1"/>
  <c r="M31" i="28" s="1"/>
  <c r="O31" i="28" s="1"/>
  <c r="C30" i="28"/>
  <c r="G30" i="28" s="1"/>
  <c r="J30" i="28" s="1"/>
  <c r="M30" i="28" s="1"/>
  <c r="O30" i="28" s="1"/>
  <c r="O25" i="28"/>
  <c r="M25" i="28"/>
  <c r="E30" i="28"/>
  <c r="F17" i="28"/>
  <c r="M17" i="28"/>
  <c r="P8" i="28" l="1"/>
  <c r="P15" i="28" s="1"/>
  <c r="P9" i="28"/>
  <c r="AC9" i="28"/>
  <c r="AC8" i="28"/>
  <c r="AC15" i="28" s="1"/>
  <c r="AR39" i="16" l="1"/>
  <c r="AR41" i="16" s="1"/>
  <c r="AQ39" i="16" l="1"/>
  <c r="AQ41" i="16" s="1"/>
  <c r="AJ39" i="16" l="1"/>
  <c r="AJ41" i="16" s="1"/>
  <c r="AO39" i="16"/>
  <c r="AO41" i="16" s="1"/>
  <c r="AN39" i="16"/>
  <c r="AN41" i="16" s="1"/>
  <c r="AM39" i="16" l="1"/>
  <c r="AM41" i="16" s="1"/>
  <c r="AP39" i="16" l="1"/>
  <c r="AP41" i="16" s="1"/>
  <c r="AS39" i="16"/>
  <c r="AS41" i="16" s="1"/>
  <c r="C54" i="27" l="1"/>
  <c r="C55" i="27" s="1"/>
  <c r="E45" i="16"/>
  <c r="B45" i="16"/>
  <c r="H45" i="16"/>
  <c r="B51" i="16" l="1"/>
  <c r="B52" i="16" s="1"/>
  <c r="C41" i="27" s="1"/>
  <c r="C45" i="27" s="1"/>
  <c r="C45" i="16"/>
  <c r="C53" i="27"/>
  <c r="C56" i="27" s="1"/>
  <c r="C57" i="27" s="1"/>
  <c r="E51" i="16"/>
  <c r="E52" i="16" s="1"/>
  <c r="D41" i="27" s="1"/>
  <c r="D45" i="27" s="1"/>
  <c r="D54" i="27"/>
  <c r="D53" i="27"/>
  <c r="D56" i="27" s="1"/>
  <c r="D57" i="27" s="1"/>
  <c r="E53" i="27"/>
  <c r="E56" i="27" s="1"/>
  <c r="E57" i="27" s="1"/>
  <c r="H51" i="16"/>
  <c r="H52" i="16" s="1"/>
  <c r="E41" i="27" s="1"/>
  <c r="E45" i="27" s="1"/>
  <c r="D55" i="27" l="1"/>
  <c r="E54" i="27"/>
  <c r="E55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5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B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B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B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B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B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B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B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B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B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B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B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B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B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B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B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B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B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B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B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B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C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C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C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C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C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C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C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C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C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C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C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C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C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C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C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C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C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C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C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C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C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C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C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C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C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C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C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C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C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C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C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C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C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C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C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D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D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D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D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D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D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D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D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D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D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D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D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D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D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D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D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D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D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D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D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D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D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D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D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D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D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D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D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D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D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D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D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D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D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D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E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E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E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E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E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E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E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E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E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E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E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E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E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E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E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E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E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E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E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E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E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E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E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E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E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E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E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E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E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E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E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E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E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E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E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F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F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F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F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F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F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F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F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F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F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F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F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F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F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F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F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F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F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F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F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F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F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F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F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F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F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F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Conte, Chris</author>
  </authors>
  <commentList>
    <comment ref="AD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V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Pricing changed to Liquid Lb in 2016 from Liquid Gal.</t>
        </r>
      </text>
    </comment>
    <comment ref="L2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V2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2019 1st quarter pricing per P.O. 19P0032.</t>
        </r>
      </text>
    </comment>
    <comment ref="L2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W31" authorId="1" shapeId="0" xr:uid="{249DBB1A-3956-4482-B21D-A26831D21C29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Price increased from $0.15166/lb to $0.18363/lb in May 2021.</t>
        </r>
      </text>
    </comment>
    <comment ref="X31" authorId="1" shapeId="0" xr:uid="{88295DD0-C979-499F-8709-9C4F78D3D1AC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Price increased from $0.18363/lb to $0.209205/lb on 8/1/21.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4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4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5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5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6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6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6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6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6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6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6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6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6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6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6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6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6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6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6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6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6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6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6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6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6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6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6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6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6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6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6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7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7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7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7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7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7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7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7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7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7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7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7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7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7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7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7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7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7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7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7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8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8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8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8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8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8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8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8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8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8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8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8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8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8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8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8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8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8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  <author>Linder, Kevin</author>
  </authors>
  <commentList>
    <comment ref="B4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9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9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9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9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9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9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9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9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9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9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9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9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9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9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9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9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9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9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9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9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9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9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9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9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9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9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9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9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N42" authorId="1" shapeId="0" xr:uid="{00000000-0006-0000-0900-000025000000}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AS42" authorId="1" shapeId="0" xr:uid="{AA211223-9DBC-4BF1-8693-C29406AFC35C}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A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A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A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A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A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A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A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A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A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A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A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A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A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A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A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A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A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A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A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A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A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A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A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A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A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A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A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A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<sst xmlns="http://schemas.openxmlformats.org/spreadsheetml/2006/main" count="2325" uniqueCount="235">
  <si>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</si>
  <si>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</si>
  <si>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</si>
  <si>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</si>
  <si>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</si>
  <si>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</si>
  <si>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</si>
  <si>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</si>
  <si>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</si>
  <si>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</si>
  <si>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</si>
  <si>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</si>
  <si>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</si>
  <si>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</si>
  <si>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</si>
  <si>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</si>
  <si>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</si>
  <si>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</si>
  <si>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</si>
  <si>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</si>
  <si>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</si>
  <si>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</si>
  <si>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</si>
  <si>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</si>
  <si>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</si>
  <si>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</si>
  <si>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</si>
  <si>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</si>
  <si>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</si>
  <si>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</si>
  <si>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</si>
  <si>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</si>
  <si>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</si>
  <si>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</si>
  <si>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</si>
  <si>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</si>
  <si>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</si>
  <si>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</si>
  <si>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</si>
  <si>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</si>
  <si>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</si>
  <si>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</si>
  <si>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</si>
  <si>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</si>
  <si>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</si>
  <si>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</si>
  <si>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</si>
  <si>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</si>
  <si>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</si>
  <si>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</si>
  <si>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</si>
  <si>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</si>
  <si>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</si>
  <si>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</si>
  <si>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</si>
  <si>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</si>
  <si>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</si>
  <si>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</si>
  <si>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</si>
  <si>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</si>
  <si>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</si>
  <si>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</si>
  <si>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</si>
  <si>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</si>
  <si>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</si>
  <si>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</si>
  <si>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</si>
  <si>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</si>
  <si>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</si>
  <si>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</si>
  <si>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</si>
  <si>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</si>
  <si>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</si>
  <si>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</si>
  <si>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</si>
  <si>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</si>
  <si>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</si>
  <si>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</si>
  <si>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</si>
  <si>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</si>
  <si>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</si>
  <si>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</si>
  <si>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</si>
  <si>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</si>
  <si>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</si>
  <si>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</si>
  <si>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</si>
  <si>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</si>
  <si>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</si>
  <si>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</si>
  <si>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</si>
  <si>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</si>
  <si>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</si>
  <si>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</si>
  <si>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</si>
  <si>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</si>
  <si>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</si>
  <si>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</si>
  <si>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</si>
  <si>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</si>
  <si>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</si>
  <si>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</si>
  <si>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</si>
  <si>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</si>
  <si>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</si>
  <si>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</si>
  <si>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</si>
  <si>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</si>
  <si>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</si>
  <si>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</si>
  <si>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</si>
  <si>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</si>
  <si>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</si>
  <si>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</si>
  <si>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</si>
  <si>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</si>
  <si>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</si>
  <si>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</si>
  <si>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</si>
  <si>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</si>
  <si>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</si>
  <si>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</si>
  <si>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</si>
  <si>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</si>
  <si>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</si>
  <si>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</si>
  <si>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</si>
  <si>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</si>
  <si>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</si>
  <si>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</si>
  <si>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</si>
  <si>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</si>
  <si>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</si>
  <si>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</si>
  <si>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</si>
  <si>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</si>
  <si>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</si>
  <si>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</si>
  <si>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</si>
  <si>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</si>
  <si>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</si>
  <si>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</si>
  <si>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</si>
  <si>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</si>
  <si>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</si>
  <si>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</si>
  <si>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</si>
  <si>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</si>
  <si>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</si>
  <si>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</si>
  <si>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</si>
  <si>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</si>
  <si>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</si>
  <si>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</si>
  <si>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</si>
  <si>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</si>
  <si>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</si>
  <si>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</si>
  <si>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</si>
  <si>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</si>
  <si>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</si>
  <si>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</si>
  <si>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</si>
  <si>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</si>
  <si>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</si>
  <si>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</si>
  <si>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</si>
  <si>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</si>
  <si>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</si>
  <si>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</si>
  <si>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</si>
  <si>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</si>
  <si>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</si>
  <si>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</si>
  <si>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</si>
  <si>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</si>
  <si>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</si>
  <si>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</si>
  <si>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</si>
  <si>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</si>
  <si>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</si>
  <si>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</si>
  <si>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</si>
  <si>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</si>
  <si>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</si>
  <si>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</si>
  <si>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</si>
  <si>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</si>
  <si>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</si>
  <si>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</si>
  <si>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</si>
  <si>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</si>
  <si>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</si>
  <si>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</si>
  <si>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</si>
  <si>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</si>
  <si>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</si>
  <si>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</si>
  <si>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</si>
  <si>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</si>
  <si>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</si>
  <si>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</si>
  <si>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</si>
  <si>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</si>
  <si>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</si>
  <si>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</si>
  <si>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</si>
  <si>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</si>
  <si>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</si>
  <si>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</si>
  <si>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</si>
  <si>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</si>
  <si>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</si>
  <si>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</si>
  <si>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</si>
  <si>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</si>
  <si>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</si>
  <si>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</si>
  <si>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</si>
  <si>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</si>
  <si>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</si>
  <si>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RWSP Flow to Process</t>
  </si>
  <si>
    <t>RWAR Flow to Process</t>
  </si>
  <si>
    <t>Total Treated (MG)</t>
  </si>
  <si>
    <t>RWSP to Process (MG)</t>
  </si>
  <si>
    <t>RWAR to Process (MG)</t>
  </si>
  <si>
    <t>RWSP to Process</t>
  </si>
  <si>
    <t>RWAR to Process</t>
  </si>
  <si>
    <t xml:space="preserve">RWAR to Process </t>
  </si>
  <si>
    <t>Raw Flow To Process</t>
  </si>
  <si>
    <t>RWAR To Process</t>
  </si>
  <si>
    <t>RWSP To Process</t>
  </si>
  <si>
    <t>2018 YTD Finished Delivered Flows (MG) &amp; Ratios</t>
  </si>
  <si>
    <t>2018 YTD Treated Raw Water Flows (MG)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</si>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</sst>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[$-409]mmmm\-yy;@"/>
    <numFmt numFmtId="172" formatCode="m/d/yyyy;@"/>
  </numFmts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22" fillId="0" borderId="0"/>
    <xf numFmtId="43" fontId="23" fillId="0" borderId="0" applyFont="0" applyFill="0" applyBorder="0" applyAlignment="0" applyProtection="0"/>
    <xf numFmtId="0" fontId="25" fillId="0" borderId="0"/>
  </cellStyleXfs>
  <cellXfs count="680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1" xfId="0" applyNumberFormat="1" applyFill="1" applyBorder="1" applyAlignment="1">
      <alignment horizontal="center"/>
    </xf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165" fontId="4" fillId="0" borderId="0" xfId="0" applyNumberFormat="1" applyFont="1" applyBorder="1"/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2" fontId="21" fillId="0" borderId="22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/>
    </xf>
    <xf numFmtId="2" fontId="21" fillId="0" borderId="23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 vertical="center"/>
    </xf>
    <xf numFmtId="2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2" fontId="0" fillId="0" borderId="15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Border="1" applyAlignment="1" applyProtection="1">
      <alignment horizontal="center" vertical="center"/>
      <protection locked="0"/>
    </xf>
    <xf numFmtId="2" fontId="0" fillId="0" borderId="158" xfId="0" applyNumberFormat="1" applyBorder="1" applyAlignment="1" applyProtection="1">
      <alignment horizontal="center" vertical="center"/>
      <protection locked="0"/>
    </xf>
    <xf numFmtId="2" fontId="0" fillId="0" borderId="151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Border="1" applyAlignment="1" applyProtection="1">
      <alignment horizontal="center" vertical="center"/>
      <protection locked="0"/>
    </xf>
    <xf numFmtId="2" fontId="0" fillId="0" borderId="45" xfId="0" applyNumberFormat="1" applyBorder="1" applyAlignment="1" applyProtection="1">
      <alignment horizontal="center" vertical="center"/>
      <protection locked="0"/>
    </xf>
    <xf numFmtId="2" fontId="0" fillId="0" borderId="130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Fill="1" applyBorder="1" applyAlignment="1" applyProtection="1">
      <alignment horizontal="center" vertical="center"/>
      <protection locked="0"/>
    </xf>
    <xf numFmtId="2" fontId="0" fillId="0" borderId="37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51" xfId="0" applyNumberFormat="1" applyFill="1" applyBorder="1" applyAlignment="1" applyProtection="1">
      <alignment horizontal="center" vertical="center"/>
      <protection locked="0"/>
    </xf>
    <xf numFmtId="2" fontId="0" fillId="0" borderId="170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center" vertical="center"/>
    </xf>
    <xf numFmtId="0" fontId="9" fillId="2" borderId="54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14" fontId="0" fillId="0" borderId="0" xfId="0" applyNumberFormat="1"/>
    <xf numFmtId="164" fontId="4" fillId="14" borderId="94" xfId="0" applyNumberFormat="1" applyFont="1" applyFill="1" applyBorder="1" applyAlignment="1">
      <alignment horizontal="center" vertical="center" textRotation="90"/>
    </xf>
    <xf numFmtId="4" fontId="0" fillId="27" borderId="163" xfId="0" applyNumberFormat="1" applyFill="1" applyBorder="1" applyAlignment="1">
      <alignment horizontal="center"/>
    </xf>
    <xf numFmtId="4" fontId="0" fillId="27" borderId="164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4" fontId="24" fillId="0" borderId="0" xfId="1" applyNumberFormat="1" applyFont="1" applyFill="1" applyBorder="1" applyAlignment="1">
      <alignment horizontal="center"/>
    </xf>
    <xf numFmtId="2" fontId="0" fillId="0" borderId="22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43" xfId="0" applyNumberFormat="1" applyBorder="1" applyAlignment="1" applyProtection="1">
      <alignment horizontal="center"/>
      <protection locked="0"/>
    </xf>
    <xf numFmtId="2" fontId="0" fillId="0" borderId="17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" fontId="4" fillId="5" borderId="22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23" xfId="0" applyNumberFormat="1" applyFont="1" applyFill="1" applyBorder="1" applyAlignment="1">
      <alignment horizontal="center" vertical="center"/>
    </xf>
    <xf numFmtId="4" fontId="4" fillId="5" borderId="22" xfId="0" applyNumberFormat="1" applyFont="1" applyFill="1" applyBorder="1" applyAlignment="1">
      <alignment horizontal="center"/>
    </xf>
    <xf numFmtId="4" fontId="4" fillId="5" borderId="4" xfId="0" applyNumberFormat="1" applyFont="1" applyFill="1" applyBorder="1" applyAlignment="1">
      <alignment horizontal="center"/>
    </xf>
    <xf numFmtId="4" fontId="4" fillId="5" borderId="40" xfId="0" applyNumberFormat="1" applyFont="1" applyFill="1" applyBorder="1" applyAlignment="1">
      <alignment horizontal="center"/>
    </xf>
    <xf numFmtId="4" fontId="4" fillId="5" borderId="23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4" fillId="7" borderId="4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 applyProtection="1">
      <alignment horizontal="center" vertical="center"/>
      <protection locked="0"/>
    </xf>
    <xf numFmtId="2" fontId="0" fillId="0" borderId="34" xfId="0" applyNumberFormat="1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center" vertical="center"/>
      <protection locked="0"/>
    </xf>
    <xf numFmtId="2" fontId="0" fillId="0" borderId="172" xfId="0" applyNumberFormat="1" applyBorder="1" applyAlignment="1" applyProtection="1">
      <alignment horizontal="center" vertical="center"/>
      <protection locked="0"/>
    </xf>
    <xf numFmtId="2" fontId="0" fillId="0" borderId="34" xfId="0" applyNumberFormat="1" applyFill="1" applyBorder="1" applyAlignment="1" applyProtection="1">
      <alignment horizontal="center" vertical="center"/>
      <protection locked="0"/>
    </xf>
    <xf numFmtId="2" fontId="0" fillId="0" borderId="38" xfId="0" applyNumberFormat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63" xfId="0" applyNumberFormat="1" applyBorder="1" applyAlignment="1" applyProtection="1">
      <alignment horizontal="center" vertical="center"/>
      <protection locked="0"/>
    </xf>
    <xf numFmtId="2" fontId="0" fillId="0" borderId="65" xfId="0" applyNumberFormat="1" applyBorder="1" applyAlignment="1" applyProtection="1">
      <alignment horizontal="center" vertical="center"/>
      <protection locked="0"/>
    </xf>
    <xf numFmtId="2" fontId="0" fillId="0" borderId="44" xfId="0" applyNumberFormat="1" applyFill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>
      <alignment horizontal="center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47" xfId="0" applyNumberFormat="1" applyBorder="1" applyAlignment="1" applyProtection="1">
      <alignment horizontal="center" vertical="center"/>
      <protection locked="0"/>
    </xf>
    <xf numFmtId="2" fontId="0" fillId="0" borderId="76" xfId="0" applyNumberFormat="1" applyBorder="1" applyAlignment="1" applyProtection="1">
      <alignment horizontal="center" vertical="center"/>
      <protection locked="0"/>
    </xf>
    <xf numFmtId="2" fontId="0" fillId="0" borderId="173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0" borderId="42" xfId="0" applyBorder="1" applyAlignment="1">
      <alignment horizontal="center"/>
    </xf>
    <xf numFmtId="172" fontId="0" fillId="0" borderId="96" xfId="0" applyNumberFormat="1" applyFill="1" applyBorder="1" applyAlignment="1" applyProtection="1">
      <alignment horizontal="right"/>
    </xf>
    <xf numFmtId="172" fontId="0" fillId="0" borderId="0" xfId="0" applyNumberFormat="1" applyAlignment="1">
      <alignment horizontal="right" vertical="center"/>
    </xf>
    <xf numFmtId="4" fontId="24" fillId="0" borderId="0" xfId="0" applyNumberFormat="1" applyFont="1" applyFill="1" applyBorder="1" applyAlignment="1">
      <alignment horizontal="center"/>
    </xf>
    <xf numFmtId="2" fontId="0" fillId="0" borderId="22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71" xfId="0" applyNumberFormat="1" applyBorder="1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right"/>
      <protection locked="0"/>
    </xf>
    <xf numFmtId="170" fontId="0" fillId="24" borderId="165" xfId="0" applyNumberFormat="1" applyFill="1" applyBorder="1" applyAlignment="1">
      <alignment horizontal="center"/>
    </xf>
    <xf numFmtId="170" fontId="0" fillId="24" borderId="166" xfId="0" applyNumberFormat="1" applyFill="1" applyBorder="1" applyAlignment="1">
      <alignment horizontal="center"/>
    </xf>
    <xf numFmtId="170" fontId="0" fillId="24" borderId="136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 applyAlignment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 wrapText="1"/>
    </xf>
    <xf numFmtId="0" fontId="15" fillId="14" borderId="87" xfId="0" applyFont="1" applyFill="1" applyBorder="1" applyAlignment="1">
      <alignment horizontal="center" vertical="center" wrapText="1"/>
    </xf>
    <xf numFmtId="0" fontId="15" fillId="14" borderId="88" xfId="0" applyFont="1" applyFill="1" applyBorder="1" applyAlignment="1">
      <alignment horizontal="center" vertical="center" wrapText="1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6" xfId="0" applyNumberFormat="1" applyFont="1" applyBorder="1" applyAlignment="1">
      <alignment horizontal="center" vertical="center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3" borderId="116" xfId="0" applyFont="1" applyFill="1" applyBorder="1" applyAlignment="1">
      <alignment horizontal="center" vertical="center"/>
    </xf>
    <xf numFmtId="0" fontId="4" fillId="13" borderId="134" xfId="0" applyFont="1" applyFill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165" fontId="0" fillId="22" borderId="30" xfId="0" applyNumberFormat="1" applyFill="1" applyBorder="1" applyAlignment="1">
      <alignment horizontal="center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171" fontId="11" fillId="0" borderId="55" xfId="0" applyNumberFormat="1" applyFont="1" applyFill="1" applyBorder="1" applyAlignment="1">
      <alignment horizontal="center" vertical="center"/>
    </xf>
    <xf numFmtId="171" fontId="0" fillId="0" borderId="66" xfId="0" applyNumberFormat="1" applyBorder="1" applyAlignment="1">
      <alignment horizontal="center" vertical="center"/>
    </xf>
    <xf numFmtId="171" fontId="0" fillId="0" borderId="56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146" xfId="0" applyFont="1" applyFill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851D51AC-D8A6-4075-8B3F-28EBBAAB21F9}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0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2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3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63"/>
  <sheetViews>
    <sheetView topLeftCell="AI22" zoomScale="75" zoomScaleNormal="75" workbookViewId="0">
      <selection activeCell="AJ41" sqref="AJ41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3" width="15.140625" customWidth="1"/>
    <col min="44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44348</v>
      </c>
      <c r="B8" s="49"/>
      <c r="C8" s="50">
        <v>75.264623097578635</v>
      </c>
      <c r="D8" s="50">
        <v>960.96517130533744</v>
      </c>
      <c r="E8" s="50">
        <v>17.70214221378167</v>
      </c>
      <c r="F8" s="50">
        <v>0</v>
      </c>
      <c r="G8" s="50">
        <v>2969.7101492563916</v>
      </c>
      <c r="H8" s="51">
        <v>28.425659066438676</v>
      </c>
      <c r="I8" s="49">
        <v>122.86891095638261</v>
      </c>
      <c r="J8" s="50">
        <v>386.12434233029705</v>
      </c>
      <c r="K8" s="50">
        <v>21.6811518241961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220.19499134824545</v>
      </c>
      <c r="V8" s="54">
        <v>154.61157174303176</v>
      </c>
      <c r="W8" s="54">
        <v>35.035308916360052</v>
      </c>
      <c r="X8" s="54">
        <v>24.600306050986138</v>
      </c>
      <c r="Y8" s="54">
        <v>170.66898431091869</v>
      </c>
      <c r="Z8" s="54">
        <v>119.83651285857565</v>
      </c>
      <c r="AA8" s="55">
        <v>0</v>
      </c>
      <c r="AB8" s="56">
        <v>80.142999606662741</v>
      </c>
      <c r="AC8" s="57">
        <v>0</v>
      </c>
      <c r="AD8" s="405">
        <v>9.102648157305655</v>
      </c>
      <c r="AE8" s="405">
        <v>7.1312066375451364</v>
      </c>
      <c r="AF8" s="57">
        <v>14.806119054224746</v>
      </c>
      <c r="AG8" s="58">
        <v>8.5914477756273797</v>
      </c>
      <c r="AH8" s="58">
        <v>6.0325497687507141</v>
      </c>
      <c r="AI8" s="58">
        <v>0.58748968943380275</v>
      </c>
      <c r="AJ8" s="57">
        <v>210.60621860027314</v>
      </c>
      <c r="AK8" s="57">
        <v>718.5976902008058</v>
      </c>
      <c r="AL8" s="57">
        <v>2624.6727681477864</v>
      </c>
      <c r="AM8" s="57">
        <v>551.07710266113281</v>
      </c>
      <c r="AN8" s="57">
        <v>5162.2855224609375</v>
      </c>
      <c r="AO8" s="57">
        <v>2605.361653518677</v>
      </c>
      <c r="AP8" s="57">
        <v>493.99192023277288</v>
      </c>
      <c r="AQ8" s="57">
        <v>1897.1060567855834</v>
      </c>
      <c r="AR8" s="57">
        <v>431.66171550750732</v>
      </c>
      <c r="AS8" s="57">
        <v>710.88937486012787</v>
      </c>
    </row>
    <row r="9" spans="1:49" x14ac:dyDescent="0.25">
      <c r="A9" s="11">
        <v>44349</v>
      </c>
      <c r="B9" s="59"/>
      <c r="C9" s="60">
        <v>75.48600085576436</v>
      </c>
      <c r="D9" s="60">
        <v>972.76233730316278</v>
      </c>
      <c r="E9" s="60">
        <v>17.466675651073452</v>
      </c>
      <c r="F9" s="60">
        <v>0</v>
      </c>
      <c r="G9" s="60">
        <v>2969.0186180114729</v>
      </c>
      <c r="H9" s="61">
        <v>28.243865474065149</v>
      </c>
      <c r="I9" s="59">
        <v>119.30866653124488</v>
      </c>
      <c r="J9" s="60">
        <v>356.17275582949316</v>
      </c>
      <c r="K9" s="60">
        <v>19.68725479642551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204.09502649264928</v>
      </c>
      <c r="V9" s="62">
        <v>178.4356967188489</v>
      </c>
      <c r="W9" s="62">
        <v>31.711248057534835</v>
      </c>
      <c r="X9" s="62">
        <v>27.724431791454105</v>
      </c>
      <c r="Y9" s="66">
        <v>146.77837909836879</v>
      </c>
      <c r="Z9" s="66">
        <v>128.32503950616379</v>
      </c>
      <c r="AA9" s="67">
        <v>0</v>
      </c>
      <c r="AB9" s="68">
        <v>76.59655101564239</v>
      </c>
      <c r="AC9" s="69">
        <v>0</v>
      </c>
      <c r="AD9" s="406">
        <v>8.3984765142673581</v>
      </c>
      <c r="AE9" s="406">
        <v>7.092791005720132</v>
      </c>
      <c r="AF9" s="69">
        <v>14.838558349013356</v>
      </c>
      <c r="AG9" s="68">
        <v>7.8252665374287362</v>
      </c>
      <c r="AH9" s="68">
        <v>6.84145474102026</v>
      </c>
      <c r="AI9" s="68">
        <v>0.53353891363075368</v>
      </c>
      <c r="AJ9" s="69">
        <v>212.67168411413829</v>
      </c>
      <c r="AK9" s="69">
        <v>735.71192105611158</v>
      </c>
      <c r="AL9" s="69">
        <v>2997.3803757985429</v>
      </c>
      <c r="AM9" s="69">
        <v>551.07710266113281</v>
      </c>
      <c r="AN9" s="69">
        <v>5162.2855224609375</v>
      </c>
      <c r="AO9" s="69">
        <v>2767.6388783772786</v>
      </c>
      <c r="AP9" s="69">
        <v>501.15807472864782</v>
      </c>
      <c r="AQ9" s="69">
        <v>1918.5024044036866</v>
      </c>
      <c r="AR9" s="69">
        <v>432.5643229166667</v>
      </c>
      <c r="AS9" s="69">
        <v>746.21563723882014</v>
      </c>
    </row>
    <row r="10" spans="1:49" x14ac:dyDescent="0.25">
      <c r="A10" s="11">
        <v>44350</v>
      </c>
      <c r="B10" s="59"/>
      <c r="C10" s="60">
        <v>74.861684616406535</v>
      </c>
      <c r="D10" s="60">
        <v>971.14159965515</v>
      </c>
      <c r="E10" s="60">
        <v>17.48620384732881</v>
      </c>
      <c r="F10" s="60">
        <v>0</v>
      </c>
      <c r="G10" s="60">
        <v>2969.1643754323336</v>
      </c>
      <c r="H10" s="61">
        <v>28.344543755054545</v>
      </c>
      <c r="I10" s="59">
        <v>121.09929802417759</v>
      </c>
      <c r="J10" s="60">
        <v>352.50652696291604</v>
      </c>
      <c r="K10" s="60">
        <v>18.809512687722862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213.1139613712659</v>
      </c>
      <c r="V10" s="62">
        <v>186.50340883153686</v>
      </c>
      <c r="W10" s="62">
        <v>33.201301621221617</v>
      </c>
      <c r="X10" s="62">
        <v>29.05560898103014</v>
      </c>
      <c r="Y10" s="66">
        <v>148.02955139547612</v>
      </c>
      <c r="Z10" s="66">
        <v>129.54578745295595</v>
      </c>
      <c r="AA10" s="67">
        <v>0</v>
      </c>
      <c r="AB10" s="68">
        <v>75.888723903232332</v>
      </c>
      <c r="AC10" s="69">
        <v>0</v>
      </c>
      <c r="AD10" s="406">
        <v>8.3130154160624343</v>
      </c>
      <c r="AE10" s="406">
        <v>7.0738806349496315</v>
      </c>
      <c r="AF10" s="69">
        <v>15.193923891915214</v>
      </c>
      <c r="AG10" s="68">
        <v>7.9997007419572004</v>
      </c>
      <c r="AH10" s="68">
        <v>7.000815190179063</v>
      </c>
      <c r="AI10" s="68">
        <v>0.53329503986053506</v>
      </c>
      <c r="AJ10" s="69">
        <v>228.7489463329315</v>
      </c>
      <c r="AK10" s="69">
        <v>752.41727244059257</v>
      </c>
      <c r="AL10" s="69">
        <v>2719.5474062601729</v>
      </c>
      <c r="AM10" s="69">
        <v>551.07710266113281</v>
      </c>
      <c r="AN10" s="69">
        <v>5162.2855224609375</v>
      </c>
      <c r="AO10" s="69">
        <v>2750.9071306864421</v>
      </c>
      <c r="AP10" s="69">
        <v>515.66758364041652</v>
      </c>
      <c r="AQ10" s="69">
        <v>1897.2995174407956</v>
      </c>
      <c r="AR10" s="69">
        <v>428.54154237111408</v>
      </c>
      <c r="AS10" s="69">
        <v>792.95005048116047</v>
      </c>
    </row>
    <row r="11" spans="1:49" x14ac:dyDescent="0.25">
      <c r="A11" s="11">
        <v>44351</v>
      </c>
      <c r="B11" s="59"/>
      <c r="C11" s="60">
        <v>73.921318233013395</v>
      </c>
      <c r="D11" s="60">
        <v>964.1539179166142</v>
      </c>
      <c r="E11" s="60">
        <v>17.564887061218421</v>
      </c>
      <c r="F11" s="60">
        <v>0</v>
      </c>
      <c r="G11" s="60">
        <v>2920.5050882975361</v>
      </c>
      <c r="H11" s="61">
        <v>28.183220861355533</v>
      </c>
      <c r="I11" s="59">
        <v>121.21025015513098</v>
      </c>
      <c r="J11" s="60">
        <v>352.97147595087677</v>
      </c>
      <c r="K11" s="60">
        <v>18.796360760927186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208.49142977705151</v>
      </c>
      <c r="V11" s="62">
        <v>182.47502600043157</v>
      </c>
      <c r="W11" s="62">
        <v>32.345524155301376</v>
      </c>
      <c r="X11" s="62">
        <v>28.309318841295902</v>
      </c>
      <c r="Y11" s="66">
        <v>153.03510025138064</v>
      </c>
      <c r="Z11" s="66">
        <v>133.93876154626969</v>
      </c>
      <c r="AA11" s="67">
        <v>0</v>
      </c>
      <c r="AB11" s="68">
        <v>75.589356321760064</v>
      </c>
      <c r="AC11" s="69">
        <v>0</v>
      </c>
      <c r="AD11" s="406">
        <v>8.3245275690783433</v>
      </c>
      <c r="AE11" s="406">
        <v>7.0264907683480642</v>
      </c>
      <c r="AF11" s="69">
        <v>14.936162525415416</v>
      </c>
      <c r="AG11" s="68">
        <v>7.8648414744779007</v>
      </c>
      <c r="AH11" s="68">
        <v>6.8834347487533609</v>
      </c>
      <c r="AI11" s="68">
        <v>0.53327191296358567</v>
      </c>
      <c r="AJ11" s="69">
        <v>221.7488961060842</v>
      </c>
      <c r="AK11" s="69">
        <v>753.90719938278198</v>
      </c>
      <c r="AL11" s="69">
        <v>2658.540185292562</v>
      </c>
      <c r="AM11" s="69">
        <v>551.07710266113281</v>
      </c>
      <c r="AN11" s="69">
        <v>5162.2855224609375</v>
      </c>
      <c r="AO11" s="69">
        <v>2779.7070543924965</v>
      </c>
      <c r="AP11" s="69">
        <v>536.79951855341596</v>
      </c>
      <c r="AQ11" s="69">
        <v>1889.1679560343425</v>
      </c>
      <c r="AR11" s="69">
        <v>420.59379696846014</v>
      </c>
      <c r="AS11" s="69">
        <v>814.06893803278592</v>
      </c>
    </row>
    <row r="12" spans="1:49" x14ac:dyDescent="0.25">
      <c r="A12" s="11">
        <v>44352</v>
      </c>
      <c r="B12" s="59"/>
      <c r="C12" s="60">
        <v>73.32782511711109</v>
      </c>
      <c r="D12" s="60">
        <v>956.28664531707614</v>
      </c>
      <c r="E12" s="60">
        <v>17.664585981269674</v>
      </c>
      <c r="F12" s="60">
        <v>0</v>
      </c>
      <c r="G12" s="60">
        <v>2911.782439931239</v>
      </c>
      <c r="H12" s="61">
        <v>27.882139519850476</v>
      </c>
      <c r="I12" s="59">
        <v>141.16919963359831</v>
      </c>
      <c r="J12" s="60">
        <v>429.33469731012974</v>
      </c>
      <c r="K12" s="60">
        <v>23.767230080564811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249.22781986729987</v>
      </c>
      <c r="V12" s="62">
        <v>179.26630607111676</v>
      </c>
      <c r="W12" s="62">
        <v>38.127432873606999</v>
      </c>
      <c r="X12" s="62">
        <v>27.424563015738908</v>
      </c>
      <c r="Y12" s="66">
        <v>192.6511750530473</v>
      </c>
      <c r="Z12" s="66">
        <v>138.5714665818941</v>
      </c>
      <c r="AA12" s="67">
        <v>0</v>
      </c>
      <c r="AB12" s="68">
        <v>84.4797100067141</v>
      </c>
      <c r="AC12" s="69">
        <v>0</v>
      </c>
      <c r="AD12" s="406">
        <v>10.126801828038474</v>
      </c>
      <c r="AE12" s="406">
        <v>6.9615545848068985</v>
      </c>
      <c r="AF12" s="69">
        <v>16.411882668402452</v>
      </c>
      <c r="AG12" s="68">
        <v>9.4333337454589188</v>
      </c>
      <c r="AH12" s="68">
        <v>6.7852733911681247</v>
      </c>
      <c r="AI12" s="68">
        <v>0.5816364910988745</v>
      </c>
      <c r="AJ12" s="69">
        <v>217.19314533869425</v>
      </c>
      <c r="AK12" s="69">
        <v>753.4083006540933</v>
      </c>
      <c r="AL12" s="69">
        <v>2680.6877401987708</v>
      </c>
      <c r="AM12" s="69">
        <v>551.07710266113281</v>
      </c>
      <c r="AN12" s="69">
        <v>5162.2855224609375</v>
      </c>
      <c r="AO12" s="69">
        <v>2820.8766956329346</v>
      </c>
      <c r="AP12" s="69">
        <v>547.8943578402201</v>
      </c>
      <c r="AQ12" s="69">
        <v>2089.0641556421915</v>
      </c>
      <c r="AR12" s="69">
        <v>428.06361217498784</v>
      </c>
      <c r="AS12" s="69">
        <v>815.10291010538765</v>
      </c>
    </row>
    <row r="13" spans="1:49" x14ac:dyDescent="0.25">
      <c r="A13" s="11">
        <v>44353</v>
      </c>
      <c r="B13" s="59"/>
      <c r="C13" s="60">
        <v>74.634137280781928</v>
      </c>
      <c r="D13" s="60">
        <v>956.28768889109222</v>
      </c>
      <c r="E13" s="60">
        <v>17.66017699937024</v>
      </c>
      <c r="F13" s="60">
        <v>0</v>
      </c>
      <c r="G13" s="60">
        <v>2846.9324096679679</v>
      </c>
      <c r="H13" s="61">
        <v>28.07135595480608</v>
      </c>
      <c r="I13" s="59">
        <v>141.56930186748519</v>
      </c>
      <c r="J13" s="60">
        <v>437.05784114201884</v>
      </c>
      <c r="K13" s="60">
        <v>24.480466040968899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257.9516556582962</v>
      </c>
      <c r="V13" s="62">
        <v>180.57290185801912</v>
      </c>
      <c r="W13" s="62">
        <v>39.628719848677626</v>
      </c>
      <c r="X13" s="62">
        <v>27.741139795099638</v>
      </c>
      <c r="Y13" s="66">
        <v>205.21178989683176</v>
      </c>
      <c r="Z13" s="66">
        <v>143.65361719653401</v>
      </c>
      <c r="AA13" s="67">
        <v>0</v>
      </c>
      <c r="AB13" s="68">
        <v>85.724069801967019</v>
      </c>
      <c r="AC13" s="69">
        <v>0</v>
      </c>
      <c r="AD13" s="406">
        <v>10.3051129199306</v>
      </c>
      <c r="AE13" s="406">
        <v>6.9618897617654785</v>
      </c>
      <c r="AF13" s="69">
        <v>16.889771000544215</v>
      </c>
      <c r="AG13" s="68">
        <v>9.8240355137407374</v>
      </c>
      <c r="AH13" s="68">
        <v>6.877081661465767</v>
      </c>
      <c r="AI13" s="68">
        <v>0.58822624921911948</v>
      </c>
      <c r="AJ13" s="69">
        <v>221.99176516532901</v>
      </c>
      <c r="AK13" s="69">
        <v>750.56930557886756</v>
      </c>
      <c r="AL13" s="69">
        <v>2724.0120952606198</v>
      </c>
      <c r="AM13" s="69">
        <v>551.07710266113281</v>
      </c>
      <c r="AN13" s="69">
        <v>5162.2855224609375</v>
      </c>
      <c r="AO13" s="69">
        <v>2807.8877802530919</v>
      </c>
      <c r="AP13" s="69">
        <v>539.73418261210122</v>
      </c>
      <c r="AQ13" s="69">
        <v>2150.2666393280033</v>
      </c>
      <c r="AR13" s="69">
        <v>428.14913746515913</v>
      </c>
      <c r="AS13" s="69">
        <v>827.56664733886726</v>
      </c>
    </row>
    <row r="14" spans="1:49" x14ac:dyDescent="0.25">
      <c r="A14" s="11">
        <v>44354</v>
      </c>
      <c r="B14" s="59"/>
      <c r="C14" s="60">
        <v>32.799259956677879</v>
      </c>
      <c r="D14" s="60">
        <v>419.49109617471731</v>
      </c>
      <c r="E14" s="60">
        <v>8.0740169852972166</v>
      </c>
      <c r="F14" s="60">
        <v>0</v>
      </c>
      <c r="G14" s="60">
        <v>1221.3700415293381</v>
      </c>
      <c r="H14" s="61">
        <v>12.249987306197472</v>
      </c>
      <c r="I14" s="59">
        <v>194.12494824727378</v>
      </c>
      <c r="J14" s="60">
        <v>636.04841356277461</v>
      </c>
      <c r="K14" s="60">
        <v>35.001178338130288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384.01241641430283</v>
      </c>
      <c r="V14" s="62">
        <v>79.482537822046083</v>
      </c>
      <c r="W14" s="62">
        <v>61.568588621177724</v>
      </c>
      <c r="X14" s="62">
        <v>12.743410016339482</v>
      </c>
      <c r="Y14" s="66">
        <v>297.01094939516042</v>
      </c>
      <c r="Z14" s="66">
        <v>61.475053956050644</v>
      </c>
      <c r="AA14" s="67">
        <v>0</v>
      </c>
      <c r="AB14" s="68">
        <v>89.074513318803128</v>
      </c>
      <c r="AC14" s="69">
        <v>0</v>
      </c>
      <c r="AD14" s="406">
        <v>15.002392356750605</v>
      </c>
      <c r="AE14" s="406">
        <v>3.1382212867676347</v>
      </c>
      <c r="AF14" s="69">
        <v>17.895786471830487</v>
      </c>
      <c r="AG14" s="68">
        <v>14.632913690873025</v>
      </c>
      <c r="AH14" s="68">
        <v>3.0287070578122917</v>
      </c>
      <c r="AI14" s="68">
        <v>0.82851477217696801</v>
      </c>
      <c r="AJ14" s="69">
        <v>218.63600195248924</v>
      </c>
      <c r="AK14" s="69">
        <v>719.66325629552216</v>
      </c>
      <c r="AL14" s="69">
        <v>1824.5828680674235</v>
      </c>
      <c r="AM14" s="69">
        <v>551.07710266113281</v>
      </c>
      <c r="AN14" s="69">
        <v>5162.2855224609375</v>
      </c>
      <c r="AO14" s="69">
        <v>2395.4325728098552</v>
      </c>
      <c r="AP14" s="69">
        <v>530.81952506701157</v>
      </c>
      <c r="AQ14" s="69">
        <v>2172.2539511362716</v>
      </c>
      <c r="AR14" s="69">
        <v>414.30457774798077</v>
      </c>
      <c r="AS14" s="69">
        <v>834.35253429412853</v>
      </c>
    </row>
    <row r="15" spans="1:49" x14ac:dyDescent="0.25">
      <c r="A15" s="11">
        <v>44355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223.14517918427777</v>
      </c>
      <c r="J15" s="60">
        <v>690.32277708053618</v>
      </c>
      <c r="K15" s="60">
        <v>37.645025455951654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416.44736873838764</v>
      </c>
      <c r="V15" s="62">
        <v>0</v>
      </c>
      <c r="W15" s="62">
        <v>65.452961754798963</v>
      </c>
      <c r="X15" s="62">
        <v>0</v>
      </c>
      <c r="Y15" s="66">
        <v>325.26670260429444</v>
      </c>
      <c r="Z15" s="66">
        <v>0</v>
      </c>
      <c r="AA15" s="67">
        <v>0</v>
      </c>
      <c r="AB15" s="68">
        <v>80.35999596383806</v>
      </c>
      <c r="AC15" s="69">
        <v>0</v>
      </c>
      <c r="AD15" s="406">
        <v>16.274147529960146</v>
      </c>
      <c r="AE15" s="406">
        <v>0</v>
      </c>
      <c r="AF15" s="69">
        <v>15.886352465550088</v>
      </c>
      <c r="AG15" s="68">
        <v>15.663113971749455</v>
      </c>
      <c r="AH15" s="68">
        <v>0</v>
      </c>
      <c r="AI15" s="68">
        <v>1</v>
      </c>
      <c r="AJ15" s="69">
        <v>213.25094724496205</v>
      </c>
      <c r="AK15" s="69">
        <v>493.75673422813406</v>
      </c>
      <c r="AL15" s="69">
        <v>1021.7232746124267</v>
      </c>
      <c r="AM15" s="69">
        <v>551.07710266113281</v>
      </c>
      <c r="AN15" s="69">
        <v>5162.2855224609375</v>
      </c>
      <c r="AO15" s="69">
        <v>2120.3822090148924</v>
      </c>
      <c r="AP15" s="69">
        <v>545.33063041369121</v>
      </c>
      <c r="AQ15" s="69">
        <v>2004.2689446290335</v>
      </c>
      <c r="AR15" s="69">
        <v>415.79651792844135</v>
      </c>
      <c r="AS15" s="69">
        <v>851.77316420873024</v>
      </c>
    </row>
    <row r="16" spans="1:49" x14ac:dyDescent="0.25">
      <c r="A16" s="11">
        <v>44356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243.0812285741163</v>
      </c>
      <c r="J16" s="60">
        <v>776.97883043289141</v>
      </c>
      <c r="K16" s="60">
        <v>42.580131105582012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451.36732851663839</v>
      </c>
      <c r="V16" s="62">
        <v>0</v>
      </c>
      <c r="W16" s="62">
        <v>74.045450103282946</v>
      </c>
      <c r="X16" s="62">
        <v>0</v>
      </c>
      <c r="Y16" s="66">
        <v>363.54734673500025</v>
      </c>
      <c r="Z16" s="66">
        <v>0</v>
      </c>
      <c r="AA16" s="67">
        <v>0</v>
      </c>
      <c r="AB16" s="68">
        <v>90.598093557358297</v>
      </c>
      <c r="AC16" s="69">
        <v>0</v>
      </c>
      <c r="AD16" s="406">
        <v>18.318568150169394</v>
      </c>
      <c r="AE16" s="406">
        <v>0</v>
      </c>
      <c r="AF16" s="69">
        <v>17.718923362096135</v>
      </c>
      <c r="AG16" s="68">
        <v>17.503889409925815</v>
      </c>
      <c r="AH16" s="68">
        <v>0</v>
      </c>
      <c r="AI16" s="68">
        <v>1</v>
      </c>
      <c r="AJ16" s="69">
        <v>213.25342983404795</v>
      </c>
      <c r="AK16" s="69">
        <v>397.4054860115051</v>
      </c>
      <c r="AL16" s="69">
        <v>902.01845067342117</v>
      </c>
      <c r="AM16" s="69">
        <v>551.07710266113281</v>
      </c>
      <c r="AN16" s="69">
        <v>5162.2855224609375</v>
      </c>
      <c r="AO16" s="69">
        <v>2146.6608342488607</v>
      </c>
      <c r="AP16" s="69">
        <v>547.715467007955</v>
      </c>
      <c r="AQ16" s="69">
        <v>2230.4716410795845</v>
      </c>
      <c r="AR16" s="69">
        <v>421.34794659614562</v>
      </c>
      <c r="AS16" s="69">
        <v>832.88534170786534</v>
      </c>
    </row>
    <row r="17" spans="1:45" x14ac:dyDescent="0.25">
      <c r="A17" s="11">
        <v>44357</v>
      </c>
      <c r="B17" s="49"/>
      <c r="C17" s="50">
        <v>0</v>
      </c>
      <c r="D17" s="50">
        <v>0</v>
      </c>
      <c r="E17" s="60">
        <v>0</v>
      </c>
      <c r="F17" s="50">
        <v>0</v>
      </c>
      <c r="G17" s="50">
        <v>0</v>
      </c>
      <c r="H17" s="51">
        <v>0</v>
      </c>
      <c r="I17" s="49">
        <v>243.31302056312506</v>
      </c>
      <c r="J17" s="50">
        <v>777.52300786971978</v>
      </c>
      <c r="K17" s="50">
        <v>42.811916196346331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447.13031522962524</v>
      </c>
      <c r="V17" s="66">
        <v>0</v>
      </c>
      <c r="W17" s="62">
        <v>71.615160036087175</v>
      </c>
      <c r="X17" s="62">
        <v>0</v>
      </c>
      <c r="Y17" s="66">
        <v>364.82801811695094</v>
      </c>
      <c r="Z17" s="66">
        <v>0</v>
      </c>
      <c r="AA17" s="67">
        <v>0</v>
      </c>
      <c r="AB17" s="68">
        <v>90.669614664715127</v>
      </c>
      <c r="AC17" s="69">
        <v>0</v>
      </c>
      <c r="AD17" s="406">
        <v>18.325994761884282</v>
      </c>
      <c r="AE17" s="406">
        <v>0</v>
      </c>
      <c r="AF17" s="69">
        <v>17.581233629584286</v>
      </c>
      <c r="AG17" s="68">
        <v>17.433896660167946</v>
      </c>
      <c r="AH17" s="68">
        <v>0</v>
      </c>
      <c r="AI17" s="68">
        <v>1</v>
      </c>
      <c r="AJ17" s="69">
        <v>221.50950406392417</v>
      </c>
      <c r="AK17" s="69">
        <v>406.76306115786235</v>
      </c>
      <c r="AL17" s="69">
        <v>1033.4364134470623</v>
      </c>
      <c r="AM17" s="69">
        <v>551.07710266113281</v>
      </c>
      <c r="AN17" s="69">
        <v>5162.2855224609375</v>
      </c>
      <c r="AO17" s="69">
        <v>2245.1699906667072</v>
      </c>
      <c r="AP17" s="69">
        <v>561.78638992309584</v>
      </c>
      <c r="AQ17" s="69">
        <v>2297.0462471644087</v>
      </c>
      <c r="AR17" s="69">
        <v>430.65019704500838</v>
      </c>
      <c r="AS17" s="69">
        <v>919.72466230392467</v>
      </c>
    </row>
    <row r="18" spans="1:45" x14ac:dyDescent="0.25">
      <c r="A18" s="11">
        <v>44358</v>
      </c>
      <c r="B18" s="59"/>
      <c r="C18" s="60">
        <v>45.041193779309431</v>
      </c>
      <c r="D18" s="60">
        <v>573.04371980031362</v>
      </c>
      <c r="E18" s="60">
        <v>10.727573560674973</v>
      </c>
      <c r="F18" s="60">
        <v>0</v>
      </c>
      <c r="G18" s="60">
        <v>2016.5168649037682</v>
      </c>
      <c r="H18" s="61">
        <v>16.113853773474677</v>
      </c>
      <c r="I18" s="59">
        <v>243.27308402061419</v>
      </c>
      <c r="J18" s="60">
        <v>777.61105928420977</v>
      </c>
      <c r="K18" s="60">
        <v>42.712408228715304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458.94333070400262</v>
      </c>
      <c r="V18" s="62">
        <v>0</v>
      </c>
      <c r="W18" s="62">
        <v>74.704702267093069</v>
      </c>
      <c r="X18" s="62">
        <v>0</v>
      </c>
      <c r="Y18" s="66">
        <v>375.50444829902955</v>
      </c>
      <c r="Z18" s="66">
        <v>0</v>
      </c>
      <c r="AA18" s="67">
        <v>0</v>
      </c>
      <c r="AB18" s="68">
        <v>110.85239583651332</v>
      </c>
      <c r="AC18" s="69">
        <v>0</v>
      </c>
      <c r="AD18" s="406">
        <v>18.337441870726973</v>
      </c>
      <c r="AE18" s="406">
        <v>4.2966239747408261</v>
      </c>
      <c r="AF18" s="69">
        <v>17.978931342893169</v>
      </c>
      <c r="AG18" s="68">
        <v>17.999410467285792</v>
      </c>
      <c r="AH18" s="68">
        <v>0</v>
      </c>
      <c r="AI18" s="68">
        <v>1</v>
      </c>
      <c r="AJ18" s="69">
        <v>247.20922152201334</v>
      </c>
      <c r="AK18" s="69">
        <v>633.81197080612185</v>
      </c>
      <c r="AL18" s="69">
        <v>2449.0835996627807</v>
      </c>
      <c r="AM18" s="69">
        <v>551.07710266113281</v>
      </c>
      <c r="AN18" s="69">
        <v>5162.2855224609375</v>
      </c>
      <c r="AO18" s="69">
        <v>2466.0531472524008</v>
      </c>
      <c r="AP18" s="69">
        <v>523.24492534001661</v>
      </c>
      <c r="AQ18" s="69">
        <v>2190.6532005310055</v>
      </c>
      <c r="AR18" s="69">
        <v>417.04982999960583</v>
      </c>
      <c r="AS18" s="69">
        <v>796.71352583567318</v>
      </c>
    </row>
    <row r="19" spans="1:45" x14ac:dyDescent="0.25">
      <c r="A19" s="11">
        <v>44359</v>
      </c>
      <c r="B19" s="59"/>
      <c r="C19" s="60">
        <v>74.489982732137392</v>
      </c>
      <c r="D19" s="60">
        <v>918.61253045399906</v>
      </c>
      <c r="E19" s="60">
        <v>17.21577427238222</v>
      </c>
      <c r="F19" s="60">
        <v>0</v>
      </c>
      <c r="G19" s="60">
        <v>4334.605138651531</v>
      </c>
      <c r="H19" s="61">
        <v>28.121759106715587</v>
      </c>
      <c r="I19" s="59">
        <v>197.78018059730525</v>
      </c>
      <c r="J19" s="60">
        <v>632.07701927820449</v>
      </c>
      <c r="K19" s="60">
        <v>35.070135758320419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371.50380620489307</v>
      </c>
      <c r="V19" s="62">
        <v>92.794292232101085</v>
      </c>
      <c r="W19" s="62">
        <v>60.992719063992837</v>
      </c>
      <c r="X19" s="62">
        <v>15.234773109519892</v>
      </c>
      <c r="Y19" s="66">
        <v>326.4488903373458</v>
      </c>
      <c r="Z19" s="66">
        <v>81.540466673177789</v>
      </c>
      <c r="AA19" s="67">
        <v>0</v>
      </c>
      <c r="AB19" s="68">
        <v>104.59646904733401</v>
      </c>
      <c r="AC19" s="69">
        <v>0</v>
      </c>
      <c r="AD19" s="406">
        <v>14.901522797070584</v>
      </c>
      <c r="AE19" s="406">
        <v>7.0117784182287659</v>
      </c>
      <c r="AF19" s="69">
        <v>18.284842056698292</v>
      </c>
      <c r="AG19" s="68">
        <v>14.472207158022002</v>
      </c>
      <c r="AH19" s="68">
        <v>3.6148706899770935</v>
      </c>
      <c r="AI19" s="68">
        <v>0.80014070153532324</v>
      </c>
      <c r="AJ19" s="69">
        <v>230.52690534591673</v>
      </c>
      <c r="AK19" s="69">
        <v>769.71604181925454</v>
      </c>
      <c r="AL19" s="69">
        <v>2905.9902123769125</v>
      </c>
      <c r="AM19" s="69">
        <v>551.07710266113281</v>
      </c>
      <c r="AN19" s="69">
        <v>5162.2855224609375</v>
      </c>
      <c r="AO19" s="69">
        <v>2729.8556825002029</v>
      </c>
      <c r="AP19" s="69">
        <v>532.66899655660006</v>
      </c>
      <c r="AQ19" s="69">
        <v>2294.1452077229815</v>
      </c>
      <c r="AR19" s="69">
        <v>425.17966423034659</v>
      </c>
      <c r="AS19" s="69">
        <v>783.64647353490204</v>
      </c>
    </row>
    <row r="20" spans="1:45" x14ac:dyDescent="0.25">
      <c r="A20" s="11">
        <v>44360</v>
      </c>
      <c r="B20" s="59"/>
      <c r="C20" s="60">
        <v>74.033360207080023</v>
      </c>
      <c r="D20" s="60">
        <v>907.18946444193705</v>
      </c>
      <c r="E20" s="60">
        <v>17.264372517168514</v>
      </c>
      <c r="F20" s="60">
        <v>0</v>
      </c>
      <c r="G20" s="60">
        <v>4079.751673126229</v>
      </c>
      <c r="H20" s="61">
        <v>27.801468604803162</v>
      </c>
      <c r="I20" s="59">
        <v>163.32290593783046</v>
      </c>
      <c r="J20" s="60">
        <v>522.13245188395183</v>
      </c>
      <c r="K20" s="60">
        <v>29.376591904957976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315.10265446117234</v>
      </c>
      <c r="V20" s="62">
        <v>184.10230269553981</v>
      </c>
      <c r="W20" s="62">
        <v>51.198375182250828</v>
      </c>
      <c r="X20" s="62">
        <v>29.913231868644942</v>
      </c>
      <c r="Y20" s="66">
        <v>286.33449768408866</v>
      </c>
      <c r="Z20" s="66">
        <v>167.2941805423828</v>
      </c>
      <c r="AA20" s="67">
        <v>0</v>
      </c>
      <c r="AB20" s="68">
        <v>90.240715572570451</v>
      </c>
      <c r="AC20" s="69">
        <v>0</v>
      </c>
      <c r="AD20" s="406">
        <v>12.313764996659767</v>
      </c>
      <c r="AE20" s="406">
        <v>6.9341649393538436</v>
      </c>
      <c r="AF20" s="69">
        <v>19.193363685078069</v>
      </c>
      <c r="AG20" s="68">
        <v>11.983771168670401</v>
      </c>
      <c r="AH20" s="68">
        <v>7.0016543367472615</v>
      </c>
      <c r="AI20" s="68">
        <v>0.63120898529510039</v>
      </c>
      <c r="AJ20" s="69">
        <v>217.16512746810912</v>
      </c>
      <c r="AK20" s="69">
        <v>767.99273576736471</v>
      </c>
      <c r="AL20" s="69">
        <v>2944.6320735931395</v>
      </c>
      <c r="AM20" s="69">
        <v>539.50250012079869</v>
      </c>
      <c r="AN20" s="69">
        <v>5353.1710522969561</v>
      </c>
      <c r="AO20" s="69">
        <v>2828.5629319508876</v>
      </c>
      <c r="AP20" s="69">
        <v>564.43271916707363</v>
      </c>
      <c r="AQ20" s="69">
        <v>2353.0826156616213</v>
      </c>
      <c r="AR20" s="69">
        <v>452.49379081726073</v>
      </c>
      <c r="AS20" s="69">
        <v>831.8266597747803</v>
      </c>
    </row>
    <row r="21" spans="1:45" x14ac:dyDescent="0.25">
      <c r="A21" s="11">
        <v>44361</v>
      </c>
      <c r="B21" s="59"/>
      <c r="C21" s="60">
        <v>73.721379641691669</v>
      </c>
      <c r="D21" s="60">
        <v>907.86665496826163</v>
      </c>
      <c r="E21" s="60">
        <v>17.413886141777031</v>
      </c>
      <c r="F21" s="60">
        <v>0</v>
      </c>
      <c r="G21" s="60">
        <v>3361.8494580586707</v>
      </c>
      <c r="H21" s="61">
        <v>27.792016164461778</v>
      </c>
      <c r="I21" s="59">
        <v>161.53060560226439</v>
      </c>
      <c r="J21" s="60">
        <v>521.00033845901487</v>
      </c>
      <c r="K21" s="60">
        <v>27.902671972413824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309.54875314836534</v>
      </c>
      <c r="V21" s="62">
        <v>179.23233714297854</v>
      </c>
      <c r="W21" s="62">
        <v>49.938890181185585</v>
      </c>
      <c r="X21" s="62">
        <v>28.915199659067667</v>
      </c>
      <c r="Y21" s="66">
        <v>266.6444625435247</v>
      </c>
      <c r="Z21" s="66">
        <v>154.39025265594648</v>
      </c>
      <c r="AA21" s="67">
        <v>0</v>
      </c>
      <c r="AB21" s="68">
        <v>90.285776323743676</v>
      </c>
      <c r="AC21" s="69">
        <v>0</v>
      </c>
      <c r="AD21" s="406">
        <v>12.324059597660243</v>
      </c>
      <c r="AE21" s="406">
        <v>6.9539696909699291</v>
      </c>
      <c r="AF21" s="69">
        <v>18.972026307384155</v>
      </c>
      <c r="AG21" s="68">
        <v>11.792974163097139</v>
      </c>
      <c r="AH21" s="68">
        <v>6.8282695362871761</v>
      </c>
      <c r="AI21" s="68">
        <v>0.63330754666440769</v>
      </c>
      <c r="AJ21" s="69">
        <v>220.54386199315388</v>
      </c>
      <c r="AK21" s="69">
        <v>776.20171990394567</v>
      </c>
      <c r="AL21" s="69">
        <v>2921.6887293497721</v>
      </c>
      <c r="AM21" s="69">
        <v>338.41620554924009</v>
      </c>
      <c r="AN21" s="69">
        <v>2134.380856068929</v>
      </c>
      <c r="AO21" s="69">
        <v>2750.2555437723804</v>
      </c>
      <c r="AP21" s="69">
        <v>511.33377453486133</v>
      </c>
      <c r="AQ21" s="69">
        <v>2391.8905055681871</v>
      </c>
      <c r="AR21" s="69">
        <v>479.7529198169708</v>
      </c>
      <c r="AS21" s="69">
        <v>884.58174254099526</v>
      </c>
    </row>
    <row r="22" spans="1:45" x14ac:dyDescent="0.25">
      <c r="A22" s="11">
        <v>44362</v>
      </c>
      <c r="B22" s="59"/>
      <c r="C22" s="60">
        <v>74.43272443215092</v>
      </c>
      <c r="D22" s="60">
        <v>909.08588091532397</v>
      </c>
      <c r="E22" s="60">
        <v>17.616800947984029</v>
      </c>
      <c r="F22" s="60">
        <v>0</v>
      </c>
      <c r="G22" s="60">
        <v>2814.5067577362061</v>
      </c>
      <c r="H22" s="61">
        <v>27.848037878672322</v>
      </c>
      <c r="I22" s="59">
        <v>174.37831280231444</v>
      </c>
      <c r="J22" s="60">
        <v>522.55078846613674</v>
      </c>
      <c r="K22" s="60">
        <v>27.938322069247537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300.94701396856232</v>
      </c>
      <c r="V22" s="62">
        <v>176.53765766653459</v>
      </c>
      <c r="W22" s="62">
        <v>49.166831042992392</v>
      </c>
      <c r="X22" s="62">
        <v>28.841612590722868</v>
      </c>
      <c r="Y22" s="66">
        <v>263.42004872584232</v>
      </c>
      <c r="Z22" s="66">
        <v>154.52407309587892</v>
      </c>
      <c r="AA22" s="67">
        <v>0</v>
      </c>
      <c r="AB22" s="68">
        <v>90.327530733745718</v>
      </c>
      <c r="AC22" s="69">
        <v>0</v>
      </c>
      <c r="AD22" s="406">
        <v>12.321839966352544</v>
      </c>
      <c r="AE22" s="406">
        <v>6.9488279063475753</v>
      </c>
      <c r="AF22" s="69">
        <v>18.784926159514328</v>
      </c>
      <c r="AG22" s="68">
        <v>11.706918359658404</v>
      </c>
      <c r="AH22" s="68">
        <v>6.8673615280440625</v>
      </c>
      <c r="AI22" s="68">
        <v>0.63027575929924695</v>
      </c>
      <c r="AJ22" s="69">
        <v>216.73249778747558</v>
      </c>
      <c r="AK22" s="69">
        <v>793.30571899414053</v>
      </c>
      <c r="AL22" s="69">
        <v>2942.3376602172852</v>
      </c>
      <c r="AM22" s="69">
        <v>314.70941162109375</v>
      </c>
      <c r="AN22" s="69">
        <v>1248.4801025390625</v>
      </c>
      <c r="AO22" s="69">
        <v>2821.2201930999768</v>
      </c>
      <c r="AP22" s="69">
        <v>490.87863756815585</v>
      </c>
      <c r="AQ22" s="69">
        <v>2381.2184221903485</v>
      </c>
      <c r="AR22" s="69">
        <v>503.97014544804887</v>
      </c>
      <c r="AS22" s="69">
        <v>908.27030719121285</v>
      </c>
    </row>
    <row r="23" spans="1:45" x14ac:dyDescent="0.25">
      <c r="A23" s="11">
        <v>44363</v>
      </c>
      <c r="B23" s="59"/>
      <c r="C23" s="60">
        <v>74.338357965151232</v>
      </c>
      <c r="D23" s="60">
        <v>911.87834453582911</v>
      </c>
      <c r="E23" s="60">
        <v>17.655259784062725</v>
      </c>
      <c r="F23" s="60">
        <v>0</v>
      </c>
      <c r="G23" s="60">
        <v>2603.7217600504528</v>
      </c>
      <c r="H23" s="61">
        <v>27.952607548236934</v>
      </c>
      <c r="I23" s="59">
        <v>191.19629707336426</v>
      </c>
      <c r="J23" s="60">
        <v>596.0026960055053</v>
      </c>
      <c r="K23" s="60">
        <v>32.173353846867911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341.40607027039641</v>
      </c>
      <c r="V23" s="62">
        <v>175.08949181676755</v>
      </c>
      <c r="W23" s="62">
        <v>55.291684817096389</v>
      </c>
      <c r="X23" s="62">
        <v>28.35624155320631</v>
      </c>
      <c r="Y23" s="66">
        <v>299.41367219833984</v>
      </c>
      <c r="Z23" s="66">
        <v>153.55376565706391</v>
      </c>
      <c r="AA23" s="67">
        <v>0</v>
      </c>
      <c r="AB23" s="68">
        <v>100.90310362709842</v>
      </c>
      <c r="AC23" s="69">
        <v>0</v>
      </c>
      <c r="AD23" s="406">
        <v>14.05601646260147</v>
      </c>
      <c r="AE23" s="406">
        <v>6.96998518333666</v>
      </c>
      <c r="AF23" s="69">
        <v>20.345936250024344</v>
      </c>
      <c r="AG23" s="68">
        <v>13.30851541370731</v>
      </c>
      <c r="AH23" s="68">
        <v>6.8252482997039499</v>
      </c>
      <c r="AI23" s="68">
        <v>0.66100484753590316</v>
      </c>
      <c r="AJ23" s="69">
        <v>215.95993156433104</v>
      </c>
      <c r="AK23" s="69">
        <v>781.57776292165136</v>
      </c>
      <c r="AL23" s="69">
        <v>2878.5588137308755</v>
      </c>
      <c r="AM23" s="69">
        <v>314.70941162109375</v>
      </c>
      <c r="AN23" s="69">
        <v>1248.4801025390625</v>
      </c>
      <c r="AO23" s="69">
        <v>2800.5094660441077</v>
      </c>
      <c r="AP23" s="69">
        <v>504.64483222961434</v>
      </c>
      <c r="AQ23" s="69">
        <v>2631.1204269409172</v>
      </c>
      <c r="AR23" s="69">
        <v>510.11269820531209</v>
      </c>
      <c r="AS23" s="69">
        <v>890.5772159894309</v>
      </c>
    </row>
    <row r="24" spans="1:45" x14ac:dyDescent="0.25">
      <c r="A24" s="11">
        <v>44364</v>
      </c>
      <c r="B24" s="59"/>
      <c r="C24" s="60">
        <v>74.698344063758285</v>
      </c>
      <c r="D24" s="60">
        <v>914.28863162994287</v>
      </c>
      <c r="E24" s="60">
        <v>17.65567001700397</v>
      </c>
      <c r="F24" s="60">
        <v>0</v>
      </c>
      <c r="G24" s="60">
        <v>2485.5913700103793</v>
      </c>
      <c r="H24" s="61">
        <v>27.999551153183059</v>
      </c>
      <c r="I24" s="59">
        <v>216.26508541107171</v>
      </c>
      <c r="J24" s="60">
        <v>771.52761999766062</v>
      </c>
      <c r="K24" s="60">
        <v>42.081656235456414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442.81290682268502</v>
      </c>
      <c r="V24" s="62">
        <v>109.93485744682629</v>
      </c>
      <c r="W24" s="62">
        <v>75.092816773308613</v>
      </c>
      <c r="X24" s="62">
        <v>18.642903086291462</v>
      </c>
      <c r="Y24" s="66">
        <v>375.58799948215756</v>
      </c>
      <c r="Z24" s="66">
        <v>93.245279316899939</v>
      </c>
      <c r="AA24" s="67">
        <v>0</v>
      </c>
      <c r="AB24" s="68">
        <v>121.98222321934158</v>
      </c>
      <c r="AC24" s="69">
        <v>0</v>
      </c>
      <c r="AD24" s="406">
        <v>18.196486597204348</v>
      </c>
      <c r="AE24" s="406">
        <v>6.9889739926554091</v>
      </c>
      <c r="AF24" s="69">
        <v>21.990280085802073</v>
      </c>
      <c r="AG24" s="68">
        <v>17.412932433187798</v>
      </c>
      <c r="AH24" s="68">
        <v>4.3230181760267792</v>
      </c>
      <c r="AI24" s="68">
        <v>0.80111207217253666</v>
      </c>
      <c r="AJ24" s="69">
        <v>221.99460215568541</v>
      </c>
      <c r="AK24" s="69">
        <v>783.22627134323136</v>
      </c>
      <c r="AL24" s="69">
        <v>2914.7707422892254</v>
      </c>
      <c r="AM24" s="69">
        <v>314.70941162109375</v>
      </c>
      <c r="AN24" s="69">
        <v>1248.4801025390625</v>
      </c>
      <c r="AO24" s="69">
        <v>2726.6323197682705</v>
      </c>
      <c r="AP24" s="69">
        <v>509.80956541697191</v>
      </c>
      <c r="AQ24" s="69">
        <v>2961.8217898050952</v>
      </c>
      <c r="AR24" s="69">
        <v>495.87741012573241</v>
      </c>
      <c r="AS24" s="69">
        <v>851.44554567337036</v>
      </c>
    </row>
    <row r="25" spans="1:45" x14ac:dyDescent="0.25">
      <c r="A25" s="11">
        <v>44365</v>
      </c>
      <c r="B25" s="59"/>
      <c r="C25" s="60">
        <v>74.139798156419189</v>
      </c>
      <c r="D25" s="60">
        <v>913.46417764027888</v>
      </c>
      <c r="E25" s="60">
        <v>17.630081386367458</v>
      </c>
      <c r="F25" s="60">
        <v>0</v>
      </c>
      <c r="G25" s="60">
        <v>2299.4134042104101</v>
      </c>
      <c r="H25" s="61">
        <v>27.89141333103186</v>
      </c>
      <c r="I25" s="59">
        <v>188.99268064498884</v>
      </c>
      <c r="J25" s="60">
        <v>660.02185796102015</v>
      </c>
      <c r="K25" s="60">
        <v>36.166473754247129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376.60180296302684</v>
      </c>
      <c r="V25" s="62">
        <v>173.86219966741444</v>
      </c>
      <c r="W25" s="62">
        <v>62.209233404382736</v>
      </c>
      <c r="X25" s="62">
        <v>28.719549599106493</v>
      </c>
      <c r="Y25" s="66">
        <v>310.43290527850485</v>
      </c>
      <c r="Z25" s="66">
        <v>143.31462923496878</v>
      </c>
      <c r="AA25" s="67">
        <v>0</v>
      </c>
      <c r="AB25" s="68">
        <v>109.18487450811688</v>
      </c>
      <c r="AC25" s="69">
        <v>0</v>
      </c>
      <c r="AD25" s="406">
        <v>15.562242851693284</v>
      </c>
      <c r="AE25" s="406">
        <v>6.9827653791394679</v>
      </c>
      <c r="AF25" s="69">
        <v>22.179130984014911</v>
      </c>
      <c r="AG25" s="68">
        <v>14.955111782931569</v>
      </c>
      <c r="AH25" s="68">
        <v>6.9041852970306152</v>
      </c>
      <c r="AI25" s="68">
        <v>0.6841533709078188</v>
      </c>
      <c r="AJ25" s="69">
        <v>215.19281363487244</v>
      </c>
      <c r="AK25" s="69">
        <v>777.106089814504</v>
      </c>
      <c r="AL25" s="69">
        <v>2912.3655394236248</v>
      </c>
      <c r="AM25" s="69">
        <v>314.70941162109375</v>
      </c>
      <c r="AN25" s="69">
        <v>1248.4801025390625</v>
      </c>
      <c r="AO25" s="69">
        <v>2741.0554520924884</v>
      </c>
      <c r="AP25" s="69">
        <v>495.89076120058689</v>
      </c>
      <c r="AQ25" s="69">
        <v>2826.0376528422039</v>
      </c>
      <c r="AR25" s="69">
        <v>513.08194370269769</v>
      </c>
      <c r="AS25" s="69">
        <v>838.54975560506182</v>
      </c>
    </row>
    <row r="26" spans="1:45" x14ac:dyDescent="0.25">
      <c r="A26" s="11">
        <v>44366</v>
      </c>
      <c r="B26" s="59"/>
      <c r="C26" s="60">
        <v>73.21570059855776</v>
      </c>
      <c r="D26" s="60">
        <v>913.80261675516692</v>
      </c>
      <c r="E26" s="60">
        <v>17.571602116525181</v>
      </c>
      <c r="F26" s="60">
        <v>0</v>
      </c>
      <c r="G26" s="60">
        <v>2199.7466476440472</v>
      </c>
      <c r="H26" s="61">
        <v>27.95132330457378</v>
      </c>
      <c r="I26" s="59">
        <v>189.40099996725712</v>
      </c>
      <c r="J26" s="60">
        <v>653.23319730758806</v>
      </c>
      <c r="K26" s="60">
        <v>35.753645177682294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378.92869998559178</v>
      </c>
      <c r="V26" s="62">
        <v>176.82257620018893</v>
      </c>
      <c r="W26" s="62">
        <v>61.885794538711203</v>
      </c>
      <c r="X26" s="62">
        <v>28.878270822311908</v>
      </c>
      <c r="Y26" s="66">
        <v>305.11629108836252</v>
      </c>
      <c r="Z26" s="66">
        <v>142.37889247487044</v>
      </c>
      <c r="AA26" s="67">
        <v>0</v>
      </c>
      <c r="AB26" s="68">
        <v>108.49992230203594</v>
      </c>
      <c r="AC26" s="69">
        <v>0</v>
      </c>
      <c r="AD26" s="406">
        <v>15.404189803495402</v>
      </c>
      <c r="AE26" s="406">
        <v>6.9843534887074963</v>
      </c>
      <c r="AF26" s="69">
        <v>22.306556162569244</v>
      </c>
      <c r="AG26" s="68">
        <v>14.99897144328602</v>
      </c>
      <c r="AH26" s="68">
        <v>6.9990918372130304</v>
      </c>
      <c r="AI26" s="68">
        <v>0.68183145270712908</v>
      </c>
      <c r="AJ26" s="69">
        <v>216.71304477055867</v>
      </c>
      <c r="AK26" s="69">
        <v>773.72875544230135</v>
      </c>
      <c r="AL26" s="69">
        <v>2884.7160458882654</v>
      </c>
      <c r="AM26" s="69">
        <v>314.70941162109375</v>
      </c>
      <c r="AN26" s="69">
        <v>1248.4801025390625</v>
      </c>
      <c r="AO26" s="69">
        <v>2697.042571640015</v>
      </c>
      <c r="AP26" s="69">
        <v>480.50151419639587</v>
      </c>
      <c r="AQ26" s="69">
        <v>2760.7940766652418</v>
      </c>
      <c r="AR26" s="69">
        <v>477.81837720870965</v>
      </c>
      <c r="AS26" s="69">
        <v>860.4068274497987</v>
      </c>
    </row>
    <row r="27" spans="1:45" x14ac:dyDescent="0.25">
      <c r="A27" s="11">
        <v>44367</v>
      </c>
      <c r="B27" s="59"/>
      <c r="C27" s="60">
        <v>73.816192654767576</v>
      </c>
      <c r="D27" s="60">
        <v>913.17696596781457</v>
      </c>
      <c r="E27" s="60">
        <v>17.473508538305733</v>
      </c>
      <c r="F27" s="60">
        <v>0</v>
      </c>
      <c r="G27" s="60">
        <v>2222.993746693925</v>
      </c>
      <c r="H27" s="61">
        <v>27.956780578692793</v>
      </c>
      <c r="I27" s="59">
        <v>189.48956407705967</v>
      </c>
      <c r="J27" s="60">
        <v>653.30947802861681</v>
      </c>
      <c r="K27" s="60">
        <v>35.662644745906221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377.09235849469309</v>
      </c>
      <c r="V27" s="62">
        <v>176.02328642650917</v>
      </c>
      <c r="W27" s="62">
        <v>61.863910361379837</v>
      </c>
      <c r="X27" s="62">
        <v>28.877511218934718</v>
      </c>
      <c r="Y27" s="66">
        <v>293.80489935257316</v>
      </c>
      <c r="Z27" s="66">
        <v>137.14545730572661</v>
      </c>
      <c r="AA27" s="67">
        <v>0</v>
      </c>
      <c r="AB27" s="68">
        <v>108.25227667490697</v>
      </c>
      <c r="AC27" s="69">
        <v>0</v>
      </c>
      <c r="AD27" s="406">
        <v>15.40524150383354</v>
      </c>
      <c r="AE27" s="406">
        <v>6.9806961058775245</v>
      </c>
      <c r="AF27" s="69">
        <v>22.187939973672265</v>
      </c>
      <c r="AG27" s="68">
        <v>14.922146604544812</v>
      </c>
      <c r="AH27" s="68">
        <v>6.9655224421820749</v>
      </c>
      <c r="AI27" s="68">
        <v>0.68176042742094967</v>
      </c>
      <c r="AJ27" s="69">
        <v>222.50828714370729</v>
      </c>
      <c r="AK27" s="69">
        <v>766.85084149042757</v>
      </c>
      <c r="AL27" s="69">
        <v>2765.7478099822997</v>
      </c>
      <c r="AM27" s="69">
        <v>314.70941162109375</v>
      </c>
      <c r="AN27" s="69">
        <v>1248.4801025390625</v>
      </c>
      <c r="AO27" s="69">
        <v>2684.2814261118574</v>
      </c>
      <c r="AP27" s="69">
        <v>469.75088024139416</v>
      </c>
      <c r="AQ27" s="69">
        <v>2700.0510653813681</v>
      </c>
      <c r="AR27" s="69">
        <v>460.74335587819417</v>
      </c>
      <c r="AS27" s="69">
        <v>842.40872821807864</v>
      </c>
    </row>
    <row r="28" spans="1:45" x14ac:dyDescent="0.25">
      <c r="A28" s="11">
        <v>44368</v>
      </c>
      <c r="B28" s="59"/>
      <c r="C28" s="60">
        <v>74.647404019037054</v>
      </c>
      <c r="D28" s="60">
        <v>968.63028074900387</v>
      </c>
      <c r="E28" s="60">
        <v>17.425536250571398</v>
      </c>
      <c r="F28" s="60">
        <v>0</v>
      </c>
      <c r="G28" s="60">
        <v>2259.9524059295677</v>
      </c>
      <c r="H28" s="61">
        <v>27.938838618993827</v>
      </c>
      <c r="I28" s="59">
        <v>198.93005275726344</v>
      </c>
      <c r="J28" s="60">
        <v>653.31478249232168</v>
      </c>
      <c r="K28" s="60">
        <v>35.630672687292154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372.83709749288437</v>
      </c>
      <c r="V28" s="62">
        <v>174.01716352396295</v>
      </c>
      <c r="W28" s="62">
        <v>61.877361475547964</v>
      </c>
      <c r="X28" s="62">
        <v>28.880503047385993</v>
      </c>
      <c r="Y28" s="66">
        <v>292.61604891931904</v>
      </c>
      <c r="Z28" s="66">
        <v>136.57496846997876</v>
      </c>
      <c r="AA28" s="67">
        <v>0</v>
      </c>
      <c r="AB28" s="68">
        <v>108.29960155487289</v>
      </c>
      <c r="AC28" s="69">
        <v>0</v>
      </c>
      <c r="AD28" s="406">
        <v>15.404707641030235</v>
      </c>
      <c r="AE28" s="406">
        <v>6.9870852550777451</v>
      </c>
      <c r="AF28" s="69">
        <v>22.131565331088193</v>
      </c>
      <c r="AG28" s="68">
        <v>14.880170483024665</v>
      </c>
      <c r="AH28" s="68">
        <v>6.9451379104204305</v>
      </c>
      <c r="AI28" s="68">
        <v>0.68178511912774165</v>
      </c>
      <c r="AJ28" s="69">
        <v>243.07268937428796</v>
      </c>
      <c r="AK28" s="69">
        <v>773.19382797876983</v>
      </c>
      <c r="AL28" s="69">
        <v>2733.2996135711669</v>
      </c>
      <c r="AM28" s="69">
        <v>314.70941162109375</v>
      </c>
      <c r="AN28" s="69">
        <v>1248.4801025390625</v>
      </c>
      <c r="AO28" s="69">
        <v>2609.0719975789389</v>
      </c>
      <c r="AP28" s="69">
        <v>429.03096105257663</v>
      </c>
      <c r="AQ28" s="69">
        <v>2696.3994107564295</v>
      </c>
      <c r="AR28" s="69">
        <v>436.84751685460407</v>
      </c>
      <c r="AS28" s="69">
        <v>720.93160057067871</v>
      </c>
    </row>
    <row r="29" spans="1:45" x14ac:dyDescent="0.25">
      <c r="A29" s="11">
        <v>44369</v>
      </c>
      <c r="B29" s="59"/>
      <c r="C29" s="60">
        <v>73.65646512905748</v>
      </c>
      <c r="D29" s="60">
        <v>912.66563682556296</v>
      </c>
      <c r="E29" s="60">
        <v>17.42735196699698</v>
      </c>
      <c r="F29" s="60">
        <v>0</v>
      </c>
      <c r="G29" s="60">
        <v>2280.7160152435304</v>
      </c>
      <c r="H29" s="61">
        <v>27.834732550382679</v>
      </c>
      <c r="I29" s="59">
        <v>199.22010162671438</v>
      </c>
      <c r="J29" s="60">
        <v>652.75831410090245</v>
      </c>
      <c r="K29" s="60">
        <v>35.659206038713528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292.35302206224537</v>
      </c>
      <c r="V29" s="62">
        <v>130.5324819186032</v>
      </c>
      <c r="W29" s="62">
        <v>46.778471436117513</v>
      </c>
      <c r="X29" s="62">
        <v>20.886084685708653</v>
      </c>
      <c r="Y29" s="66">
        <v>213.18082528441911</v>
      </c>
      <c r="Z29" s="66">
        <v>95.182947060169781</v>
      </c>
      <c r="AA29" s="67">
        <v>0</v>
      </c>
      <c r="AB29" s="68">
        <v>92.748097505834366</v>
      </c>
      <c r="AC29" s="69">
        <v>0</v>
      </c>
      <c r="AD29" s="406">
        <v>15.39377395748933</v>
      </c>
      <c r="AE29" s="406">
        <v>6.9763654485214293</v>
      </c>
      <c r="AF29" s="69">
        <v>16.315926211410133</v>
      </c>
      <c r="AG29" s="68">
        <v>11.400213990818024</v>
      </c>
      <c r="AH29" s="68">
        <v>5.0900730087470318</v>
      </c>
      <c r="AI29" s="68">
        <v>0.69132902241899807</v>
      </c>
      <c r="AJ29" s="69">
        <v>230.43838405609128</v>
      </c>
      <c r="AK29" s="69">
        <v>780.78654298782374</v>
      </c>
      <c r="AL29" s="69">
        <v>2876.3321942647299</v>
      </c>
      <c r="AM29" s="69">
        <v>314.70941162109375</v>
      </c>
      <c r="AN29" s="69">
        <v>1248.4801025390625</v>
      </c>
      <c r="AO29" s="69">
        <v>2536.3847292582204</v>
      </c>
      <c r="AP29" s="69">
        <v>445.72019357681273</v>
      </c>
      <c r="AQ29" s="69">
        <v>2130.4213467121126</v>
      </c>
      <c r="AR29" s="69">
        <v>440.98251927693684</v>
      </c>
      <c r="AS29" s="69">
        <v>844.68281345367438</v>
      </c>
    </row>
    <row r="30" spans="1:45" x14ac:dyDescent="0.25">
      <c r="A30" s="11">
        <v>44370</v>
      </c>
      <c r="B30" s="59"/>
      <c r="C30" s="60">
        <v>73.179211445649344</v>
      </c>
      <c r="D30" s="60">
        <v>910.1443429946911</v>
      </c>
      <c r="E30" s="60">
        <v>17.524118656913416</v>
      </c>
      <c r="F30" s="60">
        <v>0</v>
      </c>
      <c r="G30" s="60">
        <v>2391.7450523376447</v>
      </c>
      <c r="H30" s="61">
        <v>27.809441262483656</v>
      </c>
      <c r="I30" s="59">
        <v>201.47529799143516</v>
      </c>
      <c r="J30" s="60">
        <v>653.79184783299945</v>
      </c>
      <c r="K30" s="60">
        <v>35.959215803941092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376.65924565712533</v>
      </c>
      <c r="V30" s="62">
        <v>175.79233335203989</v>
      </c>
      <c r="W30" s="62">
        <v>62.430218430477701</v>
      </c>
      <c r="X30" s="62">
        <v>29.137088485441215</v>
      </c>
      <c r="Y30" s="66">
        <v>283.63921207766776</v>
      </c>
      <c r="Z30" s="66">
        <v>132.37853443442765</v>
      </c>
      <c r="AA30" s="67">
        <v>0</v>
      </c>
      <c r="AB30" s="68">
        <v>108.26556629604735</v>
      </c>
      <c r="AC30" s="69">
        <v>0</v>
      </c>
      <c r="AD30" s="406">
        <v>15.414396744505801</v>
      </c>
      <c r="AE30" s="406">
        <v>6.9571258403571479</v>
      </c>
      <c r="AF30" s="69">
        <v>22.164186974035363</v>
      </c>
      <c r="AG30" s="68">
        <v>14.924242548454473</v>
      </c>
      <c r="AH30" s="68">
        <v>6.9653604719764477</v>
      </c>
      <c r="AI30" s="68">
        <v>0.6817959436964095</v>
      </c>
      <c r="AJ30" s="69">
        <v>214.76791763305664</v>
      </c>
      <c r="AK30" s="69">
        <v>774.14286416371658</v>
      </c>
      <c r="AL30" s="69">
        <v>2856.0700073242183</v>
      </c>
      <c r="AM30" s="69">
        <v>314.70941162109375</v>
      </c>
      <c r="AN30" s="69">
        <v>1248.4801025390625</v>
      </c>
      <c r="AO30" s="69">
        <v>2720.9164489746095</v>
      </c>
      <c r="AP30" s="69">
        <v>473.21868629455571</v>
      </c>
      <c r="AQ30" s="69">
        <v>2785.3591322580974</v>
      </c>
      <c r="AR30" s="69">
        <v>467.08859667778023</v>
      </c>
      <c r="AS30" s="69">
        <v>870.92927341461154</v>
      </c>
    </row>
    <row r="31" spans="1:45" x14ac:dyDescent="0.25">
      <c r="A31" s="11">
        <v>44371</v>
      </c>
      <c r="B31" s="59"/>
      <c r="C31" s="60">
        <v>72.707222374280178</v>
      </c>
      <c r="D31" s="60">
        <v>946.70904916127449</v>
      </c>
      <c r="E31" s="60">
        <v>17.467192957301929</v>
      </c>
      <c r="F31" s="60">
        <v>0</v>
      </c>
      <c r="G31" s="60">
        <v>2533.9842220306386</v>
      </c>
      <c r="H31" s="61">
        <v>27.815184736251879</v>
      </c>
      <c r="I31" s="59">
        <v>208.8703416506454</v>
      </c>
      <c r="J31" s="60">
        <v>653.39842672348129</v>
      </c>
      <c r="K31" s="60">
        <v>36.021656328439768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363.83323847734681</v>
      </c>
      <c r="V31" s="62">
        <v>169.88705102850381</v>
      </c>
      <c r="W31" s="62">
        <v>60.193245257535935</v>
      </c>
      <c r="X31" s="62">
        <v>28.106428569953078</v>
      </c>
      <c r="Y31" s="66">
        <v>280.99929330035519</v>
      </c>
      <c r="Z31" s="66">
        <v>131.20885128493626</v>
      </c>
      <c r="AA31" s="67">
        <v>0</v>
      </c>
      <c r="AB31" s="68">
        <v>108.28024921417422</v>
      </c>
      <c r="AC31" s="69">
        <v>0</v>
      </c>
      <c r="AD31" s="406">
        <v>15.410026752971824</v>
      </c>
      <c r="AE31" s="406">
        <v>6.9589691853147269</v>
      </c>
      <c r="AF31" s="69">
        <v>22.059529744254199</v>
      </c>
      <c r="AG31" s="68">
        <v>14.79050192006804</v>
      </c>
      <c r="AH31" s="68">
        <v>6.906226503514552</v>
      </c>
      <c r="AI31" s="68">
        <v>0.68169272488067645</v>
      </c>
      <c r="AJ31" s="69">
        <v>224.82050716082256</v>
      </c>
      <c r="AK31" s="69">
        <v>778.38452736536669</v>
      </c>
      <c r="AL31" s="69">
        <v>2872.7852568308513</v>
      </c>
      <c r="AM31" s="69">
        <v>314.70941162109375</v>
      </c>
      <c r="AN31" s="69">
        <v>1248.4801025390625</v>
      </c>
      <c r="AO31" s="69">
        <v>2669.985789235433</v>
      </c>
      <c r="AP31" s="69">
        <v>465.46184717814123</v>
      </c>
      <c r="AQ31" s="69">
        <v>2823.7402292887373</v>
      </c>
      <c r="AR31" s="69">
        <v>463.13815263112389</v>
      </c>
      <c r="AS31" s="69">
        <v>895.37615782419834</v>
      </c>
    </row>
    <row r="32" spans="1:45" x14ac:dyDescent="0.25">
      <c r="A32" s="11">
        <v>44372</v>
      </c>
      <c r="B32" s="59"/>
      <c r="C32" s="60">
        <v>73.334779290358213</v>
      </c>
      <c r="D32" s="60">
        <v>901.57592074076524</v>
      </c>
      <c r="E32" s="60">
        <v>17.389201623698039</v>
      </c>
      <c r="F32" s="60">
        <v>0</v>
      </c>
      <c r="G32" s="60">
        <v>2291.9973775227868</v>
      </c>
      <c r="H32" s="61">
        <v>27.870688261588441</v>
      </c>
      <c r="I32" s="59">
        <v>209.55766749382059</v>
      </c>
      <c r="J32" s="60">
        <v>653.88649183909149</v>
      </c>
      <c r="K32" s="60">
        <v>35.920694633324963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362.20706101874578</v>
      </c>
      <c r="V32" s="62">
        <v>137.32718430273991</v>
      </c>
      <c r="W32" s="62">
        <v>59.513212670678548</v>
      </c>
      <c r="X32" s="62">
        <v>22.56383931855887</v>
      </c>
      <c r="Y32" s="66">
        <v>276.35750134889372</v>
      </c>
      <c r="Z32" s="66">
        <v>104.77818244194877</v>
      </c>
      <c r="AA32" s="67">
        <v>0</v>
      </c>
      <c r="AB32" s="68">
        <v>108.42820281982509</v>
      </c>
      <c r="AC32" s="69">
        <v>0</v>
      </c>
      <c r="AD32" s="406">
        <v>15.420813917643816</v>
      </c>
      <c r="AE32" s="406">
        <v>6.9608757376132893</v>
      </c>
      <c r="AF32" s="69">
        <v>20.342753065625843</v>
      </c>
      <c r="AG32" s="68">
        <v>14.513975567567378</v>
      </c>
      <c r="AH32" s="68">
        <v>5.5028286641536068</v>
      </c>
      <c r="AI32" s="68">
        <v>0.72508954973775597</v>
      </c>
      <c r="AJ32" s="69">
        <v>259.52101682027183</v>
      </c>
      <c r="AK32" s="69">
        <v>809.36040436426811</v>
      </c>
      <c r="AL32" s="69">
        <v>2802.9977293650309</v>
      </c>
      <c r="AM32" s="69">
        <v>314.70941162109375</v>
      </c>
      <c r="AN32" s="69">
        <v>1248.4801025390625</v>
      </c>
      <c r="AO32" s="69">
        <v>2618.8689189910883</v>
      </c>
      <c r="AP32" s="69">
        <v>448.92761440277104</v>
      </c>
      <c r="AQ32" s="69">
        <v>2574.6982793807988</v>
      </c>
      <c r="AR32" s="69">
        <v>446.96017029285429</v>
      </c>
      <c r="AS32" s="69">
        <v>724.11853466033904</v>
      </c>
    </row>
    <row r="33" spans="1:45" x14ac:dyDescent="0.25">
      <c r="A33" s="11">
        <v>44373</v>
      </c>
      <c r="B33" s="59"/>
      <c r="C33" s="60">
        <v>73.752740395068869</v>
      </c>
      <c r="D33" s="60">
        <v>902.54945271810072</v>
      </c>
      <c r="E33" s="60">
        <v>17.429094341893979</v>
      </c>
      <c r="F33" s="60">
        <v>0</v>
      </c>
      <c r="G33" s="60">
        <v>2361.7194915771506</v>
      </c>
      <c r="H33" s="61">
        <v>27.973903296391267</v>
      </c>
      <c r="I33" s="59">
        <v>150.28510024547589</v>
      </c>
      <c r="J33" s="60">
        <v>467.80856227874739</v>
      </c>
      <c r="K33" s="60">
        <v>25.725580901900869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264.76660752780111</v>
      </c>
      <c r="V33" s="62">
        <v>175.69163560913398</v>
      </c>
      <c r="W33" s="62">
        <v>42.437258885530227</v>
      </c>
      <c r="X33" s="62">
        <v>28.160165263983203</v>
      </c>
      <c r="Y33" s="66">
        <v>198.81672866207217</v>
      </c>
      <c r="Z33" s="66">
        <v>131.92916044531435</v>
      </c>
      <c r="AA33" s="67">
        <v>0</v>
      </c>
      <c r="AB33" s="68">
        <v>87.196974394056966</v>
      </c>
      <c r="AC33" s="69">
        <v>0</v>
      </c>
      <c r="AD33" s="406">
        <v>11.030168672625846</v>
      </c>
      <c r="AE33" s="406">
        <v>6.9677591167553414</v>
      </c>
      <c r="AF33" s="69">
        <v>17.475169477860131</v>
      </c>
      <c r="AG33" s="68">
        <v>10.337808359388401</v>
      </c>
      <c r="AH33" s="68">
        <v>6.859877369860599</v>
      </c>
      <c r="AI33" s="68">
        <v>0.6011162502990941</v>
      </c>
      <c r="AJ33" s="69">
        <v>204.31705114841463</v>
      </c>
      <c r="AK33" s="69">
        <v>733.95197391510021</v>
      </c>
      <c r="AL33" s="69">
        <v>2854.6001434326172</v>
      </c>
      <c r="AM33" s="69">
        <v>314.70941162109375</v>
      </c>
      <c r="AN33" s="69">
        <v>1248.4801025390625</v>
      </c>
      <c r="AO33" s="69">
        <v>2581.8419424692793</v>
      </c>
      <c r="AP33" s="69">
        <v>446.03191183408109</v>
      </c>
      <c r="AQ33" s="69">
        <v>2168.3261225382489</v>
      </c>
      <c r="AR33" s="69">
        <v>417.05609830220538</v>
      </c>
      <c r="AS33" s="69">
        <v>560.73931016921983</v>
      </c>
    </row>
    <row r="34" spans="1:45" x14ac:dyDescent="0.25">
      <c r="A34" s="11">
        <v>44374</v>
      </c>
      <c r="B34" s="59"/>
      <c r="C34" s="60">
        <v>73.325864982605196</v>
      </c>
      <c r="D34" s="60">
        <v>902.56577663421444</v>
      </c>
      <c r="E34" s="60">
        <v>17.423030436038971</v>
      </c>
      <c r="F34" s="60">
        <v>0</v>
      </c>
      <c r="G34" s="60">
        <v>2316.5517439524383</v>
      </c>
      <c r="H34" s="61">
        <v>27.836497940619886</v>
      </c>
      <c r="I34" s="59">
        <v>209.93508234818805</v>
      </c>
      <c r="J34" s="60">
        <v>587.49809872309447</v>
      </c>
      <c r="K34" s="60">
        <v>32.225371472040756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361.99516867277163</v>
      </c>
      <c r="V34" s="62">
        <v>169.67131060749304</v>
      </c>
      <c r="W34" s="62">
        <v>60.970501250222206</v>
      </c>
      <c r="X34" s="62">
        <v>28.577577135766663</v>
      </c>
      <c r="Y34" s="66">
        <v>276.97972406088797</v>
      </c>
      <c r="Z34" s="66">
        <v>129.82359119713723</v>
      </c>
      <c r="AA34" s="67">
        <v>0</v>
      </c>
      <c r="AB34" s="68">
        <v>108.60363808737938</v>
      </c>
      <c r="AC34" s="69">
        <v>0</v>
      </c>
      <c r="AD34" s="406">
        <v>15.446546548682507</v>
      </c>
      <c r="AE34" s="406">
        <v>6.9688125025696124</v>
      </c>
      <c r="AF34" s="69">
        <v>21.934858571820804</v>
      </c>
      <c r="AG34" s="68">
        <v>14.692732583257499</v>
      </c>
      <c r="AH34" s="68">
        <v>6.8866532195633381</v>
      </c>
      <c r="AI34" s="68">
        <v>0.68086889578371956</v>
      </c>
      <c r="AJ34" s="69">
        <v>202.69871011575066</v>
      </c>
      <c r="AK34" s="69">
        <v>735.93494068781524</v>
      </c>
      <c r="AL34" s="69">
        <v>2800.5784947713214</v>
      </c>
      <c r="AM34" s="69">
        <v>314.70941162109375</v>
      </c>
      <c r="AN34" s="69">
        <v>1248.4801025390625</v>
      </c>
      <c r="AO34" s="69">
        <v>2638.7341993967693</v>
      </c>
      <c r="AP34" s="69">
        <v>442.00898164113363</v>
      </c>
      <c r="AQ34" s="69">
        <v>2845.6882470448809</v>
      </c>
      <c r="AR34" s="69">
        <v>421.35902903874722</v>
      </c>
      <c r="AS34" s="69">
        <v>548.56406396230057</v>
      </c>
    </row>
    <row r="35" spans="1:45" x14ac:dyDescent="0.25">
      <c r="A35" s="11">
        <v>44375</v>
      </c>
      <c r="B35" s="65"/>
      <c r="C35" s="66">
        <v>73.570171471436737</v>
      </c>
      <c r="D35" s="66">
        <v>902.88788642883389</v>
      </c>
      <c r="E35" s="66">
        <v>17.389153519769504</v>
      </c>
      <c r="F35" s="66">
        <v>0</v>
      </c>
      <c r="G35" s="66">
        <v>2296.8411960601888</v>
      </c>
      <c r="H35" s="67">
        <v>27.859185027082816</v>
      </c>
      <c r="I35" s="71">
        <v>208.62947759628338</v>
      </c>
      <c r="J35" s="66">
        <v>569.78180224100777</v>
      </c>
      <c r="K35" s="66">
        <v>31.443196032444579</v>
      </c>
      <c r="L35" s="66">
        <v>0</v>
      </c>
      <c r="M35" s="66">
        <v>0</v>
      </c>
      <c r="N35" s="67">
        <v>0</v>
      </c>
      <c r="O35" s="71">
        <v>0</v>
      </c>
      <c r="P35" s="66">
        <v>0</v>
      </c>
      <c r="Q35" s="66">
        <v>0</v>
      </c>
      <c r="R35" s="387">
        <v>0</v>
      </c>
      <c r="S35" s="66">
        <v>0</v>
      </c>
      <c r="T35" s="389">
        <v>0</v>
      </c>
      <c r="U35" s="71">
        <v>363.53781595885408</v>
      </c>
      <c r="V35" s="66">
        <v>169.6690242383998</v>
      </c>
      <c r="W35" s="62">
        <v>61.904207275202992</v>
      </c>
      <c r="X35" s="62">
        <v>28.891702550757795</v>
      </c>
      <c r="Y35" s="66">
        <v>276.87606492789996</v>
      </c>
      <c r="Z35" s="66">
        <v>129.22257247813141</v>
      </c>
      <c r="AA35" s="67">
        <v>0</v>
      </c>
      <c r="AB35" s="68">
        <v>108.10099654197849</v>
      </c>
      <c r="AC35" s="388">
        <v>0</v>
      </c>
      <c r="AD35" s="406">
        <v>15.356803464803932</v>
      </c>
      <c r="AE35" s="406">
        <v>6.9712593082419261</v>
      </c>
      <c r="AF35" s="388">
        <v>21.917709897292948</v>
      </c>
      <c r="AG35" s="68">
        <v>14.819060802651311</v>
      </c>
      <c r="AH35" s="68">
        <v>6.9162972217447232</v>
      </c>
      <c r="AI35" s="68">
        <v>0.68179510942576682</v>
      </c>
      <c r="AJ35" s="388">
        <v>211.2869249343872</v>
      </c>
      <c r="AK35" s="388">
        <v>742.19735002517689</v>
      </c>
      <c r="AL35" s="388">
        <v>2765.3137798309326</v>
      </c>
      <c r="AM35" s="388">
        <v>314.70941162109375</v>
      </c>
      <c r="AN35" s="388">
        <v>1248.4801025390625</v>
      </c>
      <c r="AO35" s="388">
        <v>2659.2919576009108</v>
      </c>
      <c r="AP35" s="388">
        <v>438.40856982866921</v>
      </c>
      <c r="AQ35" s="388">
        <v>2704.6273864746095</v>
      </c>
      <c r="AR35" s="388">
        <v>423.33948030471805</v>
      </c>
      <c r="AS35" s="388">
        <v>583.8478132247925</v>
      </c>
    </row>
    <row r="36" spans="1:45" x14ac:dyDescent="0.25">
      <c r="A36" s="11">
        <v>44376</v>
      </c>
      <c r="B36" s="65"/>
      <c r="C36" s="66">
        <v>73.698591995239497</v>
      </c>
      <c r="D36" s="66">
        <v>901.67286065419546</v>
      </c>
      <c r="E36" s="66">
        <v>17.400616429746155</v>
      </c>
      <c r="F36" s="66">
        <v>0</v>
      </c>
      <c r="G36" s="66">
        <v>2299.8621796925913</v>
      </c>
      <c r="H36" s="67">
        <v>27.822532723347422</v>
      </c>
      <c r="I36" s="387">
        <v>204.28461028734898</v>
      </c>
      <c r="J36" s="66">
        <v>569.84404052098728</v>
      </c>
      <c r="K36" s="66">
        <v>31.433775230248763</v>
      </c>
      <c r="L36" s="66">
        <v>0</v>
      </c>
      <c r="M36" s="66">
        <v>0</v>
      </c>
      <c r="N36" s="389">
        <v>0</v>
      </c>
      <c r="O36" s="71">
        <v>0</v>
      </c>
      <c r="P36" s="66">
        <v>0</v>
      </c>
      <c r="Q36" s="66">
        <v>0</v>
      </c>
      <c r="R36" s="66">
        <v>0</v>
      </c>
      <c r="S36" s="66">
        <v>0</v>
      </c>
      <c r="T36" s="389">
        <v>0</v>
      </c>
      <c r="U36" s="71">
        <v>364.56395751412776</v>
      </c>
      <c r="V36" s="66">
        <v>170.12802820958527</v>
      </c>
      <c r="W36" s="62">
        <v>61.812821376779532</v>
      </c>
      <c r="X36" s="62">
        <v>28.845674955389079</v>
      </c>
      <c r="Y36" s="66">
        <v>274.93799672600591</v>
      </c>
      <c r="Z36" s="66">
        <v>128.30302694164757</v>
      </c>
      <c r="AA36" s="389">
        <v>0</v>
      </c>
      <c r="AB36" s="430">
        <v>108.25568189091366</v>
      </c>
      <c r="AC36" s="388">
        <v>0</v>
      </c>
      <c r="AD36" s="406">
        <v>15.353640647686451</v>
      </c>
      <c r="AE36" s="406">
        <v>6.9622516659380116</v>
      </c>
      <c r="AF36" s="388">
        <v>22.18135853045516</v>
      </c>
      <c r="AG36" s="68">
        <v>14.910818992942504</v>
      </c>
      <c r="AH36" s="68">
        <v>6.9583078139616603</v>
      </c>
      <c r="AI36" s="68">
        <v>0.68182050086403556</v>
      </c>
      <c r="AJ36" s="388">
        <v>215.98150993982952</v>
      </c>
      <c r="AK36" s="388">
        <v>752.48242352803538</v>
      </c>
      <c r="AL36" s="388">
        <v>2732.6120436350507</v>
      </c>
      <c r="AM36" s="388">
        <v>314.70941162109375</v>
      </c>
      <c r="AN36" s="388">
        <v>1248.4801025390625</v>
      </c>
      <c r="AO36" s="388">
        <v>2675.875377273559</v>
      </c>
      <c r="AP36" s="388">
        <v>450.91740148862209</v>
      </c>
      <c r="AQ36" s="388">
        <v>2741.9428279240924</v>
      </c>
      <c r="AR36" s="388">
        <v>424.64918147722881</v>
      </c>
      <c r="AS36" s="388">
        <v>732.62875003814702</v>
      </c>
    </row>
    <row r="37" spans="1:45" x14ac:dyDescent="0.25">
      <c r="A37" s="11">
        <v>44377</v>
      </c>
      <c r="B37" s="393"/>
      <c r="C37" s="80">
        <v>78.179235231876817</v>
      </c>
      <c r="D37" s="80">
        <v>946.62918852170117</v>
      </c>
      <c r="E37" s="80">
        <v>18.214423409104398</v>
      </c>
      <c r="F37" s="80">
        <v>0</v>
      </c>
      <c r="G37" s="80">
        <v>2464.3417332967142</v>
      </c>
      <c r="H37" s="82">
        <v>29.681495342652003</v>
      </c>
      <c r="I37" s="435">
        <v>227.72115087509124</v>
      </c>
      <c r="J37" s="80">
        <v>654.66952727635794</v>
      </c>
      <c r="K37" s="80">
        <v>35.795888892809593</v>
      </c>
      <c r="L37" s="80">
        <v>0</v>
      </c>
      <c r="M37" s="80">
        <v>0</v>
      </c>
      <c r="N37" s="436">
        <v>0</v>
      </c>
      <c r="O37" s="79">
        <v>0</v>
      </c>
      <c r="P37" s="80">
        <v>0</v>
      </c>
      <c r="Q37" s="80">
        <v>0</v>
      </c>
      <c r="R37" s="80">
        <v>0</v>
      </c>
      <c r="S37" s="80">
        <v>0</v>
      </c>
      <c r="T37" s="436">
        <v>0</v>
      </c>
      <c r="U37" s="79">
        <v>414.2793546137533</v>
      </c>
      <c r="V37" s="80">
        <v>178.72808052791413</v>
      </c>
      <c r="W37" s="81">
        <v>70.461604103776281</v>
      </c>
      <c r="X37" s="81">
        <v>30.398491047489074</v>
      </c>
      <c r="Y37" s="80">
        <v>314.16424454589583</v>
      </c>
      <c r="Z37" s="80">
        <v>135.53649674515086</v>
      </c>
      <c r="AA37" s="436">
        <v>0</v>
      </c>
      <c r="AB37" s="437">
        <v>122.5367828687028</v>
      </c>
      <c r="AC37" s="438">
        <v>0</v>
      </c>
      <c r="AD37" s="439">
        <v>17.659201324714836</v>
      </c>
      <c r="AE37" s="439">
        <v>7.4190246436249421</v>
      </c>
      <c r="AF37" s="438">
        <v>24.720096562306061</v>
      </c>
      <c r="AG37" s="394">
        <v>17.086805675884982</v>
      </c>
      <c r="AH37" s="394">
        <v>7.3715765625145346</v>
      </c>
      <c r="AI37" s="394">
        <v>0.69860735306764477</v>
      </c>
      <c r="AJ37" s="438">
        <v>226.79237642288209</v>
      </c>
      <c r="AK37" s="438">
        <v>778.90754057566335</v>
      </c>
      <c r="AL37" s="438">
        <v>2762.1800140380865</v>
      </c>
      <c r="AM37" s="438">
        <v>314.70941162109375</v>
      </c>
      <c r="AN37" s="438">
        <v>1248.4801025390625</v>
      </c>
      <c r="AO37" s="438">
        <v>2736.7617057800294</v>
      </c>
      <c r="AP37" s="438">
        <v>444.79306836128228</v>
      </c>
      <c r="AQ37" s="438">
        <v>2971.7518332799277</v>
      </c>
      <c r="AR37" s="438">
        <v>415.76706479390458</v>
      </c>
      <c r="AS37" s="438">
        <v>825.9133038520813</v>
      </c>
    </row>
    <row r="38" spans="1:45" ht="15.75" thickBot="1" x14ac:dyDescent="0.3">
      <c r="A38" s="11"/>
      <c r="B38" s="423"/>
      <c r="C38" s="424"/>
      <c r="D38" s="424"/>
      <c r="E38" s="424"/>
      <c r="F38" s="424"/>
      <c r="G38" s="424"/>
      <c r="H38" s="425"/>
      <c r="I38" s="426"/>
      <c r="J38" s="424"/>
      <c r="K38" s="424"/>
      <c r="L38" s="424"/>
      <c r="M38" s="424"/>
      <c r="N38" s="428"/>
      <c r="O38" s="429"/>
      <c r="P38" s="424"/>
      <c r="Q38" s="424"/>
      <c r="R38" s="424"/>
      <c r="S38" s="424"/>
      <c r="T38" s="428"/>
      <c r="U38" s="429"/>
      <c r="V38" s="424"/>
      <c r="W38" s="427"/>
      <c r="X38" s="427"/>
      <c r="Y38" s="424"/>
      <c r="Z38" s="424"/>
      <c r="AA38" s="428"/>
      <c r="AB38" s="431"/>
      <c r="AC38" s="432"/>
      <c r="AD38" s="433"/>
      <c r="AE38" s="433"/>
      <c r="AF38" s="432"/>
      <c r="AG38" s="434"/>
      <c r="AH38" s="434"/>
      <c r="AI38" s="434"/>
      <c r="AJ38" s="432"/>
      <c r="AK38" s="432"/>
      <c r="AL38" s="432"/>
      <c r="AM38" s="432"/>
      <c r="AN38" s="432"/>
      <c r="AO38" s="432"/>
      <c r="AP38" s="432"/>
      <c r="AQ38" s="432"/>
      <c r="AR38" s="432"/>
      <c r="AS38" s="432"/>
    </row>
    <row r="39" spans="1:45" ht="15.75" thickTop="1" x14ac:dyDescent="0.25">
      <c r="A39" s="46" t="s">
        <v>171</v>
      </c>
      <c r="B39" s="414">
        <f t="shared" ref="B39" si="0">SUM(B8:B35)</f>
        <v>0</v>
      </c>
      <c r="C39" s="415">
        <f t="shared" ref="C39:AC39" si="1">SUM(C8:C38)</f>
        <v>1932.2735697229671</v>
      </c>
      <c r="D39" s="415">
        <f t="shared" si="1"/>
        <v>24179.527839100363</v>
      </c>
      <c r="E39" s="415">
        <f t="shared" si="1"/>
        <v>456.932937613626</v>
      </c>
      <c r="F39" s="415">
        <f t="shared" si="1"/>
        <v>0</v>
      </c>
      <c r="G39" s="415">
        <f t="shared" si="1"/>
        <v>70724.891360855152</v>
      </c>
      <c r="H39" s="416">
        <f t="shared" si="1"/>
        <v>729.27208314140796</v>
      </c>
      <c r="I39" s="414">
        <f t="shared" si="1"/>
        <v>5605.4286027431508</v>
      </c>
      <c r="J39" s="415">
        <f t="shared" si="1"/>
        <v>17621.259069172553</v>
      </c>
      <c r="K39" s="415">
        <f t="shared" si="1"/>
        <v>965.91338900178675</v>
      </c>
      <c r="L39" s="415">
        <f t="shared" si="1"/>
        <v>0</v>
      </c>
      <c r="M39" s="415">
        <f t="shared" si="1"/>
        <v>0</v>
      </c>
      <c r="N39" s="416">
        <f t="shared" si="1"/>
        <v>0</v>
      </c>
      <c r="O39" s="417">
        <f t="shared" si="1"/>
        <v>0</v>
      </c>
      <c r="P39" s="418">
        <f t="shared" si="1"/>
        <v>0</v>
      </c>
      <c r="Q39" s="418">
        <f t="shared" si="1"/>
        <v>0</v>
      </c>
      <c r="R39" s="418">
        <f t="shared" si="1"/>
        <v>0</v>
      </c>
      <c r="S39" s="418">
        <f t="shared" si="1"/>
        <v>0</v>
      </c>
      <c r="T39" s="419">
        <f t="shared" si="1"/>
        <v>0</v>
      </c>
      <c r="U39" s="417">
        <f t="shared" si="1"/>
        <v>10261.952279432808</v>
      </c>
      <c r="V39" s="418">
        <f t="shared" si="1"/>
        <v>4237.1907436582678</v>
      </c>
      <c r="W39" s="418">
        <f t="shared" si="1"/>
        <v>1673.4555557823119</v>
      </c>
      <c r="X39" s="418">
        <f t="shared" si="1"/>
        <v>688.42562706018418</v>
      </c>
      <c r="Y39" s="418">
        <f t="shared" si="1"/>
        <v>8158.3037517006151</v>
      </c>
      <c r="Z39" s="418">
        <f t="shared" si="1"/>
        <v>3337.6715675542027</v>
      </c>
      <c r="AA39" s="420">
        <f t="shared" si="1"/>
        <v>0</v>
      </c>
      <c r="AB39" s="421">
        <f t="shared" si="1"/>
        <v>2924.9647071798854</v>
      </c>
      <c r="AC39" s="421">
        <f t="shared" si="1"/>
        <v>0</v>
      </c>
      <c r="AD39" s="422" t="s">
        <v>29</v>
      </c>
      <c r="AE39" s="422" t="s">
        <v>29</v>
      </c>
      <c r="AF39" s="422" t="s">
        <v>29</v>
      </c>
      <c r="AG39" s="422" t="s">
        <v>29</v>
      </c>
      <c r="AH39" s="422" t="s">
        <v>29</v>
      </c>
      <c r="AI39" s="422" t="s">
        <v>159</v>
      </c>
      <c r="AJ39" s="421">
        <f t="shared" ref="AJ39:AS39" si="2">SUM(AJ8:AJ38)</f>
        <v>6637.8539197444916</v>
      </c>
      <c r="AK39" s="421">
        <f t="shared" si="2"/>
        <v>21765.060530900959</v>
      </c>
      <c r="AL39" s="421">
        <f t="shared" si="2"/>
        <v>77763.262081336972</v>
      </c>
      <c r="AM39" s="421">
        <f t="shared" si="2"/>
        <v>12526.194523541133</v>
      </c>
      <c r="AN39" s="421">
        <f t="shared" si="2"/>
        <v>89410.659818522137</v>
      </c>
      <c r="AO39" s="421">
        <f t="shared" si="2"/>
        <v>79133.226600392678</v>
      </c>
      <c r="AP39" s="421">
        <f t="shared" si="2"/>
        <v>14888.573492129646</v>
      </c>
      <c r="AQ39" s="421">
        <f t="shared" si="2"/>
        <v>72479.217292610803</v>
      </c>
      <c r="AR39" s="421">
        <f t="shared" si="2"/>
        <v>13344.941311804454</v>
      </c>
      <c r="AS39" s="421">
        <f t="shared" si="2"/>
        <v>23941.687663555142</v>
      </c>
    </row>
    <row r="40" spans="1:45" ht="15.75" thickBot="1" x14ac:dyDescent="0.3">
      <c r="A40" s="47" t="s">
        <v>172</v>
      </c>
      <c r="B40" s="32">
        <f>Projection!$AB$30</f>
        <v>0.68740698599999983</v>
      </c>
      <c r="C40" s="33">
        <f>Projection!$AB$28</f>
        <v>1.4286753599999999</v>
      </c>
      <c r="D40" s="33">
        <f>Projection!$AB$31</f>
        <v>2.358470268</v>
      </c>
      <c r="E40" s="33">
        <f>Projection!$AB$26</f>
        <v>4.4235360000000004</v>
      </c>
      <c r="F40" s="33">
        <f>Projection!$AB$23</f>
        <v>0</v>
      </c>
      <c r="G40" s="33">
        <f>Projection!$AB$24</f>
        <v>7.2805000000000009E-2</v>
      </c>
      <c r="H40" s="34">
        <f>Projection!$AB$29</f>
        <v>3.8336895000000006</v>
      </c>
      <c r="I40" s="32">
        <f>Projection!$AB$30</f>
        <v>0.68740698599999983</v>
      </c>
      <c r="J40" s="33">
        <f>Projection!$AB$28</f>
        <v>1.4286753599999999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1.4286753599999999</v>
      </c>
      <c r="T40" s="38">
        <f>Projection!$AB$28</f>
        <v>1.4286753599999999</v>
      </c>
      <c r="U40" s="26">
        <f>Projection!$AB$27</f>
        <v>0.35249999999999998</v>
      </c>
      <c r="V40" s="27">
        <f>Projection!$AB$27</f>
        <v>0.35249999999999998</v>
      </c>
      <c r="W40" s="27">
        <f>Projection!$AB$22</f>
        <v>1.1509199999999999</v>
      </c>
      <c r="X40" s="27">
        <f>Projection!$AB$22</f>
        <v>1.1509199999999999</v>
      </c>
      <c r="Y40" s="27">
        <f>Projection!$AB$31</f>
        <v>2.358470268</v>
      </c>
      <c r="Z40" s="27">
        <f>Projection!$AB$31</f>
        <v>2.358470268</v>
      </c>
      <c r="AA40" s="28">
        <v>0</v>
      </c>
      <c r="AB40" s="41">
        <f>Projection!$AB$27</f>
        <v>0.35249999999999998</v>
      </c>
      <c r="AC40" s="41">
        <f>Projection!$AB$30</f>
        <v>0.68740698599999983</v>
      </c>
      <c r="AD40" s="397">
        <f>SUM(AD8:AD38)</f>
        <v>423.20457132290005</v>
      </c>
      <c r="AE40" s="397">
        <f>SUM(AE8:AE38)</f>
        <v>182.56770246327463</v>
      </c>
      <c r="AF40" s="276">
        <f>SUM(AF8:AF38)</f>
        <v>575.62580079237614</v>
      </c>
      <c r="AG40" s="276">
        <f>SUM(AG8:AG38)</f>
        <v>402.68172943985564</v>
      </c>
      <c r="AH40" s="276">
        <f>SUM(AH8:AH38)</f>
        <v>166.18087744881853</v>
      </c>
      <c r="AI40" s="276">
        <f>IF(SUM(AG40:AH40)&gt;0, AG40/(AG40+AH40), 0)</f>
        <v>0.70787168037335946</v>
      </c>
      <c r="AJ40" s="311">
        <v>8.3000000000000004E-2</v>
      </c>
      <c r="AK40" s="311">
        <f t="shared" ref="AK40:AS40" si="3">$AJ$40</f>
        <v>8.3000000000000004E-2</v>
      </c>
      <c r="AL40" s="311">
        <f t="shared" si="3"/>
        <v>8.3000000000000004E-2</v>
      </c>
      <c r="AM40" s="311">
        <f t="shared" si="3"/>
        <v>8.3000000000000004E-2</v>
      </c>
      <c r="AN40" s="311">
        <f t="shared" si="3"/>
        <v>8.3000000000000004E-2</v>
      </c>
      <c r="AO40" s="311">
        <f t="shared" si="3"/>
        <v>8.3000000000000004E-2</v>
      </c>
      <c r="AP40" s="311">
        <f t="shared" si="3"/>
        <v>8.3000000000000004E-2</v>
      </c>
      <c r="AQ40" s="311">
        <f t="shared" si="3"/>
        <v>8.3000000000000004E-2</v>
      </c>
      <c r="AR40" s="311">
        <f t="shared" si="3"/>
        <v>8.3000000000000004E-2</v>
      </c>
      <c r="AS40" s="311">
        <f t="shared" si="3"/>
        <v>8.3000000000000004E-2</v>
      </c>
    </row>
    <row r="41" spans="1:45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2760.5916378424449</v>
      </c>
      <c r="D41" s="36">
        <f t="shared" si="4"/>
        <v>57026.697502796495</v>
      </c>
      <c r="E41" s="36">
        <f t="shared" si="4"/>
        <v>2021.2592991196288</v>
      </c>
      <c r="F41" s="36">
        <f t="shared" si="4"/>
        <v>0</v>
      </c>
      <c r="G41" s="36">
        <f t="shared" si="4"/>
        <v>5149.1257155270596</v>
      </c>
      <c r="H41" s="37">
        <f t="shared" si="4"/>
        <v>2795.802727782343</v>
      </c>
      <c r="I41" s="35">
        <f t="shared" si="4"/>
        <v>3853.2107810498596</v>
      </c>
      <c r="J41" s="36">
        <f t="shared" si="4"/>
        <v>25175.058644303361</v>
      </c>
      <c r="K41" s="36">
        <f t="shared" si="4"/>
        <v>4272.7526491314084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6">
        <f t="shared" si="4"/>
        <v>0</v>
      </c>
      <c r="P41" s="267">
        <f t="shared" si="4"/>
        <v>0</v>
      </c>
      <c r="Q41" s="267">
        <f t="shared" si="4"/>
        <v>0</v>
      </c>
      <c r="R41" s="267">
        <f t="shared" si="4"/>
        <v>0</v>
      </c>
      <c r="S41" s="267">
        <f t="shared" si="4"/>
        <v>0</v>
      </c>
      <c r="T41" s="268">
        <f t="shared" si="4"/>
        <v>0</v>
      </c>
      <c r="U41" s="266">
        <f t="shared" si="4"/>
        <v>3617.3381785000647</v>
      </c>
      <c r="V41" s="267">
        <f t="shared" si="4"/>
        <v>1493.6097371395392</v>
      </c>
      <c r="W41" s="267">
        <f t="shared" si="4"/>
        <v>1926.0134682609782</v>
      </c>
      <c r="X41" s="267">
        <f t="shared" si="4"/>
        <v>792.3228226961071</v>
      </c>
      <c r="Y41" s="267">
        <f t="shared" si="4"/>
        <v>19241.116835698755</v>
      </c>
      <c r="Z41" s="267">
        <f t="shared" si="4"/>
        <v>7871.7991564255408</v>
      </c>
      <c r="AA41" s="271">
        <f t="shared" si="4"/>
        <v>0</v>
      </c>
      <c r="AB41" s="274">
        <f t="shared" si="4"/>
        <v>1031.0500592809096</v>
      </c>
      <c r="AC41" s="274">
        <f t="shared" si="4"/>
        <v>0</v>
      </c>
      <c r="AJ41" s="277">
        <f t="shared" ref="AJ41:AS41" si="5">AJ40*AJ39</f>
        <v>550.94187533879278</v>
      </c>
      <c r="AK41" s="277">
        <f t="shared" si="5"/>
        <v>1806.5000240647796</v>
      </c>
      <c r="AL41" s="277">
        <f t="shared" si="5"/>
        <v>6454.3507527509691</v>
      </c>
      <c r="AM41" s="277">
        <f t="shared" si="5"/>
        <v>1039.6741454539142</v>
      </c>
      <c r="AN41" s="277">
        <f t="shared" si="5"/>
        <v>7421.0847649373382</v>
      </c>
      <c r="AO41" s="277">
        <f t="shared" si="5"/>
        <v>6568.0578078325925</v>
      </c>
      <c r="AP41" s="277">
        <f t="shared" si="5"/>
        <v>1235.7515998467607</v>
      </c>
      <c r="AQ41" s="277">
        <f t="shared" si="5"/>
        <v>6015.7750352866969</v>
      </c>
      <c r="AR41" s="277">
        <f t="shared" si="5"/>
        <v>1107.6301288797697</v>
      </c>
      <c r="AS41" s="277">
        <f t="shared" si="5"/>
        <v>1987.1600760750769</v>
      </c>
    </row>
    <row r="42" spans="1:45" ht="49.5" customHeight="1" thickTop="1" thickBot="1" x14ac:dyDescent="0.3">
      <c r="A42" s="643">
        <f>MAY!$A$42+31</f>
        <v>44349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757.54</v>
      </c>
      <c r="AK42" s="277" t="s">
        <v>197</v>
      </c>
      <c r="AL42" s="277">
        <v>496.97</v>
      </c>
      <c r="AM42" s="277">
        <v>45.13</v>
      </c>
      <c r="AN42" s="277">
        <v>205.68</v>
      </c>
      <c r="AO42" s="277">
        <v>3096.64</v>
      </c>
      <c r="AP42" s="277">
        <v>432.7</v>
      </c>
      <c r="AQ42" s="277" t="s">
        <v>197</v>
      </c>
      <c r="AR42" s="277">
        <v>56.93</v>
      </c>
      <c r="AS42" s="277">
        <v>255.45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139027.7492155545</v>
      </c>
      <c r="C44" s="12"/>
      <c r="D44" s="281" t="s">
        <v>135</v>
      </c>
      <c r="E44" s="282">
        <f>SUM(B41:H41)+P41+R41+T41+V41+X41+Z41</f>
        <v>79911.208599329155</v>
      </c>
      <c r="F44" s="12"/>
      <c r="G44" s="281" t="s">
        <v>135</v>
      </c>
      <c r="H44" s="282">
        <f>SUM(I41:N41)+O41+Q41+S41+U41+W41+Y41</f>
        <v>58085.490556944431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34186.926210466692</v>
      </c>
      <c r="C45" s="12"/>
      <c r="D45" s="283" t="s">
        <v>183</v>
      </c>
      <c r="E45" s="284">
        <f>AJ41*(1-$AI$40)+AK41+AL41*0.5+AN41+AO41*(1-$AI$40)+AP41*(1-$AI$40)+AQ41*(1-$AI$40)+AR41*0.5+AS41*0.5</f>
        <v>18200.192973371832</v>
      </c>
      <c r="F45" s="24"/>
      <c r="G45" s="283" t="s">
        <v>183</v>
      </c>
      <c r="H45" s="284">
        <f>AJ41*AI40+AL41*0.5+AM41+AO41*AI40+AP41*AI40+AQ41*AI40+AR41*0.5+AS41*0.5</f>
        <v>15986.733237094859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2361.8811828424959</v>
      </c>
      <c r="U45" s="255">
        <f>(T45*8.34*0.895)/27000</f>
        <v>0.65295517455893493</v>
      </c>
    </row>
    <row r="46" spans="1:45" ht="32.25" thickBot="1" x14ac:dyDescent="0.3">
      <c r="A46" s="285" t="s">
        <v>184</v>
      </c>
      <c r="B46" s="286">
        <f>SUM(AJ42:AS42)</f>
        <v>5347.04</v>
      </c>
      <c r="C46" s="12"/>
      <c r="D46" s="285" t="s">
        <v>184</v>
      </c>
      <c r="E46" s="286">
        <f>AJ42*(1-$AI$40)+AL42*0.5+AN42+AO42*(1-$AI$40)+AP42*(1-$AI$40)+AR42*0.5+AS42*0.5</f>
        <v>1862.6740508410526</v>
      </c>
      <c r="F46" s="23"/>
      <c r="G46" s="285" t="s">
        <v>184</v>
      </c>
      <c r="H46" s="286">
        <f>AJ42*AI40+AL42*0.5+AM42+AO42*AI40+AP42*AI40+AR42*0.5+AS42*0.5</f>
        <v>3484.3659491589469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70724.891360855152</v>
      </c>
      <c r="U47" s="255">
        <f>T47/40000</f>
        <v>1.7681222840213788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575.62580079237614</v>
      </c>
      <c r="C49" s="12"/>
      <c r="D49" s="290" t="s">
        <v>195</v>
      </c>
      <c r="E49" s="291">
        <f>AH40</f>
        <v>166.18087744881853</v>
      </c>
      <c r="F49" s="371">
        <f>E44/E49</f>
        <v>480.8688570316445</v>
      </c>
      <c r="G49" s="290" t="s">
        <v>196</v>
      </c>
      <c r="H49" s="291">
        <f>AG40</f>
        <v>402.68172943985564</v>
      </c>
      <c r="I49" s="370">
        <f>H44/H49</f>
        <v>144.24665017144775</v>
      </c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1422.8463266154126</v>
      </c>
      <c r="U49" s="255">
        <f>(T49*8.34*1.04)/45000</f>
        <v>0.27424888663403207</v>
      </c>
    </row>
    <row r="50" spans="1:25" ht="48" customHeight="1" thickTop="1" thickBot="1" x14ac:dyDescent="0.3">
      <c r="A50" s="290" t="s">
        <v>223</v>
      </c>
      <c r="B50" s="291">
        <f>SUM(E50+H50)</f>
        <v>605.77227378617465</v>
      </c>
      <c r="C50" s="12"/>
      <c r="D50" s="290" t="s">
        <v>224</v>
      </c>
      <c r="E50" s="291">
        <f>AE40</f>
        <v>182.56770246327463</v>
      </c>
      <c r="F50" s="371"/>
      <c r="G50" s="290" t="s">
        <v>225</v>
      </c>
      <c r="H50" s="291">
        <f>AD40</f>
        <v>423.20457132290005</v>
      </c>
      <c r="I50" s="370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294.76706536927088</v>
      </c>
      <c r="C51" s="12"/>
      <c r="D51" s="290" t="s">
        <v>188</v>
      </c>
      <c r="E51" s="293">
        <f>SUM(E44:E48)/E50</f>
        <v>547.6000096109708</v>
      </c>
      <c r="F51" s="23"/>
      <c r="G51" s="290" t="s">
        <v>189</v>
      </c>
      <c r="H51" s="293">
        <f>SUM(H44:H48)/H50</f>
        <v>183.26028355686992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17424.10773027096</v>
      </c>
      <c r="U51" s="255">
        <f>T51/2000/8</f>
        <v>1.0890067331419351</v>
      </c>
    </row>
    <row r="52" spans="1:25" ht="47.25" customHeight="1" thickTop="1" thickBot="1" x14ac:dyDescent="0.3">
      <c r="A52" s="280" t="s">
        <v>191</v>
      </c>
      <c r="B52" s="293">
        <f>B51/1000</f>
        <v>0.29476706536927089</v>
      </c>
      <c r="C52" s="12"/>
      <c r="D52" s="280" t="s">
        <v>192</v>
      </c>
      <c r="E52" s="293">
        <f>E51/1000</f>
        <v>0.54760000961097077</v>
      </c>
      <c r="F52" s="12"/>
      <c r="G52" s="280" t="s">
        <v>193</v>
      </c>
      <c r="H52" s="293">
        <f>H51/1000</f>
        <v>0.18326028355686994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19553.532638895518</v>
      </c>
      <c r="U52" s="255">
        <f>(T52*8.34*1.4)/45000</f>
        <v>5.0734899353720895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729.27208314140796</v>
      </c>
      <c r="U53" s="255">
        <f>(T53*8.34*1.135)/45000</f>
        <v>0.15340481359573896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5605.4286027431508</v>
      </c>
      <c r="U54" s="255">
        <f>(T54*8.34*1.029*0.03)/3300</f>
        <v>0.43731821371579388</v>
      </c>
    </row>
    <row r="55" spans="1:25" ht="54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35675.503158355183</v>
      </c>
      <c r="U55" s="258">
        <f>(T55*1.54*8.34)/45000</f>
        <v>10.182264274770013</v>
      </c>
    </row>
    <row r="56" spans="1:25" ht="24" thickTop="1" x14ac:dyDescent="0.25">
      <c r="A56" s="671"/>
      <c r="B56" s="67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3"/>
      <c r="B57" s="67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9"/>
      <c r="B58" s="67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70"/>
      <c r="B59" s="67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9"/>
      <c r="B60" s="67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70"/>
      <c r="B61" s="67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g0uxmovGllukwLEefBTDSsR8gT3krtPrkVQcxwWB3bZ5ArhiAZaDXbGr+R6j4Q0SfGffC6nJcHfuOrm8pG+n6Q==" saltValue="9kkaP5ft0Vwo9/pmkCVHiQ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W63"/>
  <sheetViews>
    <sheetView topLeftCell="AJ33" zoomScale="75" zoomScaleNormal="75" workbookViewId="0">
      <selection activeCell="AJ41" sqref="AJ41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44378</v>
      </c>
      <c r="B8" s="49"/>
      <c r="C8" s="50">
        <v>85.235611438750894</v>
      </c>
      <c r="D8" s="50">
        <v>993.78126551310072</v>
      </c>
      <c r="E8" s="50">
        <v>19.999213155607382</v>
      </c>
      <c r="F8" s="50">
        <v>0</v>
      </c>
      <c r="G8" s="50">
        <v>2529.2970235188814</v>
      </c>
      <c r="H8" s="51">
        <v>32.16085014939317</v>
      </c>
      <c r="I8" s="49">
        <v>207.73750089804332</v>
      </c>
      <c r="J8" s="50">
        <v>610.75198583602798</v>
      </c>
      <c r="K8" s="50">
        <v>33.638204612334491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384.08838082818704</v>
      </c>
      <c r="V8" s="54">
        <v>190.86179449953667</v>
      </c>
      <c r="W8" s="54">
        <v>64.904796729017832</v>
      </c>
      <c r="X8" s="54">
        <v>32.252592355480331</v>
      </c>
      <c r="Y8" s="54">
        <v>294.75265559745662</v>
      </c>
      <c r="Z8" s="54">
        <v>146.46894722389362</v>
      </c>
      <c r="AA8" s="55">
        <v>0</v>
      </c>
      <c r="AB8" s="56">
        <v>125.44457405938023</v>
      </c>
      <c r="AC8" s="57">
        <v>0</v>
      </c>
      <c r="AD8" s="405">
        <v>16.453141490715758</v>
      </c>
      <c r="AE8" s="405">
        <v>7.9979650343519344</v>
      </c>
      <c r="AF8" s="57">
        <v>24.074578747484377</v>
      </c>
      <c r="AG8" s="58">
        <v>15.899593390790697</v>
      </c>
      <c r="AH8" s="58">
        <v>7.9008506319194121</v>
      </c>
      <c r="AI8" s="58">
        <v>0.6680376792810877</v>
      </c>
      <c r="AJ8" s="57">
        <v>252.90585637092593</v>
      </c>
      <c r="AK8" s="57">
        <v>800.77405939102152</v>
      </c>
      <c r="AL8" s="57">
        <v>2891.1076423645018</v>
      </c>
      <c r="AM8" s="57">
        <v>314.70941162109375</v>
      </c>
      <c r="AN8" s="57">
        <v>1248.4801025390625</v>
      </c>
      <c r="AO8" s="57">
        <v>2799.1686335245768</v>
      </c>
      <c r="AP8" s="57">
        <v>451.56475637753812</v>
      </c>
      <c r="AQ8" s="57">
        <v>2983.183324305216</v>
      </c>
      <c r="AR8" s="57">
        <v>433.92504361470537</v>
      </c>
      <c r="AS8" s="57">
        <v>835.27362626393642</v>
      </c>
    </row>
    <row r="9" spans="1:49" x14ac:dyDescent="0.25">
      <c r="A9" s="11">
        <v>44379</v>
      </c>
      <c r="B9" s="59"/>
      <c r="C9" s="60">
        <v>84.659200906753554</v>
      </c>
      <c r="D9" s="60">
        <v>990.11161009470459</v>
      </c>
      <c r="E9" s="60">
        <v>20.207462594409765</v>
      </c>
      <c r="F9" s="60">
        <v>0</v>
      </c>
      <c r="G9" s="60">
        <v>2551.7492572784431</v>
      </c>
      <c r="H9" s="61">
        <v>32.031489096085259</v>
      </c>
      <c r="I9" s="59">
        <v>209.9471529165904</v>
      </c>
      <c r="J9" s="60">
        <v>617.28445750872493</v>
      </c>
      <c r="K9" s="60">
        <v>34.052302799622268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386.23430670095917</v>
      </c>
      <c r="V9" s="62">
        <v>165.79286356508504</v>
      </c>
      <c r="W9" s="62">
        <v>67.116304830973036</v>
      </c>
      <c r="X9" s="62">
        <v>28.80998444928283</v>
      </c>
      <c r="Y9" s="66">
        <v>297.69570912060965</v>
      </c>
      <c r="Z9" s="66">
        <v>127.78726081512505</v>
      </c>
      <c r="AA9" s="67">
        <v>0</v>
      </c>
      <c r="AB9" s="68">
        <v>126.13000309732278</v>
      </c>
      <c r="AC9" s="69">
        <v>0</v>
      </c>
      <c r="AD9" s="406">
        <v>16.640262151997547</v>
      </c>
      <c r="AE9" s="406">
        <v>7.9900338198770724</v>
      </c>
      <c r="AF9" s="69">
        <v>23.225771056943497</v>
      </c>
      <c r="AG9" s="68">
        <v>16.0694037814552</v>
      </c>
      <c r="AH9" s="68">
        <v>6.8978659391171258</v>
      </c>
      <c r="AI9" s="68">
        <v>0.69966539240236536</v>
      </c>
      <c r="AJ9" s="69">
        <v>219.38622989654544</v>
      </c>
      <c r="AK9" s="69">
        <v>771.44167702992775</v>
      </c>
      <c r="AL9" s="69">
        <v>2797.6833124796549</v>
      </c>
      <c r="AM9" s="69">
        <v>314.70941162109375</v>
      </c>
      <c r="AN9" s="69">
        <v>1248.4801025390625</v>
      </c>
      <c r="AO9" s="69">
        <v>2750.4273793538405</v>
      </c>
      <c r="AP9" s="69">
        <v>444.53978198369344</v>
      </c>
      <c r="AQ9" s="69">
        <v>2904.488048171997</v>
      </c>
      <c r="AR9" s="69">
        <v>420.24926659266146</v>
      </c>
      <c r="AS9" s="69">
        <v>843.25355300903311</v>
      </c>
    </row>
    <row r="10" spans="1:49" x14ac:dyDescent="0.25">
      <c r="A10" s="11">
        <v>44380</v>
      </c>
      <c r="B10" s="59"/>
      <c r="C10" s="60">
        <v>84.957129808266984</v>
      </c>
      <c r="D10" s="60">
        <v>980.80728670755741</v>
      </c>
      <c r="E10" s="60">
        <v>20.276832108199571</v>
      </c>
      <c r="F10" s="60">
        <v>0</v>
      </c>
      <c r="G10" s="60">
        <v>2717.9912883758584</v>
      </c>
      <c r="H10" s="61">
        <v>31.990717033545263</v>
      </c>
      <c r="I10" s="59">
        <v>231.70204181671122</v>
      </c>
      <c r="J10" s="60">
        <v>681.08124494552737</v>
      </c>
      <c r="K10" s="60">
        <v>37.34832607110345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422.8772354380705</v>
      </c>
      <c r="V10" s="62">
        <v>187.95020295880519</v>
      </c>
      <c r="W10" s="62">
        <v>73.665156842843075</v>
      </c>
      <c r="X10" s="62">
        <v>32.740899767900132</v>
      </c>
      <c r="Y10" s="66">
        <v>329.67309169907668</v>
      </c>
      <c r="Z10" s="66">
        <v>146.52508884927309</v>
      </c>
      <c r="AA10" s="67">
        <v>0</v>
      </c>
      <c r="AB10" s="68">
        <v>134.32503830591753</v>
      </c>
      <c r="AC10" s="69">
        <v>0</v>
      </c>
      <c r="AD10" s="406">
        <v>18.355339568060437</v>
      </c>
      <c r="AE10" s="406">
        <v>7.9759115138840073</v>
      </c>
      <c r="AF10" s="69">
        <v>25.878821429941414</v>
      </c>
      <c r="AG10" s="68">
        <v>17.72530616970009</v>
      </c>
      <c r="AH10" s="68">
        <v>7.8781135821863897</v>
      </c>
      <c r="AI10" s="68">
        <v>0.69230229170437585</v>
      </c>
      <c r="AJ10" s="69">
        <v>213.49265530904137</v>
      </c>
      <c r="AK10" s="69">
        <v>778.82867593765263</v>
      </c>
      <c r="AL10" s="69">
        <v>2877.2367121378579</v>
      </c>
      <c r="AM10" s="69">
        <v>314.70941162109375</v>
      </c>
      <c r="AN10" s="69">
        <v>1248.4801025390625</v>
      </c>
      <c r="AO10" s="69">
        <v>2817.0506646474205</v>
      </c>
      <c r="AP10" s="69">
        <v>457.05565387407933</v>
      </c>
      <c r="AQ10" s="69">
        <v>3177.663370768229</v>
      </c>
      <c r="AR10" s="69">
        <v>453.3213040987651</v>
      </c>
      <c r="AS10" s="69">
        <v>880.04672994613645</v>
      </c>
    </row>
    <row r="11" spans="1:49" x14ac:dyDescent="0.25">
      <c r="A11" s="11">
        <v>44381</v>
      </c>
      <c r="B11" s="59"/>
      <c r="C11" s="60">
        <v>84.294393233458365</v>
      </c>
      <c r="D11" s="60">
        <v>971.75481115976936</v>
      </c>
      <c r="E11" s="60">
        <v>20.287579880654796</v>
      </c>
      <c r="F11" s="60">
        <v>0</v>
      </c>
      <c r="G11" s="60">
        <v>2710.2452729543006</v>
      </c>
      <c r="H11" s="61">
        <v>31.934463431437802</v>
      </c>
      <c r="I11" s="59">
        <v>231.67062147458378</v>
      </c>
      <c r="J11" s="60">
        <v>681.14322834015059</v>
      </c>
      <c r="K11" s="60">
        <v>37.26271187067038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422.13877183839088</v>
      </c>
      <c r="V11" s="62">
        <v>187.6148426084626</v>
      </c>
      <c r="W11" s="62">
        <v>72.536426536287607</v>
      </c>
      <c r="X11" s="62">
        <v>32.238001235280663</v>
      </c>
      <c r="Y11" s="66">
        <v>337.00090166085499</v>
      </c>
      <c r="Z11" s="66">
        <v>149.77627107944613</v>
      </c>
      <c r="AA11" s="67">
        <v>0</v>
      </c>
      <c r="AB11" s="68">
        <v>134.13763055801459</v>
      </c>
      <c r="AC11" s="69">
        <v>0</v>
      </c>
      <c r="AD11" s="406">
        <v>18.355346375529571</v>
      </c>
      <c r="AE11" s="406">
        <v>7.9351943376056626</v>
      </c>
      <c r="AF11" s="69">
        <v>26.090190153651793</v>
      </c>
      <c r="AG11" s="68">
        <v>17.867595897671315</v>
      </c>
      <c r="AH11" s="68">
        <v>7.9410526011018998</v>
      </c>
      <c r="AI11" s="68">
        <v>0.69231040511558095</v>
      </c>
      <c r="AJ11" s="69">
        <v>220.09938057263693</v>
      </c>
      <c r="AK11" s="69">
        <v>777.09997676213584</v>
      </c>
      <c r="AL11" s="69">
        <v>2852.7695880889892</v>
      </c>
      <c r="AM11" s="69">
        <v>314.70941162109375</v>
      </c>
      <c r="AN11" s="69">
        <v>1248.4801025390625</v>
      </c>
      <c r="AO11" s="69">
        <v>2808.434460322062</v>
      </c>
      <c r="AP11" s="69">
        <v>458.55202709833776</v>
      </c>
      <c r="AQ11" s="69">
        <v>3114.5693096160885</v>
      </c>
      <c r="AR11" s="69">
        <v>459.08635638554887</v>
      </c>
      <c r="AS11" s="69">
        <v>855.13502620061217</v>
      </c>
    </row>
    <row r="12" spans="1:49" x14ac:dyDescent="0.25">
      <c r="A12" s="11">
        <v>44382</v>
      </c>
      <c r="B12" s="59"/>
      <c r="C12" s="60">
        <v>84.204539557298105</v>
      </c>
      <c r="D12" s="60">
        <v>966.22950350443273</v>
      </c>
      <c r="E12" s="60">
        <v>20.247531880438324</v>
      </c>
      <c r="F12" s="60">
        <v>0</v>
      </c>
      <c r="G12" s="60">
        <v>2672.0576049804722</v>
      </c>
      <c r="H12" s="61">
        <v>31.85917993585268</v>
      </c>
      <c r="I12" s="59">
        <v>216.24137154420171</v>
      </c>
      <c r="J12" s="60">
        <v>635.85501893361561</v>
      </c>
      <c r="K12" s="60">
        <v>34.910229587554902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391.49567753304439</v>
      </c>
      <c r="V12" s="62">
        <v>187.27029343880682</v>
      </c>
      <c r="W12" s="62">
        <v>66.63308265134404</v>
      </c>
      <c r="X12" s="62">
        <v>31.873651886734358</v>
      </c>
      <c r="Y12" s="66">
        <v>318.03153758286652</v>
      </c>
      <c r="Z12" s="66">
        <v>152.12903432608482</v>
      </c>
      <c r="AA12" s="67">
        <v>0</v>
      </c>
      <c r="AB12" s="68">
        <v>128.23662663035807</v>
      </c>
      <c r="AC12" s="69">
        <v>0</v>
      </c>
      <c r="AD12" s="406">
        <v>17.134571187025159</v>
      </c>
      <c r="AE12" s="406">
        <v>7.9414954172020984</v>
      </c>
      <c r="AF12" s="69">
        <v>24.778347401486506</v>
      </c>
      <c r="AG12" s="68">
        <v>16.582763569101306</v>
      </c>
      <c r="AH12" s="68">
        <v>7.9322944743108694</v>
      </c>
      <c r="AI12" s="68">
        <v>0.6764317481825225</v>
      </c>
      <c r="AJ12" s="69">
        <v>220.18396167755128</v>
      </c>
      <c r="AK12" s="69">
        <v>779.13924573262523</v>
      </c>
      <c r="AL12" s="69">
        <v>2757.3532786051433</v>
      </c>
      <c r="AM12" s="69">
        <v>314.70941162109375</v>
      </c>
      <c r="AN12" s="69">
        <v>1248.4801025390625</v>
      </c>
      <c r="AO12" s="69">
        <v>2799.4899456024173</v>
      </c>
      <c r="AP12" s="69">
        <v>452.16234787305189</v>
      </c>
      <c r="AQ12" s="69">
        <v>3043.7013510386146</v>
      </c>
      <c r="AR12" s="69">
        <v>454.99597943623866</v>
      </c>
      <c r="AS12" s="69">
        <v>866.79375712076808</v>
      </c>
    </row>
    <row r="13" spans="1:49" x14ac:dyDescent="0.25">
      <c r="A13" s="11">
        <v>44383</v>
      </c>
      <c r="B13" s="59"/>
      <c r="C13" s="60">
        <v>84.055828599134728</v>
      </c>
      <c r="D13" s="60">
        <v>966.84661000569429</v>
      </c>
      <c r="E13" s="60">
        <v>20.205145751436557</v>
      </c>
      <c r="F13" s="60">
        <v>0</v>
      </c>
      <c r="G13" s="60">
        <v>2702.1011676788321</v>
      </c>
      <c r="H13" s="61">
        <v>31.817569647232734</v>
      </c>
      <c r="I13" s="59">
        <v>231.70469600359587</v>
      </c>
      <c r="J13" s="60">
        <v>681.23440440495949</v>
      </c>
      <c r="K13" s="60">
        <v>37.362990482648222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418.51554901323578</v>
      </c>
      <c r="V13" s="62">
        <v>186.76995087741244</v>
      </c>
      <c r="W13" s="62">
        <v>72.093283214544783</v>
      </c>
      <c r="X13" s="62">
        <v>32.172900137925531</v>
      </c>
      <c r="Y13" s="66">
        <v>347.02268885856392</v>
      </c>
      <c r="Z13" s="66">
        <v>154.86500012789682</v>
      </c>
      <c r="AA13" s="67">
        <v>0</v>
      </c>
      <c r="AB13" s="68">
        <v>134.24939412010986</v>
      </c>
      <c r="AC13" s="69">
        <v>0</v>
      </c>
      <c r="AD13" s="406">
        <v>18.363301637344431</v>
      </c>
      <c r="AE13" s="406">
        <v>7.9463332912755851</v>
      </c>
      <c r="AF13" s="69">
        <v>25.889429671234559</v>
      </c>
      <c r="AG13" s="68">
        <v>17.717919766893019</v>
      </c>
      <c r="AH13" s="68">
        <v>7.9069344312650367</v>
      </c>
      <c r="AI13" s="68">
        <v>0.69143494943930661</v>
      </c>
      <c r="AJ13" s="69">
        <v>227.37162477175391</v>
      </c>
      <c r="AK13" s="69">
        <v>780.28843164444004</v>
      </c>
      <c r="AL13" s="69">
        <v>2856.5356023152672</v>
      </c>
      <c r="AM13" s="69">
        <v>314.70941162109375</v>
      </c>
      <c r="AN13" s="69">
        <v>1248.4801025390625</v>
      </c>
      <c r="AO13" s="69">
        <v>2814.9933263142912</v>
      </c>
      <c r="AP13" s="69">
        <v>446.12518334388722</v>
      </c>
      <c r="AQ13" s="69">
        <v>3279.3779380798346</v>
      </c>
      <c r="AR13" s="69">
        <v>438.9136834462484</v>
      </c>
      <c r="AS13" s="69">
        <v>878.58905544281004</v>
      </c>
    </row>
    <row r="14" spans="1:49" x14ac:dyDescent="0.25">
      <c r="A14" s="11">
        <v>44384</v>
      </c>
      <c r="B14" s="59"/>
      <c r="C14" s="60">
        <v>84.066355363528061</v>
      </c>
      <c r="D14" s="60">
        <v>963.53636566003104</v>
      </c>
      <c r="E14" s="60">
        <v>20.206561891734587</v>
      </c>
      <c r="F14" s="60">
        <v>0</v>
      </c>
      <c r="G14" s="60">
        <v>2714.5606769561791</v>
      </c>
      <c r="H14" s="61">
        <v>31.790102630853671</v>
      </c>
      <c r="I14" s="59">
        <v>237.58327555656385</v>
      </c>
      <c r="J14" s="60">
        <v>680.52054224014353</v>
      </c>
      <c r="K14" s="60">
        <v>37.332318693399401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417.16994460826709</v>
      </c>
      <c r="V14" s="62">
        <v>186.13059358193345</v>
      </c>
      <c r="W14" s="62">
        <v>71.808953726061091</v>
      </c>
      <c r="X14" s="62">
        <v>32.039324391118832</v>
      </c>
      <c r="Y14" s="66">
        <v>345.61312831593142</v>
      </c>
      <c r="Z14" s="66">
        <v>154.2037664855265</v>
      </c>
      <c r="AA14" s="67">
        <v>0</v>
      </c>
      <c r="AB14" s="68">
        <v>134.34415331946337</v>
      </c>
      <c r="AC14" s="69">
        <v>0</v>
      </c>
      <c r="AD14" s="406">
        <v>18.340162521911779</v>
      </c>
      <c r="AE14" s="406">
        <v>7.9441562654264208</v>
      </c>
      <c r="AF14" s="69">
        <v>25.818892432583688</v>
      </c>
      <c r="AG14" s="68">
        <v>17.684295445198572</v>
      </c>
      <c r="AH14" s="68">
        <v>7.8902817684624313</v>
      </c>
      <c r="AI14" s="68">
        <v>0.6914794836081305</v>
      </c>
      <c r="AJ14" s="69">
        <v>224.26415654818217</v>
      </c>
      <c r="AK14" s="69">
        <v>781.87128597895298</v>
      </c>
      <c r="AL14" s="69">
        <v>2927.8241757710771</v>
      </c>
      <c r="AM14" s="69">
        <v>368.5913223584493</v>
      </c>
      <c r="AN14" s="69">
        <v>1248.4801025390625</v>
      </c>
      <c r="AO14" s="69">
        <v>2813.0584285736086</v>
      </c>
      <c r="AP14" s="69">
        <v>454.5915006637573</v>
      </c>
      <c r="AQ14" s="69">
        <v>3258.2125517527265</v>
      </c>
      <c r="AR14" s="69">
        <v>462.01010812123616</v>
      </c>
      <c r="AS14" s="69">
        <v>841.07805951436376</v>
      </c>
    </row>
    <row r="15" spans="1:49" x14ac:dyDescent="0.25">
      <c r="A15" s="11">
        <v>44385</v>
      </c>
      <c r="B15" s="59"/>
      <c r="C15" s="60">
        <v>83.586467631658152</v>
      </c>
      <c r="D15" s="60">
        <v>965.92521705627325</v>
      </c>
      <c r="E15" s="60">
        <v>20.310223780572368</v>
      </c>
      <c r="F15" s="60">
        <v>0</v>
      </c>
      <c r="G15" s="60">
        <v>2795.5897839864092</v>
      </c>
      <c r="H15" s="61">
        <v>31.765489624937416</v>
      </c>
      <c r="I15" s="59">
        <v>241.20686132907824</v>
      </c>
      <c r="J15" s="60">
        <v>679.83732201258476</v>
      </c>
      <c r="K15" s="60">
        <v>37.452100241184191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424.70315750575804</v>
      </c>
      <c r="V15" s="62">
        <v>188.77572729716886</v>
      </c>
      <c r="W15" s="62">
        <v>72.184782809506899</v>
      </c>
      <c r="X15" s="62">
        <v>32.085315670082082</v>
      </c>
      <c r="Y15" s="66">
        <v>348.81488186979692</v>
      </c>
      <c r="Z15" s="66">
        <v>155.04425115123897</v>
      </c>
      <c r="AA15" s="67">
        <v>0</v>
      </c>
      <c r="AB15" s="68">
        <v>135.71524617936834</v>
      </c>
      <c r="AC15" s="69">
        <v>0</v>
      </c>
      <c r="AD15" s="406">
        <v>18.322308337693631</v>
      </c>
      <c r="AE15" s="406">
        <v>7.9388684215502421</v>
      </c>
      <c r="AF15" s="69">
        <v>26.237183745702161</v>
      </c>
      <c r="AG15" s="68">
        <v>17.999017797710501</v>
      </c>
      <c r="AH15" s="68">
        <v>8.0003588750135908</v>
      </c>
      <c r="AI15" s="68">
        <v>0.69228651226062832</v>
      </c>
      <c r="AJ15" s="69">
        <v>213.43836835225423</v>
      </c>
      <c r="AK15" s="69">
        <v>779.54324121475224</v>
      </c>
      <c r="AL15" s="69">
        <v>2866.0578491210936</v>
      </c>
      <c r="AM15" s="69">
        <v>482.17579743067427</v>
      </c>
      <c r="AN15" s="69">
        <v>1248.4801025390625</v>
      </c>
      <c r="AO15" s="69">
        <v>2839.9517215728756</v>
      </c>
      <c r="AP15" s="69">
        <v>488.73272852897645</v>
      </c>
      <c r="AQ15" s="69">
        <v>3286.1081291198734</v>
      </c>
      <c r="AR15" s="69">
        <v>484.46166995366417</v>
      </c>
      <c r="AS15" s="69">
        <v>908.20117591222129</v>
      </c>
    </row>
    <row r="16" spans="1:49" x14ac:dyDescent="0.25">
      <c r="A16" s="11">
        <v>44386</v>
      </c>
      <c r="B16" s="59"/>
      <c r="C16" s="60">
        <v>84.031713223457459</v>
      </c>
      <c r="D16" s="60">
        <v>967.35388991037917</v>
      </c>
      <c r="E16" s="60">
        <v>20.351279536386272</v>
      </c>
      <c r="F16" s="60">
        <v>0</v>
      </c>
      <c r="G16" s="60">
        <v>2789.1247023264614</v>
      </c>
      <c r="H16" s="61">
        <v>31.7228089690209</v>
      </c>
      <c r="I16" s="59">
        <v>281.3630678971607</v>
      </c>
      <c r="J16" s="60">
        <v>829.87867275873862</v>
      </c>
      <c r="K16" s="60">
        <v>45.476857634385368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512.7514869114508</v>
      </c>
      <c r="V16" s="62">
        <v>187.69982790873144</v>
      </c>
      <c r="W16" s="62">
        <v>87.442108218160385</v>
      </c>
      <c r="X16" s="62">
        <v>32.009402378114963</v>
      </c>
      <c r="Y16" s="66">
        <v>432.30863878729571</v>
      </c>
      <c r="Z16" s="66">
        <v>158.25260223544996</v>
      </c>
      <c r="AA16" s="67">
        <v>0</v>
      </c>
      <c r="AB16" s="68">
        <v>156.84337786568642</v>
      </c>
      <c r="AC16" s="69">
        <v>0</v>
      </c>
      <c r="AD16" s="406">
        <v>22.367748163101552</v>
      </c>
      <c r="AE16" s="406">
        <v>7.951226155911276</v>
      </c>
      <c r="AF16" s="69">
        <v>29.725632103284202</v>
      </c>
      <c r="AG16" s="68">
        <v>21.511560958139377</v>
      </c>
      <c r="AH16" s="68">
        <v>7.8746066914638453</v>
      </c>
      <c r="AI16" s="68">
        <v>0.73203015836023211</v>
      </c>
      <c r="AJ16" s="69">
        <v>212.14292221069337</v>
      </c>
      <c r="AK16" s="69">
        <v>780.09094947179165</v>
      </c>
      <c r="AL16" s="69">
        <v>2891.0034474690751</v>
      </c>
      <c r="AM16" s="69">
        <v>469.26754760742188</v>
      </c>
      <c r="AN16" s="69">
        <v>1248.4801025390625</v>
      </c>
      <c r="AO16" s="69">
        <v>2867.1606953938799</v>
      </c>
      <c r="AP16" s="69">
        <v>488.80826522509261</v>
      </c>
      <c r="AQ16" s="69">
        <v>3745.5285886128736</v>
      </c>
      <c r="AR16" s="69">
        <v>488.75664170583093</v>
      </c>
      <c r="AS16" s="69">
        <v>871.44781936009724</v>
      </c>
    </row>
    <row r="17" spans="1:45" x14ac:dyDescent="0.25">
      <c r="A17" s="11">
        <v>44387</v>
      </c>
      <c r="B17" s="49"/>
      <c r="C17" s="50">
        <v>84.574735959370599</v>
      </c>
      <c r="D17" s="50">
        <v>973.09283498128104</v>
      </c>
      <c r="E17" s="50">
        <v>20.170749982198082</v>
      </c>
      <c r="F17" s="50">
        <v>0</v>
      </c>
      <c r="G17" s="50">
        <v>2694.2305355072049</v>
      </c>
      <c r="H17" s="51">
        <v>32.000222909450564</v>
      </c>
      <c r="I17" s="49">
        <v>283.38321785926814</v>
      </c>
      <c r="J17" s="50">
        <v>832.98864669799843</v>
      </c>
      <c r="K17" s="50">
        <v>45.439542053143143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526.51582225443315</v>
      </c>
      <c r="V17" s="66">
        <v>163.78356775428193</v>
      </c>
      <c r="W17" s="62">
        <v>90.608061745319944</v>
      </c>
      <c r="X17" s="62">
        <v>28.185499832476911</v>
      </c>
      <c r="Y17" s="66">
        <v>452.70855720982502</v>
      </c>
      <c r="Z17" s="66">
        <v>140.82430103475261</v>
      </c>
      <c r="AA17" s="67">
        <v>0</v>
      </c>
      <c r="AB17" s="68">
        <v>157.98057786093932</v>
      </c>
      <c r="AC17" s="69">
        <v>0</v>
      </c>
      <c r="AD17" s="406">
        <v>22.450117494623228</v>
      </c>
      <c r="AE17" s="406">
        <v>7.9985446477320838</v>
      </c>
      <c r="AF17" s="69">
        <v>28.732461449835039</v>
      </c>
      <c r="AG17" s="68">
        <v>21.619389094209978</v>
      </c>
      <c r="AH17" s="68">
        <v>6.72515531129969</v>
      </c>
      <c r="AI17" s="68">
        <v>0.76273545924440966</v>
      </c>
      <c r="AJ17" s="69">
        <v>221.09370282491048</v>
      </c>
      <c r="AK17" s="69">
        <v>776.72441596984856</v>
      </c>
      <c r="AL17" s="69">
        <v>2883.7008173624677</v>
      </c>
      <c r="AM17" s="69">
        <v>469.26754760742188</v>
      </c>
      <c r="AN17" s="69">
        <v>1248.4801025390625</v>
      </c>
      <c r="AO17" s="69">
        <v>2779.8108847300209</v>
      </c>
      <c r="AP17" s="69">
        <v>466.58555113474523</v>
      </c>
      <c r="AQ17" s="69">
        <v>3678.4289337158198</v>
      </c>
      <c r="AR17" s="69">
        <v>471.86402978897098</v>
      </c>
      <c r="AS17" s="69">
        <v>787.17497215270998</v>
      </c>
    </row>
    <row r="18" spans="1:45" x14ac:dyDescent="0.25">
      <c r="A18" s="11">
        <v>44388</v>
      </c>
      <c r="B18" s="59"/>
      <c r="C18" s="60">
        <v>84.73429569800706</v>
      </c>
      <c r="D18" s="60">
        <v>977.79024600982689</v>
      </c>
      <c r="E18" s="60">
        <v>20.00539139956237</v>
      </c>
      <c r="F18" s="60">
        <v>0</v>
      </c>
      <c r="G18" s="60">
        <v>2834.3007843017554</v>
      </c>
      <c r="H18" s="61">
        <v>32.320138641198547</v>
      </c>
      <c r="I18" s="59">
        <v>247.62650588353429</v>
      </c>
      <c r="J18" s="60">
        <v>728.38065875371399</v>
      </c>
      <c r="K18" s="60">
        <v>39.967326507965623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463.60607815348374</v>
      </c>
      <c r="V18" s="62">
        <v>193.27871523403874</v>
      </c>
      <c r="W18" s="62">
        <v>79.430884711808261</v>
      </c>
      <c r="X18" s="62">
        <v>33.114965636664373</v>
      </c>
      <c r="Y18" s="66">
        <v>401.33385595044996</v>
      </c>
      <c r="Z18" s="66">
        <v>167.31724563875383</v>
      </c>
      <c r="AA18" s="67">
        <v>0</v>
      </c>
      <c r="AB18" s="68">
        <v>144.42166521284366</v>
      </c>
      <c r="AC18" s="69">
        <v>0</v>
      </c>
      <c r="AD18" s="406">
        <v>19.628501624066182</v>
      </c>
      <c r="AE18" s="406">
        <v>8.0298929542079343</v>
      </c>
      <c r="AF18" s="69">
        <v>27.565687998135896</v>
      </c>
      <c r="AG18" s="68">
        <v>19.188727666376828</v>
      </c>
      <c r="AH18" s="68">
        <v>7.9998360787351972</v>
      </c>
      <c r="AI18" s="68">
        <v>0.70576466805189697</v>
      </c>
      <c r="AJ18" s="69">
        <v>226.10030714670819</v>
      </c>
      <c r="AK18" s="69">
        <v>778.90173985163369</v>
      </c>
      <c r="AL18" s="69">
        <v>2813.1023493448893</v>
      </c>
      <c r="AM18" s="69">
        <v>469.26754760742188</v>
      </c>
      <c r="AN18" s="69">
        <v>1248.4801025390625</v>
      </c>
      <c r="AO18" s="69">
        <v>2699.6555143992109</v>
      </c>
      <c r="AP18" s="69">
        <v>453.5878974596659</v>
      </c>
      <c r="AQ18" s="69">
        <v>3580.6096102396641</v>
      </c>
      <c r="AR18" s="69">
        <v>447.60479974746704</v>
      </c>
      <c r="AS18" s="69">
        <v>788.59465144475303</v>
      </c>
    </row>
    <row r="19" spans="1:45" x14ac:dyDescent="0.25">
      <c r="A19" s="11">
        <v>44389</v>
      </c>
      <c r="B19" s="59"/>
      <c r="C19" s="60">
        <v>84.838955752054332</v>
      </c>
      <c r="D19" s="60">
        <v>976.90227457682192</v>
      </c>
      <c r="E19" s="60">
        <v>19.741309486329552</v>
      </c>
      <c r="F19" s="60">
        <v>0</v>
      </c>
      <c r="G19" s="60">
        <v>2896.2293343861888</v>
      </c>
      <c r="H19" s="61">
        <v>36.524542178710384</v>
      </c>
      <c r="I19" s="59">
        <v>232.48392057418795</v>
      </c>
      <c r="J19" s="60">
        <v>683.15935920079778</v>
      </c>
      <c r="K19" s="60">
        <v>37.750296072165227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437.1452408597039</v>
      </c>
      <c r="V19" s="62">
        <v>194.30302673791618</v>
      </c>
      <c r="W19" s="62">
        <v>74.088355506038909</v>
      </c>
      <c r="X19" s="62">
        <v>32.930912601375425</v>
      </c>
      <c r="Y19" s="66">
        <v>371.25535906000607</v>
      </c>
      <c r="Z19" s="66">
        <v>165.01618504679584</v>
      </c>
      <c r="AA19" s="67">
        <v>0</v>
      </c>
      <c r="AB19" s="68">
        <v>138.05698320600681</v>
      </c>
      <c r="AC19" s="69">
        <v>0</v>
      </c>
      <c r="AD19" s="406">
        <v>18.419007610302103</v>
      </c>
      <c r="AE19" s="406">
        <v>8.028526022981195</v>
      </c>
      <c r="AF19" s="69">
        <v>26.115768480300911</v>
      </c>
      <c r="AG19" s="68">
        <v>17.843471910160861</v>
      </c>
      <c r="AH19" s="68">
        <v>7.931095378823863</v>
      </c>
      <c r="AI19" s="68">
        <v>0.6922898728075495</v>
      </c>
      <c r="AJ19" s="69">
        <v>222.33514328002929</v>
      </c>
      <c r="AK19" s="69">
        <v>770.60049428939817</v>
      </c>
      <c r="AL19" s="69">
        <v>3154.1621615091963</v>
      </c>
      <c r="AM19" s="69">
        <v>469.26754760742188</v>
      </c>
      <c r="AN19" s="69">
        <v>1248.4801025390625</v>
      </c>
      <c r="AO19" s="69">
        <v>2728.2096747080486</v>
      </c>
      <c r="AP19" s="69">
        <v>453.83552487691259</v>
      </c>
      <c r="AQ19" s="69">
        <v>3352.305434290568</v>
      </c>
      <c r="AR19" s="69">
        <v>445.57961600621542</v>
      </c>
      <c r="AS19" s="69">
        <v>852.51009794871004</v>
      </c>
    </row>
    <row r="20" spans="1:45" x14ac:dyDescent="0.25">
      <c r="A20" s="11">
        <v>44390</v>
      </c>
      <c r="B20" s="59"/>
      <c r="C20" s="60">
        <v>90.985123642285856</v>
      </c>
      <c r="D20" s="60">
        <v>973.03261349995876</v>
      </c>
      <c r="E20" s="60">
        <v>19.76406943450371</v>
      </c>
      <c r="F20" s="60">
        <v>0</v>
      </c>
      <c r="G20" s="60">
        <v>2901.2041791280112</v>
      </c>
      <c r="H20" s="61">
        <v>32.138270465533019</v>
      </c>
      <c r="I20" s="59">
        <v>232.29566330909654</v>
      </c>
      <c r="J20" s="60">
        <v>687.94283253351909</v>
      </c>
      <c r="K20" s="60">
        <v>37.789937307437256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440.62265502212801</v>
      </c>
      <c r="V20" s="62">
        <v>195.78252304794978</v>
      </c>
      <c r="W20" s="62">
        <v>74.578935985307496</v>
      </c>
      <c r="X20" s="62">
        <v>33.137770123739465</v>
      </c>
      <c r="Y20" s="66">
        <v>372.35461997210638</v>
      </c>
      <c r="Z20" s="66">
        <v>165.44888497174173</v>
      </c>
      <c r="AA20" s="67">
        <v>0</v>
      </c>
      <c r="AB20" s="68">
        <v>138.05681162940274</v>
      </c>
      <c r="AC20" s="69">
        <v>0</v>
      </c>
      <c r="AD20" s="406">
        <v>18.422671922789988</v>
      </c>
      <c r="AE20" s="406">
        <v>7.9974920033286221</v>
      </c>
      <c r="AF20" s="69">
        <v>26.349744151698193</v>
      </c>
      <c r="AG20" s="68">
        <v>17.999784274098602</v>
      </c>
      <c r="AH20" s="68">
        <v>7.9978710566410998</v>
      </c>
      <c r="AI20" s="68">
        <v>0.69236183206166313</v>
      </c>
      <c r="AJ20" s="69">
        <v>213.65667632420858</v>
      </c>
      <c r="AK20" s="69">
        <v>760.08092718124385</v>
      </c>
      <c r="AL20" s="69">
        <v>2807.5968387603757</v>
      </c>
      <c r="AM20" s="69">
        <v>469.26754760742188</v>
      </c>
      <c r="AN20" s="69">
        <v>1248.4801025390625</v>
      </c>
      <c r="AO20" s="69">
        <v>2708.1068461100253</v>
      </c>
      <c r="AP20" s="69">
        <v>448.18908392588293</v>
      </c>
      <c r="AQ20" s="69">
        <v>3421.9158999125161</v>
      </c>
      <c r="AR20" s="69">
        <v>467.09064613978069</v>
      </c>
      <c r="AS20" s="69">
        <v>859.25369462966921</v>
      </c>
    </row>
    <row r="21" spans="1:45" x14ac:dyDescent="0.25">
      <c r="A21" s="11">
        <v>44391</v>
      </c>
      <c r="B21" s="59"/>
      <c r="C21" s="60">
        <v>84.668190733591359</v>
      </c>
      <c r="D21" s="60">
        <v>971.31569525400539</v>
      </c>
      <c r="E21" s="60">
        <v>19.62194862961768</v>
      </c>
      <c r="F21" s="60">
        <v>0</v>
      </c>
      <c r="G21" s="60">
        <v>2962.7442178090346</v>
      </c>
      <c r="H21" s="61">
        <v>31.96961694359787</v>
      </c>
      <c r="I21" s="59">
        <v>232.56576526959702</v>
      </c>
      <c r="J21" s="60">
        <v>683.3313516139998</v>
      </c>
      <c r="K21" s="60">
        <v>37.671514489253362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438.87816478531039</v>
      </c>
      <c r="V21" s="62">
        <v>195.06131771286147</v>
      </c>
      <c r="W21" s="62">
        <v>74.683147186359705</v>
      </c>
      <c r="X21" s="62">
        <v>33.193251043239194</v>
      </c>
      <c r="Y21" s="66">
        <v>370.99196138539327</v>
      </c>
      <c r="Z21" s="66">
        <v>164.88899803004276</v>
      </c>
      <c r="AA21" s="67">
        <v>0</v>
      </c>
      <c r="AB21" s="68">
        <v>138.06247790654629</v>
      </c>
      <c r="AC21" s="69">
        <v>0</v>
      </c>
      <c r="AD21" s="406">
        <v>18.42297869666141</v>
      </c>
      <c r="AE21" s="406">
        <v>7.9834785588931894</v>
      </c>
      <c r="AF21" s="69">
        <v>26.233954747517899</v>
      </c>
      <c r="AG21" s="68">
        <v>17.918461024925094</v>
      </c>
      <c r="AH21" s="68">
        <v>7.9639382848272113</v>
      </c>
      <c r="AI21" s="68">
        <v>0.6923029356931969</v>
      </c>
      <c r="AJ21" s="69">
        <v>228.70374644597371</v>
      </c>
      <c r="AK21" s="69">
        <v>776.12309312820435</v>
      </c>
      <c r="AL21" s="69">
        <v>2802.992208607991</v>
      </c>
      <c r="AM21" s="69">
        <v>469.26754760742188</v>
      </c>
      <c r="AN21" s="69">
        <v>1248.4801025390625</v>
      </c>
      <c r="AO21" s="69">
        <v>2694.7213699340823</v>
      </c>
      <c r="AP21" s="69">
        <v>429.90326946576437</v>
      </c>
      <c r="AQ21" s="69">
        <v>3416.4731157938645</v>
      </c>
      <c r="AR21" s="69">
        <v>459.6660254160563</v>
      </c>
      <c r="AS21" s="69">
        <v>914.9840285301209</v>
      </c>
    </row>
    <row r="22" spans="1:45" x14ac:dyDescent="0.25">
      <c r="A22" s="11">
        <v>44392</v>
      </c>
      <c r="B22" s="59"/>
      <c r="C22" s="60">
        <v>85.270064242680746</v>
      </c>
      <c r="D22" s="60">
        <v>981.93302351633838</v>
      </c>
      <c r="E22" s="60">
        <v>20.052033003667965</v>
      </c>
      <c r="F22" s="60">
        <v>0</v>
      </c>
      <c r="G22" s="60">
        <v>2956.529565175374</v>
      </c>
      <c r="H22" s="61">
        <v>32.331589482228054</v>
      </c>
      <c r="I22" s="59">
        <v>232.90478226343714</v>
      </c>
      <c r="J22" s="60">
        <v>683.75987361272291</v>
      </c>
      <c r="K22" s="60">
        <v>37.714134353399238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426.49286080359207</v>
      </c>
      <c r="V22" s="62">
        <v>169.10821731463008</v>
      </c>
      <c r="W22" s="62">
        <v>73.048888848729675</v>
      </c>
      <c r="X22" s="62">
        <v>28.964534943791477</v>
      </c>
      <c r="Y22" s="66">
        <v>362.05436545020285</v>
      </c>
      <c r="Z22" s="66">
        <v>143.55778006905325</v>
      </c>
      <c r="AA22" s="67">
        <v>0</v>
      </c>
      <c r="AB22" s="68">
        <v>138.57482041252823</v>
      </c>
      <c r="AC22" s="69">
        <v>0</v>
      </c>
      <c r="AD22" s="406">
        <v>18.427141812724908</v>
      </c>
      <c r="AE22" s="406">
        <v>8.0707907411725603</v>
      </c>
      <c r="AF22" s="69">
        <v>24.804788178867767</v>
      </c>
      <c r="AG22" s="68">
        <v>17.512151654670923</v>
      </c>
      <c r="AH22" s="68">
        <v>6.9437240803630953</v>
      </c>
      <c r="AI22" s="68">
        <v>0.71607133780059506</v>
      </c>
      <c r="AJ22" s="69">
        <v>237.52446985244751</v>
      </c>
      <c r="AK22" s="69">
        <v>783.02238677342746</v>
      </c>
      <c r="AL22" s="69">
        <v>2843.1759335835773</v>
      </c>
      <c r="AM22" s="69">
        <v>469.26754760742188</v>
      </c>
      <c r="AN22" s="69">
        <v>1248.4801025390625</v>
      </c>
      <c r="AO22" s="69">
        <v>2715.6953231811517</v>
      </c>
      <c r="AP22" s="69">
        <v>437.43384720484426</v>
      </c>
      <c r="AQ22" s="69">
        <v>3416.3507956186927</v>
      </c>
      <c r="AR22" s="69">
        <v>445.35381848017374</v>
      </c>
      <c r="AS22" s="69">
        <v>851.96263602574675</v>
      </c>
    </row>
    <row r="23" spans="1:45" x14ac:dyDescent="0.25">
      <c r="A23" s="11">
        <v>44393</v>
      </c>
      <c r="B23" s="59"/>
      <c r="C23" s="60">
        <v>85.193015579383484</v>
      </c>
      <c r="D23" s="60">
        <v>983.04962189991977</v>
      </c>
      <c r="E23" s="60">
        <v>20.183429152270168</v>
      </c>
      <c r="F23" s="60">
        <v>0</v>
      </c>
      <c r="G23" s="60">
        <v>2948.4194580078156</v>
      </c>
      <c r="H23" s="61">
        <v>32.235759180784299</v>
      </c>
      <c r="I23" s="59">
        <v>232.80513224601705</v>
      </c>
      <c r="J23" s="60">
        <v>684.23321189880517</v>
      </c>
      <c r="K23" s="60">
        <v>41.961907674868861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415.58087325429636</v>
      </c>
      <c r="V23" s="62">
        <v>187.26782917642421</v>
      </c>
      <c r="W23" s="62">
        <v>70.266288670807569</v>
      </c>
      <c r="X23" s="62">
        <v>31.663188059221074</v>
      </c>
      <c r="Y23" s="66">
        <v>360.04141047886071</v>
      </c>
      <c r="Z23" s="66">
        <v>162.24080003012284</v>
      </c>
      <c r="AA23" s="67">
        <v>0</v>
      </c>
      <c r="AB23" s="68">
        <v>138.98650186326748</v>
      </c>
      <c r="AC23" s="69">
        <v>0</v>
      </c>
      <c r="AD23" s="406">
        <v>18.442514979416984</v>
      </c>
      <c r="AE23" s="406">
        <v>8.079918763226857</v>
      </c>
      <c r="AF23" s="69">
        <v>25.568528298536911</v>
      </c>
      <c r="AG23" s="68">
        <v>17.380588842196673</v>
      </c>
      <c r="AH23" s="68">
        <v>7.8319897564065846</v>
      </c>
      <c r="AI23" s="68">
        <v>0.68936181097952176</v>
      </c>
      <c r="AJ23" s="69">
        <v>210.99689237276712</v>
      </c>
      <c r="AK23" s="69">
        <v>770.28819176355989</v>
      </c>
      <c r="AL23" s="69">
        <v>2851.8097862243649</v>
      </c>
      <c r="AM23" s="69">
        <v>469.26754760742188</v>
      </c>
      <c r="AN23" s="69">
        <v>1248.4801025390625</v>
      </c>
      <c r="AO23" s="69">
        <v>2752.4511089324951</v>
      </c>
      <c r="AP23" s="69">
        <v>452.33665409088144</v>
      </c>
      <c r="AQ23" s="69">
        <v>3427.7850355784099</v>
      </c>
      <c r="AR23" s="69">
        <v>448.68382822672527</v>
      </c>
      <c r="AS23" s="69">
        <v>870.38261448542278</v>
      </c>
    </row>
    <row r="24" spans="1:45" x14ac:dyDescent="0.25">
      <c r="A24" s="11">
        <v>44394</v>
      </c>
      <c r="B24" s="59"/>
      <c r="C24" s="60">
        <v>84.421598311266251</v>
      </c>
      <c r="D24" s="60">
        <v>975.34416421254332</v>
      </c>
      <c r="E24" s="60">
        <v>20.193816592792633</v>
      </c>
      <c r="F24" s="60">
        <v>0</v>
      </c>
      <c r="G24" s="60">
        <v>3000.2744363149054</v>
      </c>
      <c r="H24" s="61">
        <v>32.263993906974854</v>
      </c>
      <c r="I24" s="59">
        <v>229.99577875137302</v>
      </c>
      <c r="J24" s="60">
        <v>684.17140429814799</v>
      </c>
      <c r="K24" s="60">
        <v>37.765741544961898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426.35390467301448</v>
      </c>
      <c r="V24" s="62">
        <v>189.61526223100276</v>
      </c>
      <c r="W24" s="62">
        <v>73.4132747161689</v>
      </c>
      <c r="X24" s="62">
        <v>32.64958332495852</v>
      </c>
      <c r="Y24" s="66">
        <v>362.94408909260119</v>
      </c>
      <c r="Z24" s="66">
        <v>161.41458509982741</v>
      </c>
      <c r="AA24" s="67">
        <v>0</v>
      </c>
      <c r="AB24" s="68">
        <v>138.73138831456299</v>
      </c>
      <c r="AC24" s="69">
        <v>0</v>
      </c>
      <c r="AD24" s="406">
        <v>18.438786791026949</v>
      </c>
      <c r="AE24" s="406">
        <v>8.0165171748904793</v>
      </c>
      <c r="AF24" s="69">
        <v>26.199590330653731</v>
      </c>
      <c r="AG24" s="68">
        <v>17.865129008317254</v>
      </c>
      <c r="AH24" s="68">
        <v>7.9452799295945509</v>
      </c>
      <c r="AI24" s="68">
        <v>0.6921676077001605</v>
      </c>
      <c r="AJ24" s="69">
        <v>213.01877981821696</v>
      </c>
      <c r="AK24" s="69">
        <v>775.73543729782114</v>
      </c>
      <c r="AL24" s="69">
        <v>2750.4629999796548</v>
      </c>
      <c r="AM24" s="69">
        <v>469.26754760742188</v>
      </c>
      <c r="AN24" s="69">
        <v>1248.4801025390625</v>
      </c>
      <c r="AO24" s="69">
        <v>2728.6099452972412</v>
      </c>
      <c r="AP24" s="69">
        <v>460.47259558041901</v>
      </c>
      <c r="AQ24" s="69">
        <v>3447.4075220743812</v>
      </c>
      <c r="AR24" s="69">
        <v>466.94883273442588</v>
      </c>
      <c r="AS24" s="69">
        <v>829.27459971110022</v>
      </c>
    </row>
    <row r="25" spans="1:45" x14ac:dyDescent="0.25">
      <c r="A25" s="11">
        <v>44395</v>
      </c>
      <c r="B25" s="59"/>
      <c r="C25" s="60">
        <v>84.741925032934034</v>
      </c>
      <c r="D25" s="60">
        <v>972.51199442545374</v>
      </c>
      <c r="E25" s="60">
        <v>20.170453864335979</v>
      </c>
      <c r="F25" s="60">
        <v>0</v>
      </c>
      <c r="G25" s="60">
        <v>2993.4837668101027</v>
      </c>
      <c r="H25" s="61">
        <v>32.21926171978324</v>
      </c>
      <c r="I25" s="59">
        <v>226.59378819465604</v>
      </c>
      <c r="J25" s="60">
        <v>684.69179016749104</v>
      </c>
      <c r="K25" s="60">
        <v>37.767270032564788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427.9888750236866</v>
      </c>
      <c r="V25" s="62">
        <v>191.02504073761753</v>
      </c>
      <c r="W25" s="62">
        <v>73.523548847560534</v>
      </c>
      <c r="X25" s="62">
        <v>32.815897172565911</v>
      </c>
      <c r="Y25" s="66">
        <v>361.73103719842834</v>
      </c>
      <c r="Z25" s="66">
        <v>161.45206137207694</v>
      </c>
      <c r="AA25" s="67">
        <v>0</v>
      </c>
      <c r="AB25" s="68">
        <v>138.509156534407</v>
      </c>
      <c r="AC25" s="69">
        <v>0</v>
      </c>
      <c r="AD25" s="406">
        <v>18.452929678041009</v>
      </c>
      <c r="AE25" s="406">
        <v>8.0116763636513433</v>
      </c>
      <c r="AF25" s="69">
        <v>26.118421222103976</v>
      </c>
      <c r="AG25" s="68">
        <v>17.799608323651679</v>
      </c>
      <c r="AH25" s="68">
        <v>7.9445310463993239</v>
      </c>
      <c r="AI25" s="68">
        <v>0.69140428692514555</v>
      </c>
      <c r="AJ25" s="69">
        <v>216.96561036109924</v>
      </c>
      <c r="AK25" s="69">
        <v>776.32992709477742</v>
      </c>
      <c r="AL25" s="69">
        <v>2891.215841293335</v>
      </c>
      <c r="AM25" s="69">
        <v>469.26754760742188</v>
      </c>
      <c r="AN25" s="69">
        <v>1248.4801025390625</v>
      </c>
      <c r="AO25" s="69">
        <v>2739.1835375467931</v>
      </c>
      <c r="AP25" s="69">
        <v>461.63791089057906</v>
      </c>
      <c r="AQ25" s="69">
        <v>3384.5122364044187</v>
      </c>
      <c r="AR25" s="69">
        <v>466.8126060167948</v>
      </c>
      <c r="AS25" s="69">
        <v>843.81067940394064</v>
      </c>
    </row>
    <row r="26" spans="1:45" x14ac:dyDescent="0.25">
      <c r="A26" s="11">
        <v>44396</v>
      </c>
      <c r="B26" s="59"/>
      <c r="C26" s="60">
        <v>85.936230536302304</v>
      </c>
      <c r="D26" s="60">
        <v>980.93374036153136</v>
      </c>
      <c r="E26" s="60">
        <v>20.566938915848745</v>
      </c>
      <c r="F26" s="60">
        <v>0</v>
      </c>
      <c r="G26" s="60">
        <v>2815.2239554087355</v>
      </c>
      <c r="H26" s="61">
        <v>32.555300664901807</v>
      </c>
      <c r="I26" s="59">
        <v>195.60374198754641</v>
      </c>
      <c r="J26" s="60">
        <v>741.2922798156734</v>
      </c>
      <c r="K26" s="60">
        <v>41.095001247525218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452.86451081569123</v>
      </c>
      <c r="V26" s="62">
        <v>172.06280000075614</v>
      </c>
      <c r="W26" s="62">
        <v>78.920661204748839</v>
      </c>
      <c r="X26" s="62">
        <v>29.985370062099435</v>
      </c>
      <c r="Y26" s="66">
        <v>394.43379863725278</v>
      </c>
      <c r="Z26" s="66">
        <v>149.86244712843285</v>
      </c>
      <c r="AA26" s="67">
        <v>0</v>
      </c>
      <c r="AB26" s="68">
        <v>146.38105626636084</v>
      </c>
      <c r="AC26" s="69">
        <v>0</v>
      </c>
      <c r="AD26" s="406">
        <v>19.979535442589967</v>
      </c>
      <c r="AE26" s="406">
        <v>8.1212627670779778</v>
      </c>
      <c r="AF26" s="69">
        <v>26.571951501899353</v>
      </c>
      <c r="AG26" s="68">
        <v>19.009450432165892</v>
      </c>
      <c r="AH26" s="68">
        <v>7.2225117882227226</v>
      </c>
      <c r="AI26" s="68">
        <v>0.72466749808715891</v>
      </c>
      <c r="AJ26" s="69">
        <v>215.08496063550311</v>
      </c>
      <c r="AK26" s="69">
        <v>772.89864149093626</v>
      </c>
      <c r="AL26" s="69">
        <v>2923.7422894795732</v>
      </c>
      <c r="AM26" s="69">
        <v>469.26754760742188</v>
      </c>
      <c r="AN26" s="69">
        <v>1248.4801025390625</v>
      </c>
      <c r="AO26" s="69">
        <v>2742.8022646586105</v>
      </c>
      <c r="AP26" s="69">
        <v>470.6163525740306</v>
      </c>
      <c r="AQ26" s="69">
        <v>3423.8185593922935</v>
      </c>
      <c r="AR26" s="69">
        <v>482.06885070800786</v>
      </c>
      <c r="AS26" s="69">
        <v>908.21021677652993</v>
      </c>
    </row>
    <row r="27" spans="1:45" x14ac:dyDescent="0.25">
      <c r="A27" s="11">
        <v>44397</v>
      </c>
      <c r="B27" s="59"/>
      <c r="C27" s="60">
        <v>86.794936553638138</v>
      </c>
      <c r="D27" s="60">
        <v>986.13843294779383</v>
      </c>
      <c r="E27" s="60">
        <v>20.781695538262525</v>
      </c>
      <c r="F27" s="60">
        <v>0</v>
      </c>
      <c r="G27" s="60">
        <v>2819.5181716918955</v>
      </c>
      <c r="H27" s="61">
        <v>32.989363086223605</v>
      </c>
      <c r="I27" s="59">
        <v>189.19660448233284</v>
      </c>
      <c r="J27" s="60">
        <v>755.97980616887412</v>
      </c>
      <c r="K27" s="60">
        <v>41.370049219330134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455.67097682385895</v>
      </c>
      <c r="V27" s="62">
        <v>182.2957182411071</v>
      </c>
      <c r="W27" s="62">
        <v>78.290555997546065</v>
      </c>
      <c r="X27" s="62">
        <v>31.320917642260049</v>
      </c>
      <c r="Y27" s="62">
        <v>404.77138366678707</v>
      </c>
      <c r="Z27" s="62">
        <v>161.93282842656598</v>
      </c>
      <c r="AA27" s="72">
        <v>0</v>
      </c>
      <c r="AB27" s="69">
        <v>148.9881833076482</v>
      </c>
      <c r="AC27" s="69">
        <v>0</v>
      </c>
      <c r="AD27" s="406">
        <v>20.374081676673459</v>
      </c>
      <c r="AE27" s="406">
        <v>8.2326638961440342</v>
      </c>
      <c r="AF27" s="69">
        <v>27.67539126475647</v>
      </c>
      <c r="AG27" s="69">
        <v>19.547217358524186</v>
      </c>
      <c r="AH27" s="69">
        <v>7.8200592296327827</v>
      </c>
      <c r="AI27" s="69">
        <v>0.71425511762405813</v>
      </c>
      <c r="AJ27" s="69">
        <v>230.16386750539144</v>
      </c>
      <c r="AK27" s="69">
        <v>775.93746935526531</v>
      </c>
      <c r="AL27" s="69">
        <v>2884.7675577799482</v>
      </c>
      <c r="AM27" s="69">
        <v>469.26754760742188</v>
      </c>
      <c r="AN27" s="69">
        <v>1248.4801025390625</v>
      </c>
      <c r="AO27" s="69">
        <v>2759.705629221598</v>
      </c>
      <c r="AP27" s="69">
        <v>474.19354818662009</v>
      </c>
      <c r="AQ27" s="69">
        <v>3564.3530035654708</v>
      </c>
      <c r="AR27" s="69">
        <v>492.72571748097744</v>
      </c>
      <c r="AS27" s="69">
        <v>938.52057345708226</v>
      </c>
    </row>
    <row r="28" spans="1:45" x14ac:dyDescent="0.25">
      <c r="A28" s="11">
        <v>44398</v>
      </c>
      <c r="B28" s="59"/>
      <c r="C28" s="60">
        <v>86.821974543730775</v>
      </c>
      <c r="D28" s="60">
        <v>979.92157522837238</v>
      </c>
      <c r="E28" s="60">
        <v>20.756902379294189</v>
      </c>
      <c r="F28" s="60">
        <v>0</v>
      </c>
      <c r="G28" s="60">
        <v>2805.0739542643232</v>
      </c>
      <c r="H28" s="61">
        <v>33.055622514089016</v>
      </c>
      <c r="I28" s="59">
        <v>191.30202625592571</v>
      </c>
      <c r="J28" s="60">
        <v>756.41761611302638</v>
      </c>
      <c r="K28" s="60">
        <v>41.379346882303608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470.37351284849336</v>
      </c>
      <c r="V28" s="62">
        <v>188.06753136553826</v>
      </c>
      <c r="W28" s="62">
        <v>80.656830323280943</v>
      </c>
      <c r="X28" s="62">
        <v>32.248692905364393</v>
      </c>
      <c r="Y28" s="66">
        <v>412.27644914089723</v>
      </c>
      <c r="Z28" s="66">
        <v>164.83881832660208</v>
      </c>
      <c r="AA28" s="67">
        <v>0</v>
      </c>
      <c r="AB28" s="68">
        <v>148.8124649471724</v>
      </c>
      <c r="AC28" s="69">
        <v>0</v>
      </c>
      <c r="AD28" s="406">
        <v>20.385301362000043</v>
      </c>
      <c r="AE28" s="406">
        <v>8.230584253064789</v>
      </c>
      <c r="AF28" s="69">
        <v>28.174732312891198</v>
      </c>
      <c r="AG28" s="68">
        <v>19.91060247088933</v>
      </c>
      <c r="AH28" s="68">
        <v>7.960775325176213</v>
      </c>
      <c r="AI28" s="68">
        <v>0.71437453205847634</v>
      </c>
      <c r="AJ28" s="69">
        <v>213.16708210309346</v>
      </c>
      <c r="AK28" s="69">
        <v>775.17754700978583</v>
      </c>
      <c r="AL28" s="69">
        <v>2812.7117591857909</v>
      </c>
      <c r="AM28" s="69">
        <v>469.26754760742188</v>
      </c>
      <c r="AN28" s="69">
        <v>1248.4801025390625</v>
      </c>
      <c r="AO28" s="69">
        <v>2751.5086716969813</v>
      </c>
      <c r="AP28" s="69">
        <v>471.92206792831428</v>
      </c>
      <c r="AQ28" s="69">
        <v>3494.804401652018</v>
      </c>
      <c r="AR28" s="69">
        <v>501.61876598993939</v>
      </c>
      <c r="AS28" s="69">
        <v>886.43701273600254</v>
      </c>
    </row>
    <row r="29" spans="1:45" x14ac:dyDescent="0.25">
      <c r="A29" s="11">
        <v>44399</v>
      </c>
      <c r="B29" s="59"/>
      <c r="C29" s="60">
        <v>85.55850364367204</v>
      </c>
      <c r="D29" s="60">
        <v>963.14982490539285</v>
      </c>
      <c r="E29" s="60">
        <v>20.462234453360217</v>
      </c>
      <c r="F29" s="60">
        <v>0</v>
      </c>
      <c r="G29" s="60">
        <v>2712.5946319580103</v>
      </c>
      <c r="H29" s="61">
        <v>32.450712962945325</v>
      </c>
      <c r="I29" s="59">
        <v>197.69965724150347</v>
      </c>
      <c r="J29" s="60">
        <v>757.51886657079024</v>
      </c>
      <c r="K29" s="60">
        <v>41.453615863124519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471.33723751248857</v>
      </c>
      <c r="V29" s="62">
        <v>188.58928904458534</v>
      </c>
      <c r="W29" s="62">
        <v>80.987216105210379</v>
      </c>
      <c r="X29" s="62">
        <v>32.404232662769687</v>
      </c>
      <c r="Y29" s="66">
        <v>412.79080131438127</v>
      </c>
      <c r="Z29" s="66">
        <v>165.16395809266223</v>
      </c>
      <c r="AA29" s="67">
        <v>0</v>
      </c>
      <c r="AB29" s="68">
        <v>148.02824223836342</v>
      </c>
      <c r="AC29" s="69">
        <v>0</v>
      </c>
      <c r="AD29" s="406">
        <v>20.410555997642561</v>
      </c>
      <c r="AE29" s="406">
        <v>8.0907716429236789</v>
      </c>
      <c r="AF29" s="69">
        <v>28.166801257928263</v>
      </c>
      <c r="AG29" s="68">
        <v>19.904544738583343</v>
      </c>
      <c r="AH29" s="68">
        <v>7.9641149526322224</v>
      </c>
      <c r="AI29" s="68">
        <v>0.71422683972338374</v>
      </c>
      <c r="AJ29" s="69">
        <v>208.87142628033956</v>
      </c>
      <c r="AK29" s="69">
        <v>778.16458206176776</v>
      </c>
      <c r="AL29" s="69">
        <v>2890.7524595896407</v>
      </c>
      <c r="AM29" s="69">
        <v>469.26754760742188</v>
      </c>
      <c r="AN29" s="69">
        <v>1248.4801025390625</v>
      </c>
      <c r="AO29" s="69">
        <v>2765.8755676269534</v>
      </c>
      <c r="AP29" s="69">
        <v>479.7782519499462</v>
      </c>
      <c r="AQ29" s="69">
        <v>3489.8722386678055</v>
      </c>
      <c r="AR29" s="69">
        <v>502.99934253692635</v>
      </c>
      <c r="AS29" s="69">
        <v>954.49681247075409</v>
      </c>
    </row>
    <row r="30" spans="1:45" x14ac:dyDescent="0.25">
      <c r="A30" s="11">
        <v>44400</v>
      </c>
      <c r="B30" s="59"/>
      <c r="C30" s="60">
        <v>83.464011689027615</v>
      </c>
      <c r="D30" s="60">
        <v>948.93505198160653</v>
      </c>
      <c r="E30" s="60">
        <v>20.323295499881088</v>
      </c>
      <c r="F30" s="60">
        <v>0</v>
      </c>
      <c r="G30" s="60">
        <v>2630.5349948883027</v>
      </c>
      <c r="H30" s="61">
        <v>31.677952587604612</v>
      </c>
      <c r="I30" s="59">
        <v>198.15523395538347</v>
      </c>
      <c r="J30" s="60">
        <v>757.45928214391051</v>
      </c>
      <c r="K30" s="60">
        <v>41.493822586536396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470.52684601557473</v>
      </c>
      <c r="V30" s="62">
        <v>188.21286377497131</v>
      </c>
      <c r="W30" s="62">
        <v>80.169454461610101</v>
      </c>
      <c r="X30" s="62">
        <v>32.06814390989571</v>
      </c>
      <c r="Y30" s="66">
        <v>416.76821680015752</v>
      </c>
      <c r="Z30" s="66">
        <v>166.70916926119304</v>
      </c>
      <c r="AA30" s="67">
        <v>0</v>
      </c>
      <c r="AB30" s="68">
        <v>147.28272675408476</v>
      </c>
      <c r="AC30" s="69">
        <v>0</v>
      </c>
      <c r="AD30" s="406">
        <v>20.410869010093563</v>
      </c>
      <c r="AE30" s="406">
        <v>7.970612530633276</v>
      </c>
      <c r="AF30" s="69">
        <v>28.173186422718882</v>
      </c>
      <c r="AG30" s="68">
        <v>19.905935924059918</v>
      </c>
      <c r="AH30" s="68">
        <v>7.9624642846933016</v>
      </c>
      <c r="AI30" s="68">
        <v>0.71428340970242132</v>
      </c>
      <c r="AJ30" s="69">
        <v>210.15680982271832</v>
      </c>
      <c r="AK30" s="69">
        <v>778.57696828842177</v>
      </c>
      <c r="AL30" s="69">
        <v>2852.9646026611331</v>
      </c>
      <c r="AM30" s="69">
        <v>469.26754760742188</v>
      </c>
      <c r="AN30" s="69">
        <v>1248.4801025390625</v>
      </c>
      <c r="AO30" s="69">
        <v>2761.530642827352</v>
      </c>
      <c r="AP30" s="69">
        <v>485.86146507263186</v>
      </c>
      <c r="AQ30" s="69">
        <v>3485.5139097849528</v>
      </c>
      <c r="AR30" s="69">
        <v>506.80884475708012</v>
      </c>
      <c r="AS30" s="69">
        <v>878.98915615081773</v>
      </c>
    </row>
    <row r="31" spans="1:45" x14ac:dyDescent="0.25">
      <c r="A31" s="11">
        <v>44401</v>
      </c>
      <c r="B31" s="59"/>
      <c r="C31" s="60">
        <v>83.91353280544287</v>
      </c>
      <c r="D31" s="60">
        <v>949.82436345418296</v>
      </c>
      <c r="E31" s="60">
        <v>20.231125016013792</v>
      </c>
      <c r="F31" s="60">
        <v>0</v>
      </c>
      <c r="G31" s="60">
        <v>2591.377122116091</v>
      </c>
      <c r="H31" s="61">
        <v>32.010549877087321</v>
      </c>
      <c r="I31" s="59">
        <v>202.65591139793443</v>
      </c>
      <c r="J31" s="60">
        <v>709.36167535781976</v>
      </c>
      <c r="K31" s="60">
        <v>38.895949983596836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470.65124733366309</v>
      </c>
      <c r="V31" s="62">
        <v>188.27363006620092</v>
      </c>
      <c r="W31" s="62">
        <v>80.3666118676379</v>
      </c>
      <c r="X31" s="62">
        <v>32.1488869691972</v>
      </c>
      <c r="Y31" s="66">
        <v>417.10357336086525</v>
      </c>
      <c r="Z31" s="66">
        <v>166.85306650119495</v>
      </c>
      <c r="AA31" s="67">
        <v>0</v>
      </c>
      <c r="AB31" s="68">
        <v>147.63017615212411</v>
      </c>
      <c r="AC31" s="69">
        <v>0</v>
      </c>
      <c r="AD31" s="406">
        <v>20.410898767190904</v>
      </c>
      <c r="AE31" s="406">
        <v>7.978577917225703</v>
      </c>
      <c r="AF31" s="69">
        <v>28.192937996652418</v>
      </c>
      <c r="AG31" s="68">
        <v>19.918701102592649</v>
      </c>
      <c r="AH31" s="68">
        <v>7.9680361712291745</v>
      </c>
      <c r="AI31" s="68">
        <v>0.7142714799156864</v>
      </c>
      <c r="AJ31" s="69">
        <v>208.72852373123169</v>
      </c>
      <c r="AK31" s="69">
        <v>764.99389940897618</v>
      </c>
      <c r="AL31" s="69">
        <v>2801.416899871826</v>
      </c>
      <c r="AM31" s="69">
        <v>469.26754760742188</v>
      </c>
      <c r="AN31" s="69">
        <v>1248.4801025390625</v>
      </c>
      <c r="AO31" s="69">
        <v>2714.2494052886959</v>
      </c>
      <c r="AP31" s="69">
        <v>455.45682229995731</v>
      </c>
      <c r="AQ31" s="69">
        <v>3540.445436859131</v>
      </c>
      <c r="AR31" s="69">
        <v>478.94519443511962</v>
      </c>
      <c r="AS31" s="69">
        <v>809.08870608011898</v>
      </c>
    </row>
    <row r="32" spans="1:45" x14ac:dyDescent="0.25">
      <c r="A32" s="11">
        <v>44402</v>
      </c>
      <c r="B32" s="59"/>
      <c r="C32" s="60">
        <v>85.197406617800922</v>
      </c>
      <c r="D32" s="60">
        <v>963.57247416178143</v>
      </c>
      <c r="E32" s="60">
        <v>20.227721998592205</v>
      </c>
      <c r="F32" s="60">
        <v>0</v>
      </c>
      <c r="G32" s="60">
        <v>2535.5020885467502</v>
      </c>
      <c r="H32" s="61">
        <v>32.248512184619969</v>
      </c>
      <c r="I32" s="59">
        <v>184.71792883078231</v>
      </c>
      <c r="J32" s="60">
        <v>685.65131187439101</v>
      </c>
      <c r="K32" s="60">
        <v>37.56550640662509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460.66880875959669</v>
      </c>
      <c r="V32" s="62">
        <v>184.90848692521095</v>
      </c>
      <c r="W32" s="62">
        <v>78.160070626841829</v>
      </c>
      <c r="X32" s="62">
        <v>31.372778279675249</v>
      </c>
      <c r="Y32" s="66">
        <v>408.1729801205372</v>
      </c>
      <c r="Z32" s="66">
        <v>163.83711404526571</v>
      </c>
      <c r="AA32" s="67">
        <v>0</v>
      </c>
      <c r="AB32" s="68">
        <v>147.77374271816694</v>
      </c>
      <c r="AC32" s="69">
        <v>0</v>
      </c>
      <c r="AD32" s="406">
        <v>20.423157644238735</v>
      </c>
      <c r="AE32" s="406">
        <v>7.979846812850262</v>
      </c>
      <c r="AF32" s="69">
        <v>27.612087035179151</v>
      </c>
      <c r="AG32" s="68">
        <v>19.49144944631567</v>
      </c>
      <c r="AH32" s="68">
        <v>7.8236997091294587</v>
      </c>
      <c r="AI32" s="68">
        <v>0.71357653349771855</v>
      </c>
      <c r="AJ32" s="69">
        <v>212.80617566108705</v>
      </c>
      <c r="AK32" s="69">
        <v>773.69121894836428</v>
      </c>
      <c r="AL32" s="69">
        <v>2833.173446528117</v>
      </c>
      <c r="AM32" s="69">
        <v>469.26754760742188</v>
      </c>
      <c r="AN32" s="69">
        <v>1248.4801025390625</v>
      </c>
      <c r="AO32" s="69">
        <v>2822.6516029357908</v>
      </c>
      <c r="AP32" s="69">
        <v>457.84095533688873</v>
      </c>
      <c r="AQ32" s="69">
        <v>3544.0724770863835</v>
      </c>
      <c r="AR32" s="69">
        <v>479.4062653541564</v>
      </c>
      <c r="AS32" s="69">
        <v>841.49494489034021</v>
      </c>
    </row>
    <row r="33" spans="1:45" x14ac:dyDescent="0.25">
      <c r="A33" s="11">
        <v>44403</v>
      </c>
      <c r="B33" s="59"/>
      <c r="C33" s="60">
        <v>84.729580195743694</v>
      </c>
      <c r="D33" s="60">
        <v>966.87971331278482</v>
      </c>
      <c r="E33" s="60">
        <v>20.18888690918682</v>
      </c>
      <c r="F33" s="60">
        <v>0</v>
      </c>
      <c r="G33" s="60">
        <v>2584.395160293579</v>
      </c>
      <c r="H33" s="61">
        <v>32.190849886337951</v>
      </c>
      <c r="I33" s="59">
        <v>197.91766835848512</v>
      </c>
      <c r="J33" s="60">
        <v>772.94961249033634</v>
      </c>
      <c r="K33" s="60">
        <v>42.363788259029391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511.97170585636525</v>
      </c>
      <c r="V33" s="62">
        <v>183.18513730786387</v>
      </c>
      <c r="W33" s="62">
        <v>88.476098405208589</v>
      </c>
      <c r="X33" s="62">
        <v>31.657035045935253</v>
      </c>
      <c r="Y33" s="66">
        <v>460.82303367760915</v>
      </c>
      <c r="Z33" s="66">
        <v>164.88397646439913</v>
      </c>
      <c r="AA33" s="67">
        <v>0</v>
      </c>
      <c r="AB33" s="68">
        <v>160.32310678693963</v>
      </c>
      <c r="AC33" s="69">
        <v>0</v>
      </c>
      <c r="AD33" s="406">
        <v>23.02600038101874</v>
      </c>
      <c r="AE33" s="406">
        <v>7.9902749423015882</v>
      </c>
      <c r="AF33" s="69">
        <v>30.020700726244204</v>
      </c>
      <c r="AG33" s="68">
        <v>21.895592620406681</v>
      </c>
      <c r="AH33" s="68">
        <v>7.8343140738553396</v>
      </c>
      <c r="AI33" s="68">
        <v>0.73648373153598257</v>
      </c>
      <c r="AJ33" s="69">
        <v>215.61293889681497</v>
      </c>
      <c r="AK33" s="69">
        <v>776.40165294011422</v>
      </c>
      <c r="AL33" s="69">
        <v>2836.3672683715818</v>
      </c>
      <c r="AM33" s="69">
        <v>469.26754760742188</v>
      </c>
      <c r="AN33" s="69">
        <v>1248.4801025390625</v>
      </c>
      <c r="AO33" s="69">
        <v>2860.9817506154377</v>
      </c>
      <c r="AP33" s="69">
        <v>467.68200704256691</v>
      </c>
      <c r="AQ33" s="69">
        <v>3774.6433163960769</v>
      </c>
      <c r="AR33" s="69">
        <v>479.40156583786006</v>
      </c>
      <c r="AS33" s="69">
        <v>887.02487996419268</v>
      </c>
    </row>
    <row r="34" spans="1:45" x14ac:dyDescent="0.25">
      <c r="A34" s="11">
        <v>44404</v>
      </c>
      <c r="B34" s="59"/>
      <c r="C34" s="60">
        <v>84.386356254418956</v>
      </c>
      <c r="D34" s="60">
        <v>975.65188706715765</v>
      </c>
      <c r="E34" s="60">
        <v>20.090234993398155</v>
      </c>
      <c r="F34" s="60">
        <v>0</v>
      </c>
      <c r="G34" s="60">
        <v>2625.9402812957755</v>
      </c>
      <c r="H34" s="61">
        <v>31.997851488987678</v>
      </c>
      <c r="I34" s="59">
        <v>223.85283629099541</v>
      </c>
      <c r="J34" s="60">
        <v>852.79157320658453</v>
      </c>
      <c r="K34" s="60">
        <v>46.854480494062088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566.5397052969879</v>
      </c>
      <c r="V34" s="62">
        <v>161.44929324326083</v>
      </c>
      <c r="W34" s="62">
        <v>99.412547372932096</v>
      </c>
      <c r="X34" s="62">
        <v>28.330027644679195</v>
      </c>
      <c r="Y34" s="66">
        <v>534.11496562046375</v>
      </c>
      <c r="Z34" s="66">
        <v>152.20907361624049</v>
      </c>
      <c r="AA34" s="67">
        <v>0</v>
      </c>
      <c r="AB34" s="68">
        <v>171.95100093417855</v>
      </c>
      <c r="AC34" s="69">
        <v>0</v>
      </c>
      <c r="AD34" s="406">
        <v>25.404256780883777</v>
      </c>
      <c r="AE34" s="406">
        <v>7.9893085045375614</v>
      </c>
      <c r="AF34" s="69">
        <v>32.017485188775609</v>
      </c>
      <c r="AG34" s="68">
        <v>24.679623000456566</v>
      </c>
      <c r="AH34" s="68">
        <v>7.0330599138591738</v>
      </c>
      <c r="AI34" s="68">
        <v>0.77822564136683903</v>
      </c>
      <c r="AJ34" s="69">
        <v>210.20695044199624</v>
      </c>
      <c r="AK34" s="69">
        <v>781.5395348548891</v>
      </c>
      <c r="AL34" s="69">
        <v>2820.667222086588</v>
      </c>
      <c r="AM34" s="69">
        <v>469.26754760742188</v>
      </c>
      <c r="AN34" s="69">
        <v>1248.4801025390625</v>
      </c>
      <c r="AO34" s="69">
        <v>2897.6442495981851</v>
      </c>
      <c r="AP34" s="69">
        <v>486.27042293548584</v>
      </c>
      <c r="AQ34" s="69">
        <v>4040.1899786631266</v>
      </c>
      <c r="AR34" s="69">
        <v>509.4900243123372</v>
      </c>
      <c r="AS34" s="69">
        <v>920.02082678476972</v>
      </c>
    </row>
    <row r="35" spans="1:45" x14ac:dyDescent="0.25">
      <c r="A35" s="11">
        <v>44405</v>
      </c>
      <c r="B35" s="59"/>
      <c r="C35" s="60">
        <v>84.647334055106583</v>
      </c>
      <c r="D35" s="60">
        <v>978.36479571660118</v>
      </c>
      <c r="E35" s="60">
        <v>20.032290881872189</v>
      </c>
      <c r="F35" s="60">
        <v>0</v>
      </c>
      <c r="G35" s="60">
        <v>2317.167511113485</v>
      </c>
      <c r="H35" s="61">
        <v>32.071262035767347</v>
      </c>
      <c r="I35" s="59">
        <v>228.76140532493571</v>
      </c>
      <c r="J35" s="60">
        <v>851.61536871592227</v>
      </c>
      <c r="K35" s="60">
        <v>46.588367455204285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565.50437883119389</v>
      </c>
      <c r="V35" s="62">
        <v>181.09616327967407</v>
      </c>
      <c r="W35" s="62">
        <v>96.93892693989055</v>
      </c>
      <c r="X35" s="62">
        <v>31.043557571643767</v>
      </c>
      <c r="Y35" s="66">
        <v>522.9863843661318</v>
      </c>
      <c r="Z35" s="66">
        <v>167.480272835318</v>
      </c>
      <c r="AA35" s="67">
        <v>0</v>
      </c>
      <c r="AB35" s="68">
        <v>172.26123991012389</v>
      </c>
      <c r="AC35" s="69">
        <v>0</v>
      </c>
      <c r="AD35" s="406">
        <v>25.425745234391997</v>
      </c>
      <c r="AE35" s="406">
        <v>8.0122560002109271</v>
      </c>
      <c r="AF35" s="69">
        <v>32.771285982264374</v>
      </c>
      <c r="AG35" s="68">
        <v>24.781002135732543</v>
      </c>
      <c r="AH35" s="68">
        <v>7.9358260996705496</v>
      </c>
      <c r="AI35" s="68">
        <v>0.75743901448603312</v>
      </c>
      <c r="AJ35" s="69">
        <v>210.68009080886839</v>
      </c>
      <c r="AK35" s="69">
        <v>793.6725182215373</v>
      </c>
      <c r="AL35" s="69">
        <v>2820.9792053222659</v>
      </c>
      <c r="AM35" s="69">
        <v>455.3500560124715</v>
      </c>
      <c r="AN35" s="69">
        <v>1258.9348272959392</v>
      </c>
      <c r="AO35" s="69">
        <v>2640.6356932322178</v>
      </c>
      <c r="AP35" s="69">
        <v>496.83320822715763</v>
      </c>
      <c r="AQ35" s="69">
        <v>4084.6689869880684</v>
      </c>
      <c r="AR35" s="69">
        <v>533.56002843379974</v>
      </c>
      <c r="AS35" s="69">
        <v>972.62346076965321</v>
      </c>
    </row>
    <row r="36" spans="1:45" x14ac:dyDescent="0.25">
      <c r="A36" s="11">
        <v>44406</v>
      </c>
      <c r="B36" s="59"/>
      <c r="C36" s="60">
        <v>83.796323410670823</v>
      </c>
      <c r="D36" s="60">
        <v>983.35150522391007</v>
      </c>
      <c r="E36" s="60">
        <v>19.554626592000321</v>
      </c>
      <c r="F36" s="60">
        <v>0</v>
      </c>
      <c r="G36" s="60">
        <v>2243.9806303660048</v>
      </c>
      <c r="H36" s="61">
        <v>32.020252527793339</v>
      </c>
      <c r="I36" s="59">
        <v>227.65393654902758</v>
      </c>
      <c r="J36" s="60">
        <v>852.1344250679017</v>
      </c>
      <c r="K36" s="60">
        <v>46.411008736987931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562.57142344490956</v>
      </c>
      <c r="V36" s="62">
        <v>179.42058082245885</v>
      </c>
      <c r="W36" s="62">
        <v>94.682086467089633</v>
      </c>
      <c r="X36" s="62">
        <v>30.196903432068925</v>
      </c>
      <c r="Y36" s="66">
        <v>533.28916698995897</v>
      </c>
      <c r="Z36" s="66">
        <v>170.08160759703705</v>
      </c>
      <c r="AA36" s="67">
        <v>0</v>
      </c>
      <c r="AB36" s="68">
        <v>172.16760711670094</v>
      </c>
      <c r="AC36" s="69">
        <v>0</v>
      </c>
      <c r="AD36" s="406">
        <v>25.497562509264881</v>
      </c>
      <c r="AE36" s="406">
        <v>7.9840723335840282</v>
      </c>
      <c r="AF36" s="69">
        <v>32.225243056482746</v>
      </c>
      <c r="AG36" s="68">
        <v>24.74119997923135</v>
      </c>
      <c r="AH36" s="68">
        <v>7.8906966929382172</v>
      </c>
      <c r="AI36" s="68">
        <v>0.75819068158340064</v>
      </c>
      <c r="AJ36" s="69">
        <v>208.51988743146259</v>
      </c>
      <c r="AK36" s="69">
        <v>782.38471028010053</v>
      </c>
      <c r="AL36" s="69">
        <v>2746.2741499582926</v>
      </c>
      <c r="AM36" s="69">
        <v>325.33369913101194</v>
      </c>
      <c r="AN36" s="69">
        <v>1320.7485577265422</v>
      </c>
      <c r="AO36" s="69">
        <v>2608.8074409484861</v>
      </c>
      <c r="AP36" s="69">
        <v>503.71862231890361</v>
      </c>
      <c r="AQ36" s="69">
        <v>4273.5138823191319</v>
      </c>
      <c r="AR36" s="69">
        <v>538.24571436246231</v>
      </c>
      <c r="AS36" s="69">
        <v>941.6035791079205</v>
      </c>
    </row>
    <row r="37" spans="1:45" s="368" customFormat="1" ht="15" customHeight="1" x14ac:dyDescent="0.25">
      <c r="A37" s="11">
        <v>44407</v>
      </c>
      <c r="B37" s="362"/>
      <c r="C37" s="363">
        <v>82.282533963521601</v>
      </c>
      <c r="D37" s="363">
        <v>984.08680652976057</v>
      </c>
      <c r="E37" s="363">
        <v>19.276849973698482</v>
      </c>
      <c r="F37" s="363">
        <v>0</v>
      </c>
      <c r="G37" s="363">
        <v>2416.1751302083358</v>
      </c>
      <c r="H37" s="364">
        <v>31.816410392522862</v>
      </c>
      <c r="I37" s="362">
        <v>208.03147676785841</v>
      </c>
      <c r="J37" s="363">
        <v>734.10877741575302</v>
      </c>
      <c r="K37" s="363">
        <v>40.073292023936972</v>
      </c>
      <c r="L37" s="365">
        <v>0</v>
      </c>
      <c r="M37" s="363">
        <v>0</v>
      </c>
      <c r="N37" s="364">
        <v>0</v>
      </c>
      <c r="O37" s="362">
        <v>0</v>
      </c>
      <c r="P37" s="363">
        <v>0</v>
      </c>
      <c r="Q37" s="363">
        <v>0</v>
      </c>
      <c r="R37" s="363">
        <v>0</v>
      </c>
      <c r="S37" s="363">
        <v>0</v>
      </c>
      <c r="T37" s="364">
        <v>0</v>
      </c>
      <c r="U37" s="362">
        <v>512.40778749276808</v>
      </c>
      <c r="V37" s="363">
        <v>187.80932415833379</v>
      </c>
      <c r="W37" s="363">
        <v>84.601606769957229</v>
      </c>
      <c r="X37" s="363">
        <v>31.008448696535545</v>
      </c>
      <c r="Y37" s="363">
        <v>469.92929169282286</v>
      </c>
      <c r="Z37" s="363">
        <v>172.23997142369581</v>
      </c>
      <c r="AA37" s="364">
        <v>0</v>
      </c>
      <c r="AB37" s="366">
        <v>156.62462926970616</v>
      </c>
      <c r="AC37" s="367">
        <v>0</v>
      </c>
      <c r="AD37" s="406">
        <v>22.267707174821815</v>
      </c>
      <c r="AE37" s="406">
        <v>8.0148235680943252</v>
      </c>
      <c r="AF37" s="367">
        <v>30.049938208527067</v>
      </c>
      <c r="AG37" s="367">
        <v>21.693698447129943</v>
      </c>
      <c r="AH37" s="367">
        <v>7.9512430203018232</v>
      </c>
      <c r="AI37" s="367">
        <v>0.73178415518083795</v>
      </c>
      <c r="AJ37" s="367">
        <v>219.71166921456657</v>
      </c>
      <c r="AK37" s="367">
        <v>786.18208540280659</v>
      </c>
      <c r="AL37" s="367">
        <v>2815.8262968699137</v>
      </c>
      <c r="AM37" s="367">
        <v>155.63823901017508</v>
      </c>
      <c r="AN37" s="367">
        <v>1277.6865350087485</v>
      </c>
      <c r="AO37" s="367">
        <v>2670.2421531677246</v>
      </c>
      <c r="AP37" s="367">
        <v>494.67481668790185</v>
      </c>
      <c r="AQ37" s="367">
        <v>3738.2141446908322</v>
      </c>
      <c r="AR37" s="367">
        <v>518.34450445175173</v>
      </c>
      <c r="AS37" s="367">
        <v>907.7246444702148</v>
      </c>
    </row>
    <row r="38" spans="1:45" s="368" customFormat="1" ht="15" customHeight="1" thickBot="1" x14ac:dyDescent="0.3">
      <c r="A38" s="11">
        <v>44408</v>
      </c>
      <c r="B38" s="362"/>
      <c r="C38" s="363">
        <v>85.206824330489553</v>
      </c>
      <c r="D38" s="363">
        <v>997.17270439465688</v>
      </c>
      <c r="E38" s="363">
        <v>19.924121962984422</v>
      </c>
      <c r="F38" s="363">
        <v>0</v>
      </c>
      <c r="G38" s="363">
        <v>2553.9612312316931</v>
      </c>
      <c r="H38" s="364">
        <v>32.140642239650184</v>
      </c>
      <c r="I38" s="362">
        <v>202.7896365364397</v>
      </c>
      <c r="J38" s="363">
        <v>686.66652571360362</v>
      </c>
      <c r="K38" s="363">
        <v>37.480359835922698</v>
      </c>
      <c r="L38" s="365">
        <v>0</v>
      </c>
      <c r="M38" s="363">
        <v>0</v>
      </c>
      <c r="N38" s="364">
        <v>0</v>
      </c>
      <c r="O38" s="362">
        <v>0</v>
      </c>
      <c r="P38" s="363">
        <v>0</v>
      </c>
      <c r="Q38" s="363">
        <v>0</v>
      </c>
      <c r="R38" s="363">
        <v>0</v>
      </c>
      <c r="S38" s="363">
        <v>0</v>
      </c>
      <c r="T38" s="369">
        <v>0</v>
      </c>
      <c r="U38" s="362">
        <v>472.65585580223717</v>
      </c>
      <c r="V38" s="363">
        <v>150.2116603975154</v>
      </c>
      <c r="W38" s="363">
        <v>78.482672880398283</v>
      </c>
      <c r="X38" s="363">
        <v>24.942064000857933</v>
      </c>
      <c r="Y38" s="363">
        <v>422.02090670973905</v>
      </c>
      <c r="Z38" s="363">
        <v>134.11969901809221</v>
      </c>
      <c r="AA38" s="364">
        <v>0</v>
      </c>
      <c r="AB38" s="366">
        <v>148.13956735399137</v>
      </c>
      <c r="AC38" s="367">
        <v>0</v>
      </c>
      <c r="AD38" s="406">
        <v>20.487627957877699</v>
      </c>
      <c r="AE38" s="406">
        <v>8.014634859341017</v>
      </c>
      <c r="AF38" s="367">
        <v>26.128811691535788</v>
      </c>
      <c r="AG38" s="367">
        <v>19.607002971465786</v>
      </c>
      <c r="AH38" s="367">
        <v>6.2311731370893826</v>
      </c>
      <c r="AI38" s="367">
        <v>0.75883850659930263</v>
      </c>
      <c r="AJ38" s="367">
        <v>236.10900739034017</v>
      </c>
      <c r="AK38" s="367">
        <v>822.24692114194238</v>
      </c>
      <c r="AL38" s="367">
        <v>2808.9735555013017</v>
      </c>
      <c r="AM38" s="367">
        <v>138.31381988525391</v>
      </c>
      <c r="AN38" s="367">
        <v>1253.1763445536296</v>
      </c>
      <c r="AO38" s="367">
        <v>2781.8373636881511</v>
      </c>
      <c r="AP38" s="367">
        <v>447.07304700215656</v>
      </c>
      <c r="AQ38" s="367">
        <v>3255.5573037147519</v>
      </c>
      <c r="AR38" s="367">
        <v>479.54114417235047</v>
      </c>
      <c r="AS38" s="367">
        <v>794.40281089146924</v>
      </c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2546.0478689829561</v>
      </c>
      <c r="D39" s="30">
        <f t="shared" si="0"/>
        <v>29212.129198878964</v>
      </c>
      <c r="E39" s="30">
        <f t="shared" si="0"/>
        <v>604.48783527612659</v>
      </c>
      <c r="F39" s="30">
        <f t="shared" si="0"/>
        <v>0</v>
      </c>
      <c r="G39" s="30">
        <f t="shared" si="0"/>
        <v>81467.616687647504</v>
      </c>
      <c r="H39" s="31">
        <f t="shared" si="0"/>
        <v>968.16070615550041</v>
      </c>
      <c r="I39" s="29">
        <f t="shared" si="0"/>
        <v>6685.3595712304095</v>
      </c>
      <c r="J39" s="30">
        <f t="shared" si="0"/>
        <v>21677.52660069866</v>
      </c>
      <c r="K39" s="30">
        <f t="shared" si="0"/>
        <v>1194.2079411869245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13754.247126238604</v>
      </c>
      <c r="V39" s="261">
        <f t="shared" si="0"/>
        <v>5533.4624149126257</v>
      </c>
      <c r="W39" s="261">
        <f t="shared" si="0"/>
        <v>2353.6889483187933</v>
      </c>
      <c r="X39" s="261">
        <f t="shared" si="0"/>
        <v>946.66266983207618</v>
      </c>
      <c r="Y39" s="261">
        <f t="shared" si="0"/>
        <v>11853.788534678191</v>
      </c>
      <c r="Z39" s="261">
        <f t="shared" si="0"/>
        <v>4743.3053673057093</v>
      </c>
      <c r="AA39" s="269">
        <f t="shared" si="0"/>
        <v>0</v>
      </c>
      <c r="AB39" s="272">
        <f t="shared" si="0"/>
        <v>4349.030603477695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SUM(AJ8:AJ37)</f>
        <v>6557.3908666690177</v>
      </c>
      <c r="AK39" s="272">
        <f t="shared" si="1"/>
        <v>23336.504984776177</v>
      </c>
      <c r="AL39" s="272">
        <f t="shared" si="1"/>
        <v>85555.433702723181</v>
      </c>
      <c r="AM39" s="272">
        <f t="shared" si="1"/>
        <v>12591.42898821036</v>
      </c>
      <c r="AN39" s="272">
        <f t="shared" si="1"/>
        <v>37566.332688585913</v>
      </c>
      <c r="AO39" s="272">
        <f t="shared" si="1"/>
        <v>82852.814531962067</v>
      </c>
      <c r="AP39" s="272">
        <f t="shared" si="1"/>
        <v>13950.963120158516</v>
      </c>
      <c r="AQ39" s="272">
        <f t="shared" si="1"/>
        <v>104372.73153115908</v>
      </c>
      <c r="AR39" s="272">
        <f t="shared" si="1"/>
        <v>14238.93907457193</v>
      </c>
      <c r="AS39" s="272">
        <f t="shared" si="1"/>
        <v>26224.001590760548</v>
      </c>
    </row>
    <row r="40" spans="1:45" ht="15.75" thickBot="1" x14ac:dyDescent="0.3">
      <c r="A40" s="47" t="s">
        <v>172</v>
      </c>
      <c r="B40" s="32">
        <f>Projection!$AC$30</f>
        <v>0.68740698599999983</v>
      </c>
      <c r="C40" s="33">
        <f>Projection!$AC$28</f>
        <v>1.5395973599999997</v>
      </c>
      <c r="D40" s="33">
        <f>Projection!$AC$31</f>
        <v>2.6869453380000001</v>
      </c>
      <c r="E40" s="33">
        <f>Projection!$AC$26</f>
        <v>4.4235360000000004</v>
      </c>
      <c r="F40" s="33">
        <f>Projection!$AC$23</f>
        <v>0</v>
      </c>
      <c r="G40" s="33">
        <f>Projection!$AC$24</f>
        <v>7.6444999999999999E-2</v>
      </c>
      <c r="H40" s="34">
        <f>Projection!$AC$29</f>
        <v>3.8336895000000006</v>
      </c>
      <c r="I40" s="32">
        <f>Projection!$AC$30</f>
        <v>0.68740698599999983</v>
      </c>
      <c r="J40" s="33">
        <f>Projection!$AC$28</f>
        <v>1.5395973599999997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1.5395973599999997</v>
      </c>
      <c r="T40" s="38">
        <f>Projection!$AC$28</f>
        <v>1.5395973599999997</v>
      </c>
      <c r="U40" s="26">
        <f>Projection!$AC$27</f>
        <v>0.41249999999999998</v>
      </c>
      <c r="V40" s="27">
        <f>Projection!$AC$27</f>
        <v>0.41249999999999998</v>
      </c>
      <c r="W40" s="27">
        <f>Projection!$AC$22</f>
        <v>1.2429936000000001</v>
      </c>
      <c r="X40" s="27">
        <f>Projection!$AC$22</f>
        <v>1.2429936000000001</v>
      </c>
      <c r="Y40" s="27">
        <f>Projection!$AC$31</f>
        <v>2.6869453380000001</v>
      </c>
      <c r="Z40" s="27">
        <f>Projection!$AC$31</f>
        <v>2.6869453380000001</v>
      </c>
      <c r="AA40" s="28">
        <v>0</v>
      </c>
      <c r="AB40" s="41">
        <f>Projection!$AC$27</f>
        <v>0.41249999999999998</v>
      </c>
      <c r="AC40" s="41">
        <f>Projection!$AC$30</f>
        <v>0.68740698599999983</v>
      </c>
      <c r="AD40" s="397">
        <f>SUM(AD8:AD38)</f>
        <v>619.94013198172092</v>
      </c>
      <c r="AE40" s="397">
        <f>SUM(AE8:AE38)</f>
        <v>248.44771151515769</v>
      </c>
      <c r="AF40" s="276">
        <f>SUM(AF8:AF37)</f>
        <v>821.05953255428221</v>
      </c>
      <c r="AG40" s="276">
        <f>SUM(AG8:AG37)</f>
        <v>579.66378623135608</v>
      </c>
      <c r="AH40" s="276">
        <f>SUM(AH8:AH37)</f>
        <v>232.87258117927226</v>
      </c>
      <c r="AI40" s="276">
        <f>IF(SUM(AG40:AH40)&gt;0, AG40/(AG40+AH40), 0)</f>
        <v>0.71340042056039277</v>
      </c>
      <c r="AJ40" s="311">
        <v>7.8E-2</v>
      </c>
      <c r="AK40" s="311">
        <f t="shared" ref="AK40:AS40" si="2">$AJ$40</f>
        <v>7.8E-2</v>
      </c>
      <c r="AL40" s="311">
        <f t="shared" si="2"/>
        <v>7.8E-2</v>
      </c>
      <c r="AM40" s="311">
        <f t="shared" si="2"/>
        <v>7.8E-2</v>
      </c>
      <c r="AN40" s="311">
        <f t="shared" si="2"/>
        <v>7.8E-2</v>
      </c>
      <c r="AO40" s="311">
        <f t="shared" si="2"/>
        <v>7.8E-2</v>
      </c>
      <c r="AP40" s="311">
        <f t="shared" si="2"/>
        <v>7.8E-2</v>
      </c>
      <c r="AQ40" s="311">
        <f t="shared" si="2"/>
        <v>7.8E-2</v>
      </c>
      <c r="AR40" s="311">
        <f t="shared" si="2"/>
        <v>7.8E-2</v>
      </c>
      <c r="AS40" s="311">
        <f t="shared" si="2"/>
        <v>7.8E-2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3919.8885775197841</v>
      </c>
      <c r="D41" s="36">
        <f t="shared" si="3"/>
        <v>78491.394363981512</v>
      </c>
      <c r="E41" s="36">
        <f t="shared" si="3"/>
        <v>2673.9737009060163</v>
      </c>
      <c r="F41" s="36">
        <f t="shared" si="3"/>
        <v>0</v>
      </c>
      <c r="G41" s="36">
        <f t="shared" si="3"/>
        <v>6227.7919576872137</v>
      </c>
      <c r="H41" s="37">
        <f t="shared" si="3"/>
        <v>3711.6275335009277</v>
      </c>
      <c r="I41" s="35">
        <f t="shared" si="3"/>
        <v>4595.5628731857469</v>
      </c>
      <c r="J41" s="36">
        <f t="shared" si="3"/>
        <v>33374.662725765425</v>
      </c>
      <c r="K41" s="36">
        <f t="shared" si="3"/>
        <v>5282.6218193262439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5673.6269395734244</v>
      </c>
      <c r="V41" s="267">
        <f t="shared" si="3"/>
        <v>2282.5532461514581</v>
      </c>
      <c r="W41" s="267">
        <f t="shared" si="3"/>
        <v>2925.6202991509913</v>
      </c>
      <c r="X41" s="267">
        <f t="shared" si="3"/>
        <v>1176.6956399601838</v>
      </c>
      <c r="Y41" s="267">
        <f t="shared" si="3"/>
        <v>31850.481840891418</v>
      </c>
      <c r="Z41" s="267">
        <f t="shared" si="3"/>
        <v>12745.002243392453</v>
      </c>
      <c r="AA41" s="271">
        <f t="shared" si="3"/>
        <v>0</v>
      </c>
      <c r="AB41" s="274">
        <f t="shared" si="3"/>
        <v>1793.9751239345492</v>
      </c>
      <c r="AC41" s="274">
        <f t="shared" si="3"/>
        <v>0</v>
      </c>
      <c r="AJ41" s="277">
        <f t="shared" ref="AJ41:AS41" si="4">AJ40*AJ39</f>
        <v>511.47648760018336</v>
      </c>
      <c r="AK41" s="277">
        <f t="shared" si="4"/>
        <v>1820.2473888125417</v>
      </c>
      <c r="AL41" s="277">
        <f t="shared" si="4"/>
        <v>6673.3238288124085</v>
      </c>
      <c r="AM41" s="277">
        <f t="shared" si="4"/>
        <v>982.13146108040814</v>
      </c>
      <c r="AN41" s="277">
        <f t="shared" si="4"/>
        <v>2930.1739497097014</v>
      </c>
      <c r="AO41" s="277">
        <f t="shared" si="4"/>
        <v>6462.5195334930413</v>
      </c>
      <c r="AP41" s="277">
        <f t="shared" si="4"/>
        <v>1088.1751233723642</v>
      </c>
      <c r="AQ41" s="277">
        <f t="shared" si="4"/>
        <v>8141.0730594304077</v>
      </c>
      <c r="AR41" s="277">
        <f t="shared" si="4"/>
        <v>1110.6372478166106</v>
      </c>
      <c r="AS41" s="277">
        <f t="shared" si="4"/>
        <v>2045.4721240793228</v>
      </c>
    </row>
    <row r="42" spans="1:45" ht="49.5" customHeight="1" thickTop="1" thickBot="1" x14ac:dyDescent="0.3">
      <c r="A42" s="643">
        <f>JUNE!$A$42+30</f>
        <v>44379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394.74</v>
      </c>
      <c r="AK42" s="277" t="s">
        <v>197</v>
      </c>
      <c r="AL42" s="277">
        <v>128.28</v>
      </c>
      <c r="AM42" s="277">
        <v>44.58</v>
      </c>
      <c r="AN42" s="277">
        <v>45.8</v>
      </c>
      <c r="AO42" s="277">
        <v>1509.78</v>
      </c>
      <c r="AP42" s="277">
        <v>59.11</v>
      </c>
      <c r="AQ42" s="277" t="s">
        <v>197</v>
      </c>
      <c r="AR42" s="277">
        <v>44.52</v>
      </c>
      <c r="AS42" s="277">
        <v>158.07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196725.47888492732</v>
      </c>
      <c r="C44" s="12"/>
      <c r="D44" s="281" t="s">
        <v>135</v>
      </c>
      <c r="E44" s="282">
        <f>SUM(B41:H41)+P41+R41+T41+V41+X41+Z41</f>
        <v>111228.92726309953</v>
      </c>
      <c r="F44" s="12"/>
      <c r="G44" s="281" t="s">
        <v>135</v>
      </c>
      <c r="H44" s="282">
        <f>SUM(I41:N41)+O41+Q41+S41+U41+W41+Y41</f>
        <v>83702.576497893257</v>
      </c>
      <c r="I44" s="12"/>
      <c r="J44" s="281" t="s">
        <v>198</v>
      </c>
      <c r="K44" s="282">
        <v>247307</v>
      </c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31765.230204206986</v>
      </c>
      <c r="C45" s="12"/>
      <c r="D45" s="283" t="s">
        <v>183</v>
      </c>
      <c r="E45" s="284">
        <f>AJ41*(1-$AI$40)+AK41+AL41*0.5+AN41+AO41*(1-$AI$40)+AP41*(1-$AI$40)+AQ41*(1-$AI$40)+AR41*0.5+AS41*0.5</f>
        <v>14308.980913270259</v>
      </c>
      <c r="F45" s="24"/>
      <c r="G45" s="283" t="s">
        <v>183</v>
      </c>
      <c r="H45" s="284">
        <f>AJ41*AI40+AL41*0.5+AM41+AO41*AI40+AP41*AI40+AQ41*AI40+AR41*0.5+AS41*0.5</f>
        <v>17456.249290936728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3300.3516181508694</v>
      </c>
      <c r="U45" s="255">
        <f>(T45*8.34*0.895)/27000</f>
        <v>0.91240054012457528</v>
      </c>
    </row>
    <row r="46" spans="1:45" ht="32.25" thickBot="1" x14ac:dyDescent="0.3">
      <c r="A46" s="285" t="s">
        <v>184</v>
      </c>
      <c r="B46" s="286">
        <f>SUM(AJ42:AS42)</f>
        <v>2384.88</v>
      </c>
      <c r="C46" s="12"/>
      <c r="D46" s="285" t="s">
        <v>184</v>
      </c>
      <c r="E46" s="286">
        <f>AJ42*(1-$AI$40)+AL42*0.5+AN42+AO42*(1-$AI$40)+AP42*(1-$AI$40)+AR42*0.5+AS42*0.5</f>
        <v>774.01053217499589</v>
      </c>
      <c r="F46" s="23"/>
      <c r="G46" s="285" t="s">
        <v>184</v>
      </c>
      <c r="H46" s="286">
        <f>AJ42*AI40+AL42*0.5+AM42+AO42*AI40+AP42*AI40+AR42*0.5+AS42*0.5</f>
        <v>1610.8694678250042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247307</v>
      </c>
      <c r="C47" s="12"/>
      <c r="D47" s="285" t="s">
        <v>187</v>
      </c>
      <c r="E47" s="286">
        <f>K44*0.5</f>
        <v>123653.5</v>
      </c>
      <c r="F47" s="24"/>
      <c r="G47" s="285" t="s">
        <v>185</v>
      </c>
      <c r="H47" s="286">
        <f>K44*0.5</f>
        <v>123653.5</v>
      </c>
      <c r="I47" s="12"/>
      <c r="J47" s="281" t="s">
        <v>198</v>
      </c>
      <c r="K47" s="282">
        <v>282717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81467.616687647504</v>
      </c>
      <c r="U47" s="255">
        <f>T47/40000</f>
        <v>2.0366904171911875</v>
      </c>
    </row>
    <row r="48" spans="1:45" ht="24" thickBot="1" x14ac:dyDescent="0.3">
      <c r="A48" s="285" t="s">
        <v>186</v>
      </c>
      <c r="B48" s="286">
        <f>K47</f>
        <v>282717</v>
      </c>
      <c r="C48" s="12"/>
      <c r="D48" s="285" t="s">
        <v>186</v>
      </c>
      <c r="E48" s="286">
        <f>K47*0.5</f>
        <v>141358.5</v>
      </c>
      <c r="F48" s="23"/>
      <c r="G48" s="285" t="s">
        <v>186</v>
      </c>
      <c r="H48" s="286">
        <f>K47*0.5</f>
        <v>141358.5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821.05953255428221</v>
      </c>
      <c r="C49" s="12"/>
      <c r="D49" s="290" t="s">
        <v>195</v>
      </c>
      <c r="E49" s="291">
        <f>AH40</f>
        <v>232.87258117927226</v>
      </c>
      <c r="F49" s="371">
        <f>E44/E49</f>
        <v>477.63857256115602</v>
      </c>
      <c r="G49" s="290" t="s">
        <v>196</v>
      </c>
      <c r="H49" s="291">
        <f>AG40</f>
        <v>579.66378623135608</v>
      </c>
      <c r="I49" s="370">
        <f>H44/H49</f>
        <v>144.39849182589057</v>
      </c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1798.6957764630511</v>
      </c>
      <c r="U49" s="255">
        <f>(T49*8.34*1.04)/45000</f>
        <v>0.34669261526066492</v>
      </c>
    </row>
    <row r="50" spans="1:25" ht="48" customHeight="1" thickTop="1" thickBot="1" x14ac:dyDescent="0.3">
      <c r="A50" s="290" t="s">
        <v>223</v>
      </c>
      <c r="B50" s="291">
        <f>SUM(E50+H50)</f>
        <v>868.38784349687865</v>
      </c>
      <c r="C50" s="12"/>
      <c r="D50" s="290" t="s">
        <v>224</v>
      </c>
      <c r="E50" s="291">
        <f>AE40</f>
        <v>248.44771151515769</v>
      </c>
      <c r="F50" s="371"/>
      <c r="G50" s="290" t="s">
        <v>225</v>
      </c>
      <c r="H50" s="291">
        <f>AD40</f>
        <v>619.94013198172092</v>
      </c>
      <c r="I50" s="370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876.22091302556248</v>
      </c>
      <c r="C51" s="12"/>
      <c r="D51" s="290" t="s">
        <v>188</v>
      </c>
      <c r="E51" s="293">
        <f>SUM(E44:E48)/E50</f>
        <v>1575.0755614614318</v>
      </c>
      <c r="F51" s="23"/>
      <c r="G51" s="290" t="s">
        <v>189</v>
      </c>
      <c r="H51" s="293">
        <f>SUM(H44:H48)/H50</f>
        <v>593.25356801953114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23636.740144628926</v>
      </c>
      <c r="U51" s="255">
        <f>T51/2000/8</f>
        <v>1.4772962590393079</v>
      </c>
    </row>
    <row r="52" spans="1:25" ht="47.25" customHeight="1" thickTop="1" thickBot="1" x14ac:dyDescent="0.3">
      <c r="A52" s="280" t="s">
        <v>191</v>
      </c>
      <c r="B52" s="293">
        <f>B51/1000</f>
        <v>0.87622091302556249</v>
      </c>
      <c r="C52" s="12"/>
      <c r="D52" s="280" t="s">
        <v>192</v>
      </c>
      <c r="E52" s="293">
        <f>E51/1000</f>
        <v>1.5750755614614318</v>
      </c>
      <c r="F52" s="12"/>
      <c r="G52" s="280" t="s">
        <v>193</v>
      </c>
      <c r="H52" s="293">
        <f>H51/1000</f>
        <v>0.59325356801953111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24223.574469681618</v>
      </c>
      <c r="U52" s="255">
        <f>(T52*8.34*1.4)/45000</f>
        <v>6.2852101224000565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968.16070615550041</v>
      </c>
      <c r="U53" s="255">
        <f>(T53*8.34*1.135)/45000</f>
        <v>0.20365583174216337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6685.3595712304095</v>
      </c>
      <c r="U54" s="255">
        <f>(T54*8.34*1.029*0.03)/3300</f>
        <v>0.52157108990872181</v>
      </c>
    </row>
    <row r="55" spans="1:25" ht="51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45809.223100862866</v>
      </c>
      <c r="U55" s="258">
        <f>(T55*1.54*8.34)/45000</f>
        <v>13.074563062627609</v>
      </c>
    </row>
    <row r="56" spans="1:25" ht="24" thickTop="1" x14ac:dyDescent="0.25">
      <c r="A56" s="671"/>
      <c r="B56" s="67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3"/>
      <c r="B57" s="67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9"/>
      <c r="B58" s="67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70"/>
      <c r="B59" s="67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9"/>
      <c r="B60" s="67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70"/>
      <c r="B61" s="67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  <row r="63" spans="1:25" x14ac:dyDescent="0.25">
      <c r="A63" s="12"/>
      <c r="B63" s="12"/>
    </row>
  </sheetData>
  <sheetProtection algorithmName="SHA-512" hashValue="zZc9iFUj7nPDvh2Ega1kHUKxftuyl3MBWtfPFmwD7idhgg81Cc0Q+ALEU9UmX6+d0spVSM9dTbcfiyPaxNUcmQ==" saltValue="usARrF/ZB4aREfGLZwSQDg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W62"/>
  <sheetViews>
    <sheetView topLeftCell="AI29" zoomScale="75" zoomScaleNormal="75" workbookViewId="0">
      <selection activeCell="AJ41" sqref="AJ41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44409</v>
      </c>
      <c r="B8" s="49"/>
      <c r="C8" s="50">
        <v>84.287436747551737</v>
      </c>
      <c r="D8" s="50">
        <v>985.21074741482869</v>
      </c>
      <c r="E8" s="50">
        <v>19.691348520914691</v>
      </c>
      <c r="F8" s="50">
        <v>0</v>
      </c>
      <c r="G8" s="50">
        <v>2621.2665556589795</v>
      </c>
      <c r="H8" s="51">
        <v>32.072706462939692</v>
      </c>
      <c r="I8" s="49">
        <v>205.12464039723099</v>
      </c>
      <c r="J8" s="50">
        <v>682.63152747154334</v>
      </c>
      <c r="K8" s="50">
        <v>37.152090314527349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469.12121352177212</v>
      </c>
      <c r="V8" s="54">
        <v>187.37360891678554</v>
      </c>
      <c r="W8" s="54">
        <v>78.108839903037577</v>
      </c>
      <c r="X8" s="54">
        <v>31.197768932818335</v>
      </c>
      <c r="Y8" s="54">
        <v>424.32634915593195</v>
      </c>
      <c r="Z8" s="54">
        <v>169.48191023585213</v>
      </c>
      <c r="AA8" s="55">
        <v>0</v>
      </c>
      <c r="AB8" s="56">
        <v>147.28502732382839</v>
      </c>
      <c r="AC8" s="57">
        <v>0</v>
      </c>
      <c r="AD8" s="405">
        <v>20.47950326630848</v>
      </c>
      <c r="AE8" s="405">
        <v>8.001812991548654</v>
      </c>
      <c r="AF8" s="57">
        <v>29.228164511919026</v>
      </c>
      <c r="AG8" s="58">
        <v>19.999435427248862</v>
      </c>
      <c r="AH8" s="58">
        <v>7.9880557184138459</v>
      </c>
      <c r="AI8" s="58">
        <v>0.71458478800977576</v>
      </c>
      <c r="AJ8" s="57">
        <v>225.08008974393209</v>
      </c>
      <c r="AK8" s="57">
        <v>811.54893452326451</v>
      </c>
      <c r="AL8" s="57">
        <v>2756.2570204416911</v>
      </c>
      <c r="AM8" s="57">
        <v>138.31381988525391</v>
      </c>
      <c r="AN8" s="57">
        <v>1166.0337654749553</v>
      </c>
      <c r="AO8" s="57">
        <v>2729.9757736206052</v>
      </c>
      <c r="AP8" s="57">
        <v>452.81341544787091</v>
      </c>
      <c r="AQ8" s="57">
        <v>3649.2090557098386</v>
      </c>
      <c r="AR8" s="57">
        <v>478.19680717786156</v>
      </c>
      <c r="AS8" s="57">
        <v>785.67009572982795</v>
      </c>
    </row>
    <row r="9" spans="1:49" x14ac:dyDescent="0.25">
      <c r="A9" s="11">
        <v>44410</v>
      </c>
      <c r="B9" s="59"/>
      <c r="C9" s="60">
        <v>85.101342805226921</v>
      </c>
      <c r="D9" s="60">
        <v>999.86764583587626</v>
      </c>
      <c r="E9" s="60">
        <v>19.912277294695372</v>
      </c>
      <c r="F9" s="60">
        <v>0</v>
      </c>
      <c r="G9" s="60">
        <v>2608.3492287953723</v>
      </c>
      <c r="H9" s="61">
        <v>32.164595325787921</v>
      </c>
      <c r="I9" s="59">
        <v>211.95930217107161</v>
      </c>
      <c r="J9" s="60">
        <v>687.34400637944623</v>
      </c>
      <c r="K9" s="60">
        <v>37.693989965319631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472.50570121627368</v>
      </c>
      <c r="V9" s="62">
        <v>189.0247265893056</v>
      </c>
      <c r="W9" s="62">
        <v>80.7489373869129</v>
      </c>
      <c r="X9" s="62">
        <v>32.303410885092767</v>
      </c>
      <c r="Y9" s="66">
        <v>438.06902034935558</v>
      </c>
      <c r="Z9" s="66">
        <v>175.24841834845981</v>
      </c>
      <c r="AA9" s="67">
        <v>0</v>
      </c>
      <c r="AB9" s="68">
        <v>148.20476615693718</v>
      </c>
      <c r="AC9" s="69">
        <v>0</v>
      </c>
      <c r="AD9" s="406">
        <v>20.472916640236711</v>
      </c>
      <c r="AE9" s="406">
        <v>8.0027601350815143</v>
      </c>
      <c r="AF9" s="69">
        <v>28.381474186314453</v>
      </c>
      <c r="AG9" s="68">
        <v>19.999122897261255</v>
      </c>
      <c r="AH9" s="68">
        <v>8.0005992053636845</v>
      </c>
      <c r="AI9" s="68">
        <v>0.7142614781661123</v>
      </c>
      <c r="AJ9" s="69">
        <v>218.85554629961649</v>
      </c>
      <c r="AK9" s="69">
        <v>817.48786923090609</v>
      </c>
      <c r="AL9" s="69">
        <v>2682.3594168345135</v>
      </c>
      <c r="AM9" s="69">
        <v>138.31381988525391</v>
      </c>
      <c r="AN9" s="69">
        <v>1175.102783203125</v>
      </c>
      <c r="AO9" s="69">
        <v>2555.9916983286535</v>
      </c>
      <c r="AP9" s="69">
        <v>458.81519489288326</v>
      </c>
      <c r="AQ9" s="69">
        <v>3610.1876988728836</v>
      </c>
      <c r="AR9" s="69">
        <v>511.48649349212656</v>
      </c>
      <c r="AS9" s="69">
        <v>819.62947696050026</v>
      </c>
    </row>
    <row r="10" spans="1:49" x14ac:dyDescent="0.25">
      <c r="A10" s="11">
        <v>44411</v>
      </c>
      <c r="B10" s="59"/>
      <c r="C10" s="60">
        <v>84.268360197544141</v>
      </c>
      <c r="D10" s="60">
        <v>996.40429083506126</v>
      </c>
      <c r="E10" s="60">
        <v>19.921245128413055</v>
      </c>
      <c r="F10" s="60">
        <v>0</v>
      </c>
      <c r="G10" s="60">
        <v>2453.9175882975223</v>
      </c>
      <c r="H10" s="61">
        <v>32.119649763902032</v>
      </c>
      <c r="I10" s="59">
        <v>217.59932818412767</v>
      </c>
      <c r="J10" s="60">
        <v>687.47070732116867</v>
      </c>
      <c r="K10" s="60">
        <v>37.715865274270385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470.64166739572966</v>
      </c>
      <c r="V10" s="62">
        <v>187.49673342383664</v>
      </c>
      <c r="W10" s="62">
        <v>80.85164098877236</v>
      </c>
      <c r="X10" s="62">
        <v>32.210107237711071</v>
      </c>
      <c r="Y10" s="66">
        <v>440.61826379685027</v>
      </c>
      <c r="Z10" s="66">
        <v>175.53585003625918</v>
      </c>
      <c r="AA10" s="67">
        <v>0</v>
      </c>
      <c r="AB10" s="68">
        <v>147.95525584750749</v>
      </c>
      <c r="AC10" s="69">
        <v>0</v>
      </c>
      <c r="AD10" s="406">
        <v>20.473554270751087</v>
      </c>
      <c r="AE10" s="406">
        <v>7.9754604125937005</v>
      </c>
      <c r="AF10" s="69">
        <v>28.228295597765225</v>
      </c>
      <c r="AG10" s="68">
        <v>19.913953812258711</v>
      </c>
      <c r="AH10" s="68">
        <v>7.9334269530627353</v>
      </c>
      <c r="AI10" s="68">
        <v>0.71511047951259066</v>
      </c>
      <c r="AJ10" s="69">
        <v>218.51437160174055</v>
      </c>
      <c r="AK10" s="69">
        <v>815.03981472651162</v>
      </c>
      <c r="AL10" s="69">
        <v>2799.0607583363853</v>
      </c>
      <c r="AM10" s="69">
        <v>259.51749387582146</v>
      </c>
      <c r="AN10" s="69">
        <v>1179.1931513468423</v>
      </c>
      <c r="AO10" s="69">
        <v>2581.5934230804446</v>
      </c>
      <c r="AP10" s="69">
        <v>460.17376109759016</v>
      </c>
      <c r="AQ10" s="69">
        <v>3672.1665657043454</v>
      </c>
      <c r="AR10" s="69">
        <v>498.56055774688718</v>
      </c>
      <c r="AS10" s="69">
        <v>840.59876988728831</v>
      </c>
    </row>
    <row r="11" spans="1:49" x14ac:dyDescent="0.25">
      <c r="A11" s="11">
        <v>44412</v>
      </c>
      <c r="B11" s="59"/>
      <c r="C11" s="60">
        <v>84.54787799914665</v>
      </c>
      <c r="D11" s="60">
        <v>1008.7380989710485</v>
      </c>
      <c r="E11" s="60">
        <v>19.829415236413471</v>
      </c>
      <c r="F11" s="60">
        <v>0</v>
      </c>
      <c r="G11" s="60">
        <v>2441.2237133026115</v>
      </c>
      <c r="H11" s="61">
        <v>32.039390343427712</v>
      </c>
      <c r="I11" s="59">
        <v>235.20839403470336</v>
      </c>
      <c r="J11" s="60">
        <v>687.7963704427093</v>
      </c>
      <c r="K11" s="60">
        <v>37.644321564833383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461.25512840600044</v>
      </c>
      <c r="V11" s="62">
        <v>184.5010518274228</v>
      </c>
      <c r="W11" s="62">
        <v>79.681898650060319</v>
      </c>
      <c r="X11" s="62">
        <v>31.87258679019379</v>
      </c>
      <c r="Y11" s="66">
        <v>435.39950266647145</v>
      </c>
      <c r="Z11" s="66">
        <v>174.15885756047831</v>
      </c>
      <c r="AA11" s="67">
        <v>0</v>
      </c>
      <c r="AB11" s="68">
        <v>148.25533992979376</v>
      </c>
      <c r="AC11" s="69">
        <v>0</v>
      </c>
      <c r="AD11" s="406">
        <v>20.487132951755932</v>
      </c>
      <c r="AE11" s="406">
        <v>7.9615056697481315</v>
      </c>
      <c r="AF11" s="69">
        <v>27.908162766032731</v>
      </c>
      <c r="AG11" s="68">
        <v>19.675071511367442</v>
      </c>
      <c r="AH11" s="68">
        <v>7.8699859688754206</v>
      </c>
      <c r="AI11" s="68">
        <v>0.71428681989426612</v>
      </c>
      <c r="AJ11" s="69">
        <v>231.79988156954448</v>
      </c>
      <c r="AK11" s="69">
        <v>826.68924140930176</v>
      </c>
      <c r="AL11" s="69">
        <v>2724.844332885742</v>
      </c>
      <c r="AM11" s="69">
        <v>451.47885131835938</v>
      </c>
      <c r="AN11" s="69">
        <v>7035.2261672973636</v>
      </c>
      <c r="AO11" s="69">
        <v>2563.9433338165286</v>
      </c>
      <c r="AP11" s="69">
        <v>443.25045283635455</v>
      </c>
      <c r="AQ11" s="69">
        <v>3615.3175121307377</v>
      </c>
      <c r="AR11" s="69">
        <v>482.30350745519002</v>
      </c>
      <c r="AS11" s="69">
        <v>823.09268096288054</v>
      </c>
    </row>
    <row r="12" spans="1:49" x14ac:dyDescent="0.25">
      <c r="A12" s="11">
        <v>44413</v>
      </c>
      <c r="B12" s="59"/>
      <c r="C12" s="60">
        <v>84.167612671851984</v>
      </c>
      <c r="D12" s="60">
        <v>1011.3746069590234</v>
      </c>
      <c r="E12" s="60">
        <v>19.864171362419867</v>
      </c>
      <c r="F12" s="60">
        <v>0</v>
      </c>
      <c r="G12" s="60">
        <v>2436.9590170542297</v>
      </c>
      <c r="H12" s="61">
        <v>32.142550851901426</v>
      </c>
      <c r="I12" s="59">
        <v>232.17396909395836</v>
      </c>
      <c r="J12" s="60">
        <v>688.25596895217939</v>
      </c>
      <c r="K12" s="60">
        <v>37.709720915555963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457.25109275420238</v>
      </c>
      <c r="V12" s="62">
        <v>183.56627812677397</v>
      </c>
      <c r="W12" s="62">
        <v>78.723564617799653</v>
      </c>
      <c r="X12" s="62">
        <v>31.604061721795112</v>
      </c>
      <c r="Y12" s="66">
        <v>435.50162234003272</v>
      </c>
      <c r="Z12" s="66">
        <v>174.83481876358402</v>
      </c>
      <c r="AA12" s="67">
        <v>0</v>
      </c>
      <c r="AB12" s="68">
        <v>148.24606633716093</v>
      </c>
      <c r="AC12" s="69">
        <v>0</v>
      </c>
      <c r="AD12" s="406">
        <v>20.499690568682801</v>
      </c>
      <c r="AE12" s="406">
        <v>7.9695985078056406</v>
      </c>
      <c r="AF12" s="69">
        <v>27.906965237193617</v>
      </c>
      <c r="AG12" s="68">
        <v>19.649362831326592</v>
      </c>
      <c r="AH12" s="68">
        <v>7.8883581902080486</v>
      </c>
      <c r="AI12" s="68">
        <v>0.71354353600868747</v>
      </c>
      <c r="AJ12" s="69">
        <v>221.0276122570038</v>
      </c>
      <c r="AK12" s="69">
        <v>819.59704637527454</v>
      </c>
      <c r="AL12" s="69">
        <v>2828.6332144419357</v>
      </c>
      <c r="AM12" s="69">
        <v>451.47885131835938</v>
      </c>
      <c r="AN12" s="69">
        <v>7034.824951171875</v>
      </c>
      <c r="AO12" s="69">
        <v>2591.0358660380052</v>
      </c>
      <c r="AP12" s="69">
        <v>448.54382681846619</v>
      </c>
      <c r="AQ12" s="69">
        <v>3654.8898454030355</v>
      </c>
      <c r="AR12" s="69">
        <v>480.13143218358351</v>
      </c>
      <c r="AS12" s="69">
        <v>848.74852180480957</v>
      </c>
    </row>
    <row r="13" spans="1:49" x14ac:dyDescent="0.25">
      <c r="A13" s="11">
        <v>44414</v>
      </c>
      <c r="B13" s="59"/>
      <c r="C13" s="60">
        <v>84.942193003496044</v>
      </c>
      <c r="D13" s="60">
        <v>1017.6726712544762</v>
      </c>
      <c r="E13" s="60">
        <v>19.94892398864031</v>
      </c>
      <c r="F13" s="60">
        <v>0</v>
      </c>
      <c r="G13" s="60">
        <v>2388.2624131520561</v>
      </c>
      <c r="H13" s="61">
        <v>32.207204999526489</v>
      </c>
      <c r="I13" s="59">
        <v>244.6497845808662</v>
      </c>
      <c r="J13" s="60">
        <v>762.98787972132379</v>
      </c>
      <c r="K13" s="60">
        <v>41.81525812248389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490.43508801583914</v>
      </c>
      <c r="V13" s="62">
        <v>177.89724012357169</v>
      </c>
      <c r="W13" s="62">
        <v>84.90297112482277</v>
      </c>
      <c r="X13" s="62">
        <v>30.797152590577838</v>
      </c>
      <c r="Y13" s="66">
        <v>477.99364862931361</v>
      </c>
      <c r="Z13" s="66">
        <v>173.38431316522136</v>
      </c>
      <c r="AA13" s="67">
        <v>0</v>
      </c>
      <c r="AB13" s="68">
        <v>159.21953854031014</v>
      </c>
      <c r="AC13" s="69">
        <v>0</v>
      </c>
      <c r="AD13" s="406">
        <v>22.729004003507779</v>
      </c>
      <c r="AE13" s="406">
        <v>8.0199074246577045</v>
      </c>
      <c r="AF13" s="69">
        <v>29.885172041257221</v>
      </c>
      <c r="AG13" s="68">
        <v>21.629172767120547</v>
      </c>
      <c r="AH13" s="68">
        <v>7.8456257218333354</v>
      </c>
      <c r="AI13" s="68">
        <v>0.73381919049341093</v>
      </c>
      <c r="AJ13" s="69">
        <v>205.12514815330505</v>
      </c>
      <c r="AK13" s="69">
        <v>811.33523581822715</v>
      </c>
      <c r="AL13" s="69">
        <v>2711.6583435058596</v>
      </c>
      <c r="AM13" s="69">
        <v>451.47885131835938</v>
      </c>
      <c r="AN13" s="69">
        <v>7034.824951171875</v>
      </c>
      <c r="AO13" s="69">
        <v>2621.9454345703125</v>
      </c>
      <c r="AP13" s="69">
        <v>469.4341673692067</v>
      </c>
      <c r="AQ13" s="69">
        <v>4012.3207762400311</v>
      </c>
      <c r="AR13" s="69">
        <v>497.98626041412336</v>
      </c>
      <c r="AS13" s="69">
        <v>899.94448693593358</v>
      </c>
    </row>
    <row r="14" spans="1:49" x14ac:dyDescent="0.25">
      <c r="A14" s="11">
        <v>44415</v>
      </c>
      <c r="B14" s="59"/>
      <c r="C14" s="60">
        <v>84.208817323049217</v>
      </c>
      <c r="D14" s="60">
        <v>1010.3264753341692</v>
      </c>
      <c r="E14" s="60">
        <v>19.877141452829008</v>
      </c>
      <c r="F14" s="60">
        <v>0</v>
      </c>
      <c r="G14" s="60">
        <v>2344.0321402231802</v>
      </c>
      <c r="H14" s="61">
        <v>32.172853893041712</v>
      </c>
      <c r="I14" s="59">
        <v>255.84465398788424</v>
      </c>
      <c r="J14" s="60">
        <v>855.80104109446143</v>
      </c>
      <c r="K14" s="60">
        <v>46.992834258079505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537.05082964748226</v>
      </c>
      <c r="V14" s="62">
        <v>172.3468102417005</v>
      </c>
      <c r="W14" s="62">
        <v>93.564087177586572</v>
      </c>
      <c r="X14" s="62">
        <v>30.025969774254186</v>
      </c>
      <c r="Y14" s="66">
        <v>540.2833250142121</v>
      </c>
      <c r="Z14" s="66">
        <v>173.38416133553019</v>
      </c>
      <c r="AA14" s="67">
        <v>0</v>
      </c>
      <c r="AB14" s="68">
        <v>172.23713464736974</v>
      </c>
      <c r="AC14" s="69">
        <v>0</v>
      </c>
      <c r="AD14" s="406">
        <v>25.490191428834699</v>
      </c>
      <c r="AE14" s="406">
        <v>7.96237217665999</v>
      </c>
      <c r="AF14" s="69">
        <v>32.64872131215197</v>
      </c>
      <c r="AG14" s="68">
        <v>24.423682672307649</v>
      </c>
      <c r="AH14" s="68">
        <v>7.8378871617993973</v>
      </c>
      <c r="AI14" s="68">
        <v>0.75705189790506866</v>
      </c>
      <c r="AJ14" s="69">
        <v>221.1948122660319</v>
      </c>
      <c r="AK14" s="69">
        <v>815.52294435501096</v>
      </c>
      <c r="AL14" s="69">
        <v>2715.8755957285566</v>
      </c>
      <c r="AM14" s="69">
        <v>451.47885131835938</v>
      </c>
      <c r="AN14" s="69">
        <v>7034.824951171875</v>
      </c>
      <c r="AO14" s="69">
        <v>2555.2613970438642</v>
      </c>
      <c r="AP14" s="69">
        <v>455.12433233261112</v>
      </c>
      <c r="AQ14" s="69">
        <v>4485.7769809722895</v>
      </c>
      <c r="AR14" s="69">
        <v>462.54786453247073</v>
      </c>
      <c r="AS14" s="69">
        <v>821.23300428390507</v>
      </c>
    </row>
    <row r="15" spans="1:49" x14ac:dyDescent="0.25">
      <c r="A15" s="11">
        <v>44416</v>
      </c>
      <c r="B15" s="59"/>
      <c r="C15" s="60">
        <v>84.268703524272155</v>
      </c>
      <c r="D15" s="60">
        <v>1001.5229883829755</v>
      </c>
      <c r="E15" s="60">
        <v>19.845156939327719</v>
      </c>
      <c r="F15" s="60">
        <v>0</v>
      </c>
      <c r="G15" s="60">
        <v>2365.6104966481516</v>
      </c>
      <c r="H15" s="61">
        <v>31.951353875796045</v>
      </c>
      <c r="I15" s="59">
        <v>262.76070440610232</v>
      </c>
      <c r="J15" s="60">
        <v>853.77827491760343</v>
      </c>
      <c r="K15" s="60">
        <v>46.853476262092535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549.07868692476336</v>
      </c>
      <c r="V15" s="62">
        <v>175.71708643304589</v>
      </c>
      <c r="W15" s="62">
        <v>95.99146578438247</v>
      </c>
      <c r="X15" s="62">
        <v>30.719350598979492</v>
      </c>
      <c r="Y15" s="66">
        <v>551.09969636636117</v>
      </c>
      <c r="Z15" s="66">
        <v>176.36385327937936</v>
      </c>
      <c r="AA15" s="67">
        <v>0</v>
      </c>
      <c r="AB15" s="68">
        <v>172.00381578869423</v>
      </c>
      <c r="AC15" s="69">
        <v>0</v>
      </c>
      <c r="AD15" s="406">
        <v>25.430059900917666</v>
      </c>
      <c r="AE15" s="406">
        <v>7.9580994788206763</v>
      </c>
      <c r="AF15" s="69">
        <v>33.207177799277808</v>
      </c>
      <c r="AG15" s="68">
        <v>24.899669150831816</v>
      </c>
      <c r="AH15" s="68">
        <v>7.9684340705988435</v>
      </c>
      <c r="AI15" s="68">
        <v>0.75756331246388242</v>
      </c>
      <c r="AJ15" s="69">
        <v>223.24549574851989</v>
      </c>
      <c r="AK15" s="69">
        <v>816.04095144271844</v>
      </c>
      <c r="AL15" s="69">
        <v>2684.4939233144123</v>
      </c>
      <c r="AM15" s="69">
        <v>451.47885131835938</v>
      </c>
      <c r="AN15" s="69">
        <v>7034.824951171875</v>
      </c>
      <c r="AO15" s="69">
        <v>2553.7695882161456</v>
      </c>
      <c r="AP15" s="69">
        <v>449.86514428456621</v>
      </c>
      <c r="AQ15" s="69">
        <v>4398.7429410298655</v>
      </c>
      <c r="AR15" s="69">
        <v>470.26747446060182</v>
      </c>
      <c r="AS15" s="69">
        <v>817.62743183771772</v>
      </c>
    </row>
    <row r="16" spans="1:49" x14ac:dyDescent="0.25">
      <c r="A16" s="11">
        <v>44417</v>
      </c>
      <c r="B16" s="59"/>
      <c r="C16" s="60">
        <v>84.090183695157819</v>
      </c>
      <c r="D16" s="60">
        <v>990.43641713460363</v>
      </c>
      <c r="E16" s="60">
        <v>19.955089823901655</v>
      </c>
      <c r="F16" s="60">
        <v>0</v>
      </c>
      <c r="G16" s="60">
        <v>2285.5759165445934</v>
      </c>
      <c r="H16" s="61">
        <v>32.11237327456476</v>
      </c>
      <c r="I16" s="59">
        <v>251.37509759267112</v>
      </c>
      <c r="J16" s="60">
        <v>853.73474165598668</v>
      </c>
      <c r="K16" s="60">
        <v>46.890313733617504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549.1995788365366</v>
      </c>
      <c r="V16" s="62">
        <v>175.75046240458155</v>
      </c>
      <c r="W16" s="62">
        <v>94.885729580870105</v>
      </c>
      <c r="X16" s="62">
        <v>30.364573266356242</v>
      </c>
      <c r="Y16" s="66">
        <v>553.17442349139276</v>
      </c>
      <c r="Z16" s="66">
        <v>177.02246044135586</v>
      </c>
      <c r="AA16" s="67">
        <v>0</v>
      </c>
      <c r="AB16" s="68">
        <v>172.00603705512162</v>
      </c>
      <c r="AC16" s="69">
        <v>0</v>
      </c>
      <c r="AD16" s="406">
        <v>25.430490938419545</v>
      </c>
      <c r="AE16" s="406">
        <v>7.9689147869701218</v>
      </c>
      <c r="AF16" s="69">
        <v>33.161820242140003</v>
      </c>
      <c r="AG16" s="68">
        <v>24.860349036994474</v>
      </c>
      <c r="AH16" s="68">
        <v>7.9556103230216122</v>
      </c>
      <c r="AI16" s="68">
        <v>0.75756886349893038</v>
      </c>
      <c r="AJ16" s="69">
        <v>221.49758253097534</v>
      </c>
      <c r="AK16" s="69">
        <v>817.65827058156322</v>
      </c>
      <c r="AL16" s="69">
        <v>2757.8878083546961</v>
      </c>
      <c r="AM16" s="69">
        <v>451.47885131835938</v>
      </c>
      <c r="AN16" s="69">
        <v>7034.824951171875</v>
      </c>
      <c r="AO16" s="69">
        <v>2591.944745254516</v>
      </c>
      <c r="AP16" s="69">
        <v>478.51882112820937</v>
      </c>
      <c r="AQ16" s="69">
        <v>4182.5681493123384</v>
      </c>
      <c r="AR16" s="69">
        <v>500.84157215754186</v>
      </c>
      <c r="AS16" s="69">
        <v>878.5924969673157</v>
      </c>
    </row>
    <row r="17" spans="1:45" s="378" customFormat="1" ht="15" customHeight="1" x14ac:dyDescent="0.25">
      <c r="A17" s="11">
        <v>44418</v>
      </c>
      <c r="B17" s="372"/>
      <c r="C17" s="373">
        <v>84.986455659070558</v>
      </c>
      <c r="D17" s="373">
        <v>991.70463549296221</v>
      </c>
      <c r="E17" s="373">
        <v>20.283454511066253</v>
      </c>
      <c r="F17" s="373">
        <v>0</v>
      </c>
      <c r="G17" s="373">
        <v>2267.7993166605652</v>
      </c>
      <c r="H17" s="374">
        <v>31.960771113634184</v>
      </c>
      <c r="I17" s="372">
        <v>258.07639452616348</v>
      </c>
      <c r="J17" s="373">
        <v>853.4984572728481</v>
      </c>
      <c r="K17" s="373">
        <v>46.863861934343952</v>
      </c>
      <c r="L17" s="375">
        <v>0</v>
      </c>
      <c r="M17" s="60">
        <v>0</v>
      </c>
      <c r="N17" s="374">
        <v>0</v>
      </c>
      <c r="O17" s="372">
        <v>0</v>
      </c>
      <c r="P17" s="373">
        <v>0</v>
      </c>
      <c r="Q17" s="373">
        <v>0</v>
      </c>
      <c r="R17" s="373">
        <v>0</v>
      </c>
      <c r="S17" s="373">
        <v>0</v>
      </c>
      <c r="T17" s="374">
        <v>0</v>
      </c>
      <c r="U17" s="372">
        <v>555.91855815235385</v>
      </c>
      <c r="V17" s="373">
        <v>149.25548931773349</v>
      </c>
      <c r="W17" s="373">
        <v>95.141564559505895</v>
      </c>
      <c r="X17" s="373">
        <v>25.544030801886006</v>
      </c>
      <c r="Y17" s="373">
        <v>569.0356670729368</v>
      </c>
      <c r="Z17" s="373">
        <v>152.77722911516452</v>
      </c>
      <c r="AA17" s="374">
        <v>0</v>
      </c>
      <c r="AB17" s="376">
        <v>172.23895675871077</v>
      </c>
      <c r="AC17" s="377">
        <v>0</v>
      </c>
      <c r="AD17" s="406">
        <v>25.42086310084165</v>
      </c>
      <c r="AE17" s="406">
        <v>7.9792389033395086</v>
      </c>
      <c r="AF17" s="377">
        <v>31.688640631569744</v>
      </c>
      <c r="AG17" s="377">
        <v>24.710803661438838</v>
      </c>
      <c r="AH17" s="377">
        <v>6.6344665739899744</v>
      </c>
      <c r="AI17" s="377">
        <v>0.78834233923779684</v>
      </c>
      <c r="AJ17" s="377">
        <v>212.01724526087443</v>
      </c>
      <c r="AK17" s="377">
        <v>818.36151781082151</v>
      </c>
      <c r="AL17" s="377">
        <v>2794.8686276753742</v>
      </c>
      <c r="AM17" s="377">
        <v>451.47885131835938</v>
      </c>
      <c r="AN17" s="377">
        <v>7034.824951171875</v>
      </c>
      <c r="AO17" s="377">
        <v>2568.6989498138428</v>
      </c>
      <c r="AP17" s="377">
        <v>478.17163945833846</v>
      </c>
      <c r="AQ17" s="377">
        <v>3992.2132277170822</v>
      </c>
      <c r="AR17" s="377">
        <v>491.30894505182903</v>
      </c>
      <c r="AS17" s="377">
        <v>887.90446891784666</v>
      </c>
    </row>
    <row r="18" spans="1:45" x14ac:dyDescent="0.25">
      <c r="A18" s="11">
        <v>44419</v>
      </c>
      <c r="B18" s="59"/>
      <c r="C18" s="60">
        <v>85.031678354739867</v>
      </c>
      <c r="D18" s="60">
        <v>989.73646443684845</v>
      </c>
      <c r="E18" s="60">
        <v>20.302265620231587</v>
      </c>
      <c r="F18" s="60">
        <v>0</v>
      </c>
      <c r="G18" s="60">
        <v>2129.0498461405418</v>
      </c>
      <c r="H18" s="61">
        <v>32.0132786651453</v>
      </c>
      <c r="I18" s="59">
        <v>266.29158417383803</v>
      </c>
      <c r="J18" s="60">
        <v>853.58727563222362</v>
      </c>
      <c r="K18" s="60">
        <v>46.831153418620396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560.24410516090677</v>
      </c>
      <c r="V18" s="62">
        <v>179.31760413711598</v>
      </c>
      <c r="W18" s="62">
        <v>97.849356861575473</v>
      </c>
      <c r="X18" s="62">
        <v>31.318691401020622</v>
      </c>
      <c r="Y18" s="66">
        <v>587.59198469641103</v>
      </c>
      <c r="Z18" s="66">
        <v>188.07085328576812</v>
      </c>
      <c r="AA18" s="67">
        <v>0</v>
      </c>
      <c r="AB18" s="68">
        <v>172.08334860272063</v>
      </c>
      <c r="AC18" s="69">
        <v>0</v>
      </c>
      <c r="AD18" s="406">
        <v>25.426175959964922</v>
      </c>
      <c r="AE18" s="406">
        <v>7.9636808723691068</v>
      </c>
      <c r="AF18" s="69">
        <v>33.357109422153847</v>
      </c>
      <c r="AG18" s="68">
        <v>25.00011523791801</v>
      </c>
      <c r="AH18" s="68">
        <v>8.0017990842183373</v>
      </c>
      <c r="AI18" s="68">
        <v>0.75753530519134005</v>
      </c>
      <c r="AJ18" s="69">
        <v>211.83303443590799</v>
      </c>
      <c r="AK18" s="69">
        <v>819.69700415929174</v>
      </c>
      <c r="AL18" s="69">
        <v>2713.4752477010088</v>
      </c>
      <c r="AM18" s="69">
        <v>451.47885131835938</v>
      </c>
      <c r="AN18" s="69">
        <v>7034.824951171875</v>
      </c>
      <c r="AO18" s="69">
        <v>2594.0534829457602</v>
      </c>
      <c r="AP18" s="69">
        <v>478.56641256014501</v>
      </c>
      <c r="AQ18" s="69">
        <v>4109.0052998860674</v>
      </c>
      <c r="AR18" s="69">
        <v>493.99375667572025</v>
      </c>
      <c r="AS18" s="69">
        <v>913.23925034205104</v>
      </c>
    </row>
    <row r="19" spans="1:45" x14ac:dyDescent="0.25">
      <c r="A19" s="11">
        <v>44420</v>
      </c>
      <c r="B19" s="59"/>
      <c r="C19" s="60">
        <v>84.76264890034993</v>
      </c>
      <c r="D19" s="60">
        <v>989.95310363769545</v>
      </c>
      <c r="E19" s="60">
        <v>20.276216850181413</v>
      </c>
      <c r="F19" s="60">
        <v>0</v>
      </c>
      <c r="G19" s="60">
        <v>2214.4663168589268</v>
      </c>
      <c r="H19" s="61">
        <v>31.923940634727597</v>
      </c>
      <c r="I19" s="59">
        <v>271.5926322301226</v>
      </c>
      <c r="J19" s="60">
        <v>853.427187410991</v>
      </c>
      <c r="K19" s="60">
        <v>46.875301670034702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556.46148900561616</v>
      </c>
      <c r="V19" s="62">
        <v>178.07515548493842</v>
      </c>
      <c r="W19" s="62">
        <v>97.871650363760679</v>
      </c>
      <c r="X19" s="62">
        <v>31.320243539653671</v>
      </c>
      <c r="Y19" s="66">
        <v>584.69333182980472</v>
      </c>
      <c r="Z19" s="66">
        <v>187.10972463280083</v>
      </c>
      <c r="AA19" s="67">
        <v>0</v>
      </c>
      <c r="AB19" s="68">
        <v>171.94793008168671</v>
      </c>
      <c r="AC19" s="69">
        <v>0</v>
      </c>
      <c r="AD19" s="406">
        <v>25.422400213995438</v>
      </c>
      <c r="AE19" s="406">
        <v>7.9658266874391757</v>
      </c>
      <c r="AF19" s="69">
        <v>33.091207765208402</v>
      </c>
      <c r="AG19" s="68">
        <v>24.799608470876482</v>
      </c>
      <c r="AH19" s="68">
        <v>7.9362080245814735</v>
      </c>
      <c r="AI19" s="68">
        <v>0.75756804398990296</v>
      </c>
      <c r="AJ19" s="69">
        <v>217.58298312822978</v>
      </c>
      <c r="AK19" s="69">
        <v>815.94131155014054</v>
      </c>
      <c r="AL19" s="69">
        <v>2818.2536726633712</v>
      </c>
      <c r="AM19" s="69">
        <v>451.47885131835938</v>
      </c>
      <c r="AN19" s="69">
        <v>7034.824951171875</v>
      </c>
      <c r="AO19" s="69">
        <v>2591.324212010702</v>
      </c>
      <c r="AP19" s="69">
        <v>470.51544081370042</v>
      </c>
      <c r="AQ19" s="69">
        <v>4214.3810471852621</v>
      </c>
      <c r="AR19" s="69">
        <v>489.14242801666262</v>
      </c>
      <c r="AS19" s="69">
        <v>858.61292454401632</v>
      </c>
    </row>
    <row r="20" spans="1:45" x14ac:dyDescent="0.25">
      <c r="A20" s="11">
        <v>44421</v>
      </c>
      <c r="B20" s="59"/>
      <c r="C20" s="60">
        <v>84.293937993050008</v>
      </c>
      <c r="D20" s="60">
        <v>990.27147337595682</v>
      </c>
      <c r="E20" s="60">
        <v>20.218998677035156</v>
      </c>
      <c r="F20" s="60">
        <v>0</v>
      </c>
      <c r="G20" s="60">
        <v>2348.0046858469586</v>
      </c>
      <c r="H20" s="61">
        <v>31.951033198833514</v>
      </c>
      <c r="I20" s="59">
        <v>271.22373619079576</v>
      </c>
      <c r="J20" s="60">
        <v>853.24607747395794</v>
      </c>
      <c r="K20" s="60">
        <v>46.859504793087638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558.2389798639424</v>
      </c>
      <c r="V20" s="62">
        <v>178.63614805556455</v>
      </c>
      <c r="W20" s="62">
        <v>97.821933392967736</v>
      </c>
      <c r="X20" s="62">
        <v>31.302961647226361</v>
      </c>
      <c r="Y20" s="66">
        <v>586.80399151330346</v>
      </c>
      <c r="Z20" s="66">
        <v>187.77693512752404</v>
      </c>
      <c r="AA20" s="67">
        <v>0</v>
      </c>
      <c r="AB20" s="68">
        <v>172.01851621204068</v>
      </c>
      <c r="AC20" s="69">
        <v>0</v>
      </c>
      <c r="AD20" s="406">
        <v>25.417360777509248</v>
      </c>
      <c r="AE20" s="406">
        <v>7.9680917633551767</v>
      </c>
      <c r="AF20" s="69">
        <v>33.224920924504595</v>
      </c>
      <c r="AG20" s="68">
        <v>24.901727961390275</v>
      </c>
      <c r="AH20" s="68">
        <v>7.9685384278154254</v>
      </c>
      <c r="AI20" s="68">
        <v>0.75757609222077316</v>
      </c>
      <c r="AJ20" s="69">
        <v>221.25559132893881</v>
      </c>
      <c r="AK20" s="69">
        <v>827.37236442565916</v>
      </c>
      <c r="AL20" s="69">
        <v>2763.7443313598637</v>
      </c>
      <c r="AM20" s="69">
        <v>510.07306915918986</v>
      </c>
      <c r="AN20" s="69">
        <v>7034.824951171875</v>
      </c>
      <c r="AO20" s="69">
        <v>2579.5952793121337</v>
      </c>
      <c r="AP20" s="69">
        <v>463.40132883389788</v>
      </c>
      <c r="AQ20" s="69">
        <v>4130.5073104858393</v>
      </c>
      <c r="AR20" s="69">
        <v>491.58174619674685</v>
      </c>
      <c r="AS20" s="69">
        <v>876.03826313018794</v>
      </c>
    </row>
    <row r="21" spans="1:45" s="413" customFormat="1" x14ac:dyDescent="0.25">
      <c r="A21" s="452">
        <v>44422</v>
      </c>
      <c r="B21" s="445"/>
      <c r="C21" s="446">
        <v>83.866626306375153</v>
      </c>
      <c r="D21" s="446">
        <v>990.63253053029359</v>
      </c>
      <c r="E21" s="446">
        <v>20.24416101922591</v>
      </c>
      <c r="F21" s="446">
        <v>0</v>
      </c>
      <c r="G21" s="446">
        <v>2399.6592909495066</v>
      </c>
      <c r="H21" s="447">
        <v>31.928256785869685</v>
      </c>
      <c r="I21" s="445">
        <v>275.39344383875505</v>
      </c>
      <c r="J21" s="446">
        <v>853.51900463104312</v>
      </c>
      <c r="K21" s="446">
        <v>46.889438099662428</v>
      </c>
      <c r="L21" s="448">
        <v>0</v>
      </c>
      <c r="M21" s="446">
        <v>0</v>
      </c>
      <c r="N21" s="447">
        <v>0</v>
      </c>
      <c r="O21" s="445">
        <v>0</v>
      </c>
      <c r="P21" s="446">
        <v>0</v>
      </c>
      <c r="Q21" s="446">
        <v>0</v>
      </c>
      <c r="R21" s="446">
        <v>0</v>
      </c>
      <c r="S21" s="446">
        <v>0</v>
      </c>
      <c r="T21" s="447">
        <v>0</v>
      </c>
      <c r="U21" s="445">
        <v>557.05466401656213</v>
      </c>
      <c r="V21" s="446">
        <v>178.21818640151611</v>
      </c>
      <c r="W21" s="446">
        <v>97.672352839090991</v>
      </c>
      <c r="X21" s="446">
        <v>31.248261093518519</v>
      </c>
      <c r="Y21" s="446">
        <v>584.16669699922693</v>
      </c>
      <c r="Z21" s="446">
        <v>186.89212391599483</v>
      </c>
      <c r="AA21" s="447">
        <v>0</v>
      </c>
      <c r="AB21" s="449">
        <v>172.0638629065628</v>
      </c>
      <c r="AC21" s="450">
        <v>0</v>
      </c>
      <c r="AD21" s="451">
        <v>25.423868049113963</v>
      </c>
      <c r="AE21" s="449">
        <v>7.9701480601067143</v>
      </c>
      <c r="AF21" s="450">
        <v>33.152445422278547</v>
      </c>
      <c r="AG21" s="450">
        <v>24.84522853381948</v>
      </c>
      <c r="AH21" s="450">
        <v>7.9487200378181564</v>
      </c>
      <c r="AI21" s="450">
        <v>0.75761625592434056</v>
      </c>
      <c r="AJ21" s="450">
        <v>217.85005613962809</v>
      </c>
      <c r="AK21" s="450">
        <v>820.29704325993873</v>
      </c>
      <c r="AL21" s="450">
        <v>2851.1831981658934</v>
      </c>
      <c r="AM21" s="450">
        <v>536.10841369628906</v>
      </c>
      <c r="AN21" s="450">
        <v>7034.824951171875</v>
      </c>
      <c r="AO21" s="450">
        <v>2588.4486150105795</v>
      </c>
      <c r="AP21" s="450">
        <v>468.57202649116505</v>
      </c>
      <c r="AQ21" s="450">
        <v>4078.9118123372405</v>
      </c>
      <c r="AR21" s="450">
        <v>495.94835783640542</v>
      </c>
      <c r="AS21" s="450">
        <v>831.72622677485163</v>
      </c>
    </row>
    <row r="22" spans="1:45" x14ac:dyDescent="0.25">
      <c r="A22" s="11">
        <v>44423</v>
      </c>
      <c r="B22" s="59"/>
      <c r="C22" s="60">
        <v>83.985164225101812</v>
      </c>
      <c r="D22" s="60">
        <v>990.38099308013989</v>
      </c>
      <c r="E22" s="60">
        <v>20.229906873404943</v>
      </c>
      <c r="F22" s="60">
        <v>0</v>
      </c>
      <c r="G22" s="60">
        <v>2564.8072293599466</v>
      </c>
      <c r="H22" s="61">
        <v>31.920266360044533</v>
      </c>
      <c r="I22" s="59">
        <v>279.7342005093891</v>
      </c>
      <c r="J22" s="60">
        <v>853.13957608541011</v>
      </c>
      <c r="K22" s="60">
        <v>46.828668837745951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561.30785854954888</v>
      </c>
      <c r="V22" s="62">
        <v>180.57168962922853</v>
      </c>
      <c r="W22" s="62">
        <v>96.840303484090867</v>
      </c>
      <c r="X22" s="62">
        <v>31.153344742965043</v>
      </c>
      <c r="Y22" s="66">
        <v>575.37731275906435</v>
      </c>
      <c r="Z22" s="66">
        <v>185.09780676811587</v>
      </c>
      <c r="AA22" s="67">
        <v>0</v>
      </c>
      <c r="AB22" s="68">
        <v>171.71677719751966</v>
      </c>
      <c r="AC22" s="69">
        <v>0</v>
      </c>
      <c r="AD22" s="406">
        <v>25.409874950262676</v>
      </c>
      <c r="AE22" s="406">
        <v>7.9694004537661387</v>
      </c>
      <c r="AF22" s="69">
        <v>32.846484106116861</v>
      </c>
      <c r="AG22" s="68">
        <v>24.586838227874402</v>
      </c>
      <c r="AH22" s="68">
        <v>7.9095399321865703</v>
      </c>
      <c r="AI22" s="68">
        <v>0.75660241602223743</v>
      </c>
      <c r="AJ22" s="69">
        <v>211.15241311391196</v>
      </c>
      <c r="AK22" s="69">
        <v>812.60572277704875</v>
      </c>
      <c r="AL22" s="69">
        <v>2757.0526962280273</v>
      </c>
      <c r="AM22" s="69">
        <v>536.10841369628906</v>
      </c>
      <c r="AN22" s="69">
        <v>7034.824951171875</v>
      </c>
      <c r="AO22" s="69">
        <v>2581.825900268555</v>
      </c>
      <c r="AP22" s="69">
        <v>464.42805571556096</v>
      </c>
      <c r="AQ22" s="69">
        <v>4090.6752974192295</v>
      </c>
      <c r="AR22" s="69">
        <v>500.98465929031374</v>
      </c>
      <c r="AS22" s="69">
        <v>825.78809350331619</v>
      </c>
    </row>
    <row r="23" spans="1:45" x14ac:dyDescent="0.25">
      <c r="A23" s="11">
        <v>44424</v>
      </c>
      <c r="B23" s="59"/>
      <c r="C23" s="60">
        <v>84.323751151561879</v>
      </c>
      <c r="D23" s="60">
        <v>996.37791544596382</v>
      </c>
      <c r="E23" s="60">
        <v>20.143732690314437</v>
      </c>
      <c r="F23" s="60">
        <v>0</v>
      </c>
      <c r="G23" s="60">
        <v>2602.4786832173681</v>
      </c>
      <c r="H23" s="61">
        <v>32.048770872751895</v>
      </c>
      <c r="I23" s="59">
        <v>279.55968329111744</v>
      </c>
      <c r="J23" s="60">
        <v>852.51312294006436</v>
      </c>
      <c r="K23" s="60">
        <v>46.825403098265397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572.42307610755881</v>
      </c>
      <c r="V23" s="62">
        <v>183.66861327775553</v>
      </c>
      <c r="W23" s="62">
        <v>101.06937337298233</v>
      </c>
      <c r="X23" s="62">
        <v>32.429286007294571</v>
      </c>
      <c r="Y23" s="66">
        <v>578.89007162483983</v>
      </c>
      <c r="Z23" s="66">
        <v>185.74362413652335</v>
      </c>
      <c r="AA23" s="67">
        <v>0</v>
      </c>
      <c r="AB23" s="68">
        <v>170.2367132186892</v>
      </c>
      <c r="AC23" s="69">
        <v>0</v>
      </c>
      <c r="AD23" s="406">
        <v>25.397750452350977</v>
      </c>
      <c r="AE23" s="406">
        <v>7.9775445461919157</v>
      </c>
      <c r="AF23" s="69">
        <v>32.778965889083025</v>
      </c>
      <c r="AG23" s="68">
        <v>24.563118841622909</v>
      </c>
      <c r="AH23" s="68">
        <v>7.8813628655492547</v>
      </c>
      <c r="AI23" s="68">
        <v>0.75708156053523878</v>
      </c>
      <c r="AJ23" s="69">
        <v>215.20078013737995</v>
      </c>
      <c r="AK23" s="69">
        <v>815.35307013193744</v>
      </c>
      <c r="AL23" s="69">
        <v>2727.8712975819908</v>
      </c>
      <c r="AM23" s="69">
        <v>536.10841369628906</v>
      </c>
      <c r="AN23" s="69">
        <v>7034.824951171875</v>
      </c>
      <c r="AO23" s="69">
        <v>2637.4931568145753</v>
      </c>
      <c r="AP23" s="69">
        <v>459.62446823120109</v>
      </c>
      <c r="AQ23" s="69">
        <v>4052.4070625305176</v>
      </c>
      <c r="AR23" s="69">
        <v>488.77392911911016</v>
      </c>
      <c r="AS23" s="69">
        <v>850.7271120707195</v>
      </c>
    </row>
    <row r="24" spans="1:45" x14ac:dyDescent="0.25">
      <c r="A24" s="11">
        <v>44425</v>
      </c>
      <c r="B24" s="59"/>
      <c r="C24" s="60">
        <v>85.091068704923202</v>
      </c>
      <c r="D24" s="60">
        <v>998.42084096272617</v>
      </c>
      <c r="E24" s="60">
        <v>20.252358175317436</v>
      </c>
      <c r="F24" s="60">
        <v>0</v>
      </c>
      <c r="G24" s="60">
        <v>2534.3039529164625</v>
      </c>
      <c r="H24" s="61">
        <v>32.070138720671416</v>
      </c>
      <c r="I24" s="59">
        <v>286.22972939809154</v>
      </c>
      <c r="J24" s="60">
        <v>855.73875859578447</v>
      </c>
      <c r="K24" s="60">
        <v>47.002629490693387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562.57773489671877</v>
      </c>
      <c r="V24" s="62">
        <v>180.53939377216207</v>
      </c>
      <c r="W24" s="62">
        <v>99.354589736652002</v>
      </c>
      <c r="X24" s="62">
        <v>31.884335775979622</v>
      </c>
      <c r="Y24" s="66">
        <v>580.59557300980862</v>
      </c>
      <c r="Z24" s="66">
        <v>186.32158060296405</v>
      </c>
      <c r="AA24" s="67">
        <v>0</v>
      </c>
      <c r="AB24" s="68">
        <v>166.14543765385815</v>
      </c>
      <c r="AC24" s="69">
        <v>0</v>
      </c>
      <c r="AD24" s="406">
        <v>25.489565972159959</v>
      </c>
      <c r="AE24" s="406">
        <v>8.0224849954610278</v>
      </c>
      <c r="AF24" s="69">
        <v>32.793130026923308</v>
      </c>
      <c r="AG24" s="68">
        <v>24.519282319743162</v>
      </c>
      <c r="AH24" s="68">
        <v>7.8685950245570968</v>
      </c>
      <c r="AI24" s="68">
        <v>0.75705122812125747</v>
      </c>
      <c r="AJ24" s="69">
        <v>217.69980080922446</v>
      </c>
      <c r="AK24" s="69">
        <v>817.24866422017419</v>
      </c>
      <c r="AL24" s="69">
        <v>2762.2558778127036</v>
      </c>
      <c r="AM24" s="69">
        <v>536.10841369628906</v>
      </c>
      <c r="AN24" s="69">
        <v>7034.824951171875</v>
      </c>
      <c r="AO24" s="69">
        <v>2711.0020169576005</v>
      </c>
      <c r="AP24" s="69">
        <v>472.8429665088654</v>
      </c>
      <c r="AQ24" s="69">
        <v>4174.2186908721924</v>
      </c>
      <c r="AR24" s="69">
        <v>500.94806556701656</v>
      </c>
      <c r="AS24" s="69">
        <v>876.63750712076819</v>
      </c>
    </row>
    <row r="25" spans="1:45" x14ac:dyDescent="0.25">
      <c r="A25" s="11">
        <v>44426</v>
      </c>
      <c r="B25" s="59"/>
      <c r="C25" s="60">
        <v>84.902054909864759</v>
      </c>
      <c r="D25" s="60">
        <v>991.61953639984142</v>
      </c>
      <c r="E25" s="60">
        <v>20.262246201932435</v>
      </c>
      <c r="F25" s="60">
        <v>0</v>
      </c>
      <c r="G25" s="60">
        <v>2470.0902645111069</v>
      </c>
      <c r="H25" s="61">
        <v>32.212358313798958</v>
      </c>
      <c r="I25" s="59">
        <v>291.75824540456142</v>
      </c>
      <c r="J25" s="60">
        <v>856.85872014363599</v>
      </c>
      <c r="K25" s="60">
        <v>47.038159737984358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554.13426105943734</v>
      </c>
      <c r="V25" s="62">
        <v>177.87746235296154</v>
      </c>
      <c r="W25" s="62">
        <v>97.313045007921701</v>
      </c>
      <c r="X25" s="62">
        <v>31.23755146767936</v>
      </c>
      <c r="Y25" s="66">
        <v>583.04209026720218</v>
      </c>
      <c r="Z25" s="66">
        <v>187.15689454648637</v>
      </c>
      <c r="AA25" s="67">
        <v>0</v>
      </c>
      <c r="AB25" s="68">
        <v>166.51469923655222</v>
      </c>
      <c r="AC25" s="69">
        <v>0</v>
      </c>
      <c r="AD25" s="406">
        <v>25.52209719891864</v>
      </c>
      <c r="AE25" s="406">
        <v>8.0212692479646606</v>
      </c>
      <c r="AF25" s="69">
        <v>33.017632944054093</v>
      </c>
      <c r="AG25" s="68">
        <v>24.682057394857626</v>
      </c>
      <c r="AH25" s="68">
        <v>7.9229566615382154</v>
      </c>
      <c r="AI25" s="68">
        <v>0.75700189400826112</v>
      </c>
      <c r="AJ25" s="69">
        <v>221.71892733573912</v>
      </c>
      <c r="AK25" s="69">
        <v>826.31594165166211</v>
      </c>
      <c r="AL25" s="69">
        <v>2708.6567635854094</v>
      </c>
      <c r="AM25" s="69">
        <v>590.67438840866089</v>
      </c>
      <c r="AN25" s="69">
        <v>7034.824951171875</v>
      </c>
      <c r="AO25" s="69">
        <v>2706.6062820434577</v>
      </c>
      <c r="AP25" s="69">
        <v>478.38011720975243</v>
      </c>
      <c r="AQ25" s="69">
        <v>4096.2433130900063</v>
      </c>
      <c r="AR25" s="69">
        <v>503.1100333531698</v>
      </c>
      <c r="AS25" s="69">
        <v>890.01562325159705</v>
      </c>
    </row>
    <row r="26" spans="1:45" x14ac:dyDescent="0.25">
      <c r="A26" s="11">
        <v>44427</v>
      </c>
      <c r="B26" s="59"/>
      <c r="C26" s="60">
        <v>84.895486835638309</v>
      </c>
      <c r="D26" s="60">
        <v>986.0726549784323</v>
      </c>
      <c r="E26" s="60">
        <v>19.970494357248128</v>
      </c>
      <c r="F26" s="60">
        <v>0</v>
      </c>
      <c r="G26" s="60">
        <v>2505.4116952260338</v>
      </c>
      <c r="H26" s="61">
        <v>31.944451830784519</v>
      </c>
      <c r="I26" s="59">
        <v>306.30887535413103</v>
      </c>
      <c r="J26" s="60">
        <v>858.82198448181168</v>
      </c>
      <c r="K26" s="60">
        <v>47.143102123339965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570.68694972304377</v>
      </c>
      <c r="V26" s="62">
        <v>182.63137175930362</v>
      </c>
      <c r="W26" s="62">
        <v>97.653324885931795</v>
      </c>
      <c r="X26" s="62">
        <v>31.251039978099787</v>
      </c>
      <c r="Y26" s="66">
        <v>594.89988444220137</v>
      </c>
      <c r="Z26" s="66">
        <v>190.38000081806209</v>
      </c>
      <c r="AA26" s="67">
        <v>0</v>
      </c>
      <c r="AB26" s="68">
        <v>166.41284206177974</v>
      </c>
      <c r="AC26" s="69">
        <v>0</v>
      </c>
      <c r="AD26" s="406">
        <v>25.579609562521714</v>
      </c>
      <c r="AE26" s="406">
        <v>7.9761705020241589</v>
      </c>
      <c r="AF26" s="69">
        <v>33.260098728868783</v>
      </c>
      <c r="AG26" s="68">
        <v>24.869805874206609</v>
      </c>
      <c r="AH26" s="68">
        <v>7.9588411201591205</v>
      </c>
      <c r="AI26" s="68">
        <v>0.75756414446428244</v>
      </c>
      <c r="AJ26" s="69">
        <v>232.45159072875975</v>
      </c>
      <c r="AK26" s="69">
        <v>829.6131210009255</v>
      </c>
      <c r="AL26" s="69">
        <v>2750.3163153330484</v>
      </c>
      <c r="AM26" s="69">
        <v>498.9530712763468</v>
      </c>
      <c r="AN26" s="69">
        <v>7034.824951171875</v>
      </c>
      <c r="AO26" s="69">
        <v>2647.3266944885254</v>
      </c>
      <c r="AP26" s="69">
        <v>461.20516398747765</v>
      </c>
      <c r="AQ26" s="69">
        <v>4123.3385732014985</v>
      </c>
      <c r="AR26" s="69">
        <v>478.16722834904994</v>
      </c>
      <c r="AS26" s="69">
        <v>830.02764307657878</v>
      </c>
    </row>
    <row r="27" spans="1:45" x14ac:dyDescent="0.25">
      <c r="A27" s="11">
        <v>44428</v>
      </c>
      <c r="B27" s="59"/>
      <c r="C27" s="60">
        <v>84.829145479202552</v>
      </c>
      <c r="D27" s="60">
        <v>994.32675024668322</v>
      </c>
      <c r="E27" s="60">
        <v>20.105594929059361</v>
      </c>
      <c r="F27" s="60">
        <v>0</v>
      </c>
      <c r="G27" s="60">
        <v>2566.429140981043</v>
      </c>
      <c r="H27" s="61">
        <v>32.31141758561143</v>
      </c>
      <c r="I27" s="59">
        <v>320.79936493237847</v>
      </c>
      <c r="J27" s="60">
        <v>859.41021327972373</v>
      </c>
      <c r="K27" s="60">
        <v>47.217519113421496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553.00359073179186</v>
      </c>
      <c r="V27" s="62">
        <v>160.22207118176993</v>
      </c>
      <c r="W27" s="62">
        <v>97.430801172976842</v>
      </c>
      <c r="X27" s="62">
        <v>28.228686074490124</v>
      </c>
      <c r="Y27" s="62">
        <v>592.5351957566852</v>
      </c>
      <c r="Z27" s="62">
        <v>171.67558747059996</v>
      </c>
      <c r="AA27" s="72">
        <v>0</v>
      </c>
      <c r="AB27" s="69">
        <v>166.75343537860132</v>
      </c>
      <c r="AC27" s="69">
        <v>0</v>
      </c>
      <c r="AD27" s="406">
        <v>25.596629010887153</v>
      </c>
      <c r="AE27" s="406">
        <v>8.0058367594672379</v>
      </c>
      <c r="AF27" s="69">
        <v>32.310175859928123</v>
      </c>
      <c r="AG27" s="69">
        <v>24.729382665065646</v>
      </c>
      <c r="AH27" s="69">
        <v>7.1648592812936185</v>
      </c>
      <c r="AI27" s="69">
        <v>0.77535571175061313</v>
      </c>
      <c r="AJ27" s="69">
        <v>249.10561621983845</v>
      </c>
      <c r="AK27" s="69">
        <v>833.43578306833911</v>
      </c>
      <c r="AL27" s="69">
        <v>2712.5684801737466</v>
      </c>
      <c r="AM27" s="69">
        <v>454.77301025390625</v>
      </c>
      <c r="AN27" s="69">
        <v>7034.824951171875</v>
      </c>
      <c r="AO27" s="69">
        <v>2570.7136257171633</v>
      </c>
      <c r="AP27" s="69">
        <v>437.40671933492024</v>
      </c>
      <c r="AQ27" s="69">
        <v>3976.573737080892</v>
      </c>
      <c r="AR27" s="69">
        <v>452.46245123545322</v>
      </c>
      <c r="AS27" s="69">
        <v>748.02144374847421</v>
      </c>
    </row>
    <row r="28" spans="1:45" x14ac:dyDescent="0.25">
      <c r="A28" s="11">
        <v>44429</v>
      </c>
      <c r="B28" s="59"/>
      <c r="C28" s="60">
        <v>84.064920667808039</v>
      </c>
      <c r="D28" s="60">
        <v>993.90142326354851</v>
      </c>
      <c r="E28" s="60">
        <v>19.845198054611661</v>
      </c>
      <c r="F28" s="60">
        <v>0</v>
      </c>
      <c r="G28" s="60">
        <v>2564.0071937561038</v>
      </c>
      <c r="H28" s="61">
        <v>32.117741117874772</v>
      </c>
      <c r="I28" s="59">
        <v>309.62427401542675</v>
      </c>
      <c r="J28" s="60">
        <v>813.73650067647259</v>
      </c>
      <c r="K28" s="60">
        <v>44.688686210910532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520.1820048109447</v>
      </c>
      <c r="V28" s="62">
        <v>175.56329969938969</v>
      </c>
      <c r="W28" s="62">
        <v>92.768574787788125</v>
      </c>
      <c r="X28" s="62">
        <v>31.309728032735311</v>
      </c>
      <c r="Y28" s="66">
        <v>563.86704422561581</v>
      </c>
      <c r="Z28" s="66">
        <v>190.30715780329496</v>
      </c>
      <c r="AA28" s="67">
        <v>0</v>
      </c>
      <c r="AB28" s="68">
        <v>160.41601764890981</v>
      </c>
      <c r="AC28" s="69">
        <v>0</v>
      </c>
      <c r="AD28" s="406">
        <v>24.237142971220337</v>
      </c>
      <c r="AE28" s="406">
        <v>7.9969234813084569</v>
      </c>
      <c r="AF28" s="69">
        <v>31.819755835003377</v>
      </c>
      <c r="AG28" s="68">
        <v>23.478762731184222</v>
      </c>
      <c r="AH28" s="68">
        <v>7.9241669642990864</v>
      </c>
      <c r="AI28" s="68">
        <v>0.74766153855260131</v>
      </c>
      <c r="AJ28" s="69">
        <v>241.22826781272886</v>
      </c>
      <c r="AK28" s="69">
        <v>827.94233433405554</v>
      </c>
      <c r="AL28" s="69">
        <v>2657.8165257771816</v>
      </c>
      <c r="AM28" s="69">
        <v>454.77301025390625</v>
      </c>
      <c r="AN28" s="69">
        <v>7034.824951171875</v>
      </c>
      <c r="AO28" s="69">
        <v>2532.76862932841</v>
      </c>
      <c r="AP28" s="69">
        <v>424.12695953051241</v>
      </c>
      <c r="AQ28" s="69">
        <v>3923.2316805521646</v>
      </c>
      <c r="AR28" s="69">
        <v>454.19213511149093</v>
      </c>
      <c r="AS28" s="69">
        <v>749.4186389287313</v>
      </c>
    </row>
    <row r="29" spans="1:45" x14ac:dyDescent="0.25">
      <c r="A29" s="11">
        <v>44430</v>
      </c>
      <c r="B29" s="59"/>
      <c r="C29" s="60">
        <v>84.671697092056391</v>
      </c>
      <c r="D29" s="60">
        <v>992.93105112711544</v>
      </c>
      <c r="E29" s="60">
        <v>19.943446760376254</v>
      </c>
      <c r="F29" s="60">
        <v>0</v>
      </c>
      <c r="G29" s="60">
        <v>2593.9859071095784</v>
      </c>
      <c r="H29" s="61">
        <v>32.048575484752767</v>
      </c>
      <c r="I29" s="59">
        <v>281.91846572558103</v>
      </c>
      <c r="J29" s="60">
        <v>721.13149852752656</v>
      </c>
      <c r="K29" s="60">
        <v>39.531275022029888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464.39717584765987</v>
      </c>
      <c r="V29" s="62">
        <v>178.53593082907796</v>
      </c>
      <c r="W29" s="62">
        <v>79.562821730934928</v>
      </c>
      <c r="X29" s="62">
        <v>30.58765896065696</v>
      </c>
      <c r="Y29" s="66">
        <v>493.75863130388274</v>
      </c>
      <c r="Z29" s="66">
        <v>189.82384353183062</v>
      </c>
      <c r="AA29" s="67">
        <v>0</v>
      </c>
      <c r="AB29" s="68">
        <v>147.48592695659966</v>
      </c>
      <c r="AC29" s="69">
        <v>0</v>
      </c>
      <c r="AD29" s="406">
        <v>21.484043058309958</v>
      </c>
      <c r="AE29" s="406">
        <v>7.9893631560176965</v>
      </c>
      <c r="AF29" s="69">
        <v>29.036082318094028</v>
      </c>
      <c r="AG29" s="68">
        <v>20.691772177009646</v>
      </c>
      <c r="AH29" s="68">
        <v>7.9548821531539247</v>
      </c>
      <c r="AI29" s="68">
        <v>0.72231025440280439</v>
      </c>
      <c r="AJ29" s="69">
        <v>231.71570130983989</v>
      </c>
      <c r="AK29" s="69">
        <v>824.1383778572083</v>
      </c>
      <c r="AL29" s="69">
        <v>2708.8723350524901</v>
      </c>
      <c r="AM29" s="69">
        <v>454.77301025390625</v>
      </c>
      <c r="AN29" s="69">
        <v>7034.824951171875</v>
      </c>
      <c r="AO29" s="69">
        <v>2605.1133932749431</v>
      </c>
      <c r="AP29" s="69">
        <v>445.02179630597436</v>
      </c>
      <c r="AQ29" s="69">
        <v>3761.4892887115484</v>
      </c>
      <c r="AR29" s="69">
        <v>464.99691546758015</v>
      </c>
      <c r="AS29" s="69">
        <v>788.14529390335076</v>
      </c>
    </row>
    <row r="30" spans="1:45" x14ac:dyDescent="0.25">
      <c r="A30" s="11">
        <v>44431</v>
      </c>
      <c r="B30" s="59"/>
      <c r="C30" s="60">
        <v>84.189849277336691</v>
      </c>
      <c r="D30" s="60">
        <v>998.40421841939201</v>
      </c>
      <c r="E30" s="60">
        <v>19.872696781655126</v>
      </c>
      <c r="F30" s="60">
        <v>0</v>
      </c>
      <c r="G30" s="60">
        <v>2436.5249710082985</v>
      </c>
      <c r="H30" s="61">
        <v>32.242019607623519</v>
      </c>
      <c r="I30" s="59">
        <v>322.91248970031768</v>
      </c>
      <c r="J30" s="60">
        <v>858.76548175811797</v>
      </c>
      <c r="K30" s="60">
        <v>47.190855022271442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555.87653596178507</v>
      </c>
      <c r="V30" s="62">
        <v>175.14508557277026</v>
      </c>
      <c r="W30" s="62">
        <v>99.95078031972082</v>
      </c>
      <c r="X30" s="62">
        <v>31.492403150051555</v>
      </c>
      <c r="Y30" s="66">
        <v>611.82172358422883</v>
      </c>
      <c r="Z30" s="66">
        <v>192.77224563370729</v>
      </c>
      <c r="AA30" s="67">
        <v>0</v>
      </c>
      <c r="AB30" s="68">
        <v>166.83245263629541</v>
      </c>
      <c r="AC30" s="69">
        <v>0</v>
      </c>
      <c r="AD30" s="406">
        <v>25.581386590782536</v>
      </c>
      <c r="AE30" s="406">
        <v>8.0335994252879281</v>
      </c>
      <c r="AF30" s="69">
        <v>33.296055644088334</v>
      </c>
      <c r="AG30" s="68">
        <v>24.900303271639402</v>
      </c>
      <c r="AH30" s="68">
        <v>7.8455654541227684</v>
      </c>
      <c r="AI30" s="68">
        <v>0.76041052629181205</v>
      </c>
      <c r="AJ30" s="69">
        <v>224.60622577667237</v>
      </c>
      <c r="AK30" s="69">
        <v>826.67141695022565</v>
      </c>
      <c r="AL30" s="69">
        <v>2840.5521949768072</v>
      </c>
      <c r="AM30" s="69">
        <v>454.77301025390625</v>
      </c>
      <c r="AN30" s="69">
        <v>7034.824951171875</v>
      </c>
      <c r="AO30" s="69">
        <v>2606.2393511454266</v>
      </c>
      <c r="AP30" s="69">
        <v>463.84259481430053</v>
      </c>
      <c r="AQ30" s="69">
        <v>4419.0383455912261</v>
      </c>
      <c r="AR30" s="69">
        <v>471.28942931493128</v>
      </c>
      <c r="AS30" s="69">
        <v>860.67326625188196</v>
      </c>
    </row>
    <row r="31" spans="1:45" x14ac:dyDescent="0.25">
      <c r="A31" s="11">
        <v>44432</v>
      </c>
      <c r="B31" s="59"/>
      <c r="C31" s="60">
        <v>84.205395809809303</v>
      </c>
      <c r="D31" s="60">
        <v>993.52432518005367</v>
      </c>
      <c r="E31" s="60">
        <v>19.923328236738847</v>
      </c>
      <c r="F31" s="60">
        <v>0</v>
      </c>
      <c r="G31" s="60">
        <v>2302.8305192311554</v>
      </c>
      <c r="H31" s="61">
        <v>32.173424218098376</v>
      </c>
      <c r="I31" s="59">
        <v>338.44854054451048</v>
      </c>
      <c r="J31" s="60">
        <v>859.39792989095042</v>
      </c>
      <c r="K31" s="60">
        <v>47.213167366385406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547.91886981303639</v>
      </c>
      <c r="V31" s="62">
        <v>175.32921203002539</v>
      </c>
      <c r="W31" s="62">
        <v>98.571813262321925</v>
      </c>
      <c r="X31" s="62">
        <v>31.542111980101975</v>
      </c>
      <c r="Y31" s="66">
        <v>626.5964029127033</v>
      </c>
      <c r="Z31" s="66">
        <v>200.50532959563844</v>
      </c>
      <c r="AA31" s="67">
        <v>0</v>
      </c>
      <c r="AB31" s="68">
        <v>166.84311208724893</v>
      </c>
      <c r="AC31" s="69">
        <v>0</v>
      </c>
      <c r="AD31" s="406">
        <v>25.600611107478443</v>
      </c>
      <c r="AE31" s="406">
        <v>7.9942359025588354</v>
      </c>
      <c r="AF31" s="69">
        <v>33.315430286195514</v>
      </c>
      <c r="AG31" s="68">
        <v>24.89618640636321</v>
      </c>
      <c r="AH31" s="68">
        <v>7.9665603534876386</v>
      </c>
      <c r="AI31" s="68">
        <v>0.75758081295807678</v>
      </c>
      <c r="AJ31" s="69">
        <v>219.73196830749509</v>
      </c>
      <c r="AK31" s="69">
        <v>826.09472560882568</v>
      </c>
      <c r="AL31" s="69">
        <v>2704.1649407704672</v>
      </c>
      <c r="AM31" s="69">
        <v>454.77301025390625</v>
      </c>
      <c r="AN31" s="69">
        <v>7034.824951171875</v>
      </c>
      <c r="AO31" s="69">
        <v>2626.2459284464517</v>
      </c>
      <c r="AP31" s="69">
        <v>479.56452306111652</v>
      </c>
      <c r="AQ31" s="69">
        <v>4463.2842145284021</v>
      </c>
      <c r="AR31" s="69">
        <v>488.44567988713584</v>
      </c>
      <c r="AS31" s="69">
        <v>884.85640824635811</v>
      </c>
    </row>
    <row r="32" spans="1:45" x14ac:dyDescent="0.25">
      <c r="A32" s="11">
        <v>44433</v>
      </c>
      <c r="B32" s="59"/>
      <c r="C32" s="60">
        <v>85.039282945792195</v>
      </c>
      <c r="D32" s="60">
        <v>996.38347142537566</v>
      </c>
      <c r="E32" s="60">
        <v>19.90190967520077</v>
      </c>
      <c r="F32" s="60">
        <v>0</v>
      </c>
      <c r="G32" s="60">
        <v>2268.0901688893637</v>
      </c>
      <c r="H32" s="61">
        <v>32.294438956181324</v>
      </c>
      <c r="I32" s="59">
        <v>340.08027718861968</v>
      </c>
      <c r="J32" s="60">
        <v>860.40282440185536</v>
      </c>
      <c r="K32" s="60">
        <v>47.274063157041859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545.10591233433752</v>
      </c>
      <c r="V32" s="62">
        <v>174.48212943744394</v>
      </c>
      <c r="W32" s="62">
        <v>98.141113188002947</v>
      </c>
      <c r="X32" s="62">
        <v>31.413840919599384</v>
      </c>
      <c r="Y32" s="66">
        <v>623.51408377192126</v>
      </c>
      <c r="Z32" s="66">
        <v>199.57968279022199</v>
      </c>
      <c r="AA32" s="67">
        <v>0</v>
      </c>
      <c r="AB32" s="68">
        <v>166.78039281633335</v>
      </c>
      <c r="AC32" s="69">
        <v>0</v>
      </c>
      <c r="AD32" s="406">
        <v>25.6252578716907</v>
      </c>
      <c r="AE32" s="406">
        <v>7.9816983593544411</v>
      </c>
      <c r="AF32" s="69">
        <v>33.132212502426547</v>
      </c>
      <c r="AG32" s="68">
        <v>24.773881316245316</v>
      </c>
      <c r="AH32" s="68">
        <v>7.92983431050689</v>
      </c>
      <c r="AI32" s="68">
        <v>0.75752497358373105</v>
      </c>
      <c r="AJ32" s="69">
        <v>231.54723316828412</v>
      </c>
      <c r="AK32" s="69">
        <v>831.95264733632405</v>
      </c>
      <c r="AL32" s="69">
        <v>2794.1797472635899</v>
      </c>
      <c r="AM32" s="69">
        <v>454.77301025390625</v>
      </c>
      <c r="AN32" s="69">
        <v>7034.824951171875</v>
      </c>
      <c r="AO32" s="69">
        <v>2607.3288796742759</v>
      </c>
      <c r="AP32" s="69">
        <v>473.43086228370657</v>
      </c>
      <c r="AQ32" s="69">
        <v>4403.3451048533125</v>
      </c>
      <c r="AR32" s="69">
        <v>477.45516729354858</v>
      </c>
      <c r="AS32" s="69">
        <v>883.16352980931595</v>
      </c>
    </row>
    <row r="33" spans="1:45" x14ac:dyDescent="0.25">
      <c r="A33" s="11">
        <v>44434</v>
      </c>
      <c r="B33" s="59"/>
      <c r="C33" s="60">
        <v>83.670325414339601</v>
      </c>
      <c r="D33" s="60">
        <v>1002.3336565653491</v>
      </c>
      <c r="E33" s="60">
        <v>19.884157835940499</v>
      </c>
      <c r="F33" s="60">
        <v>0</v>
      </c>
      <c r="G33" s="60">
        <v>2343.9602474212647</v>
      </c>
      <c r="H33" s="61">
        <v>32.236330964168012</v>
      </c>
      <c r="I33" s="59">
        <v>339.88119015693758</v>
      </c>
      <c r="J33" s="60">
        <v>859.63391761779872</v>
      </c>
      <c r="K33" s="60">
        <v>47.211121481656988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527.12200841558501</v>
      </c>
      <c r="V33" s="62">
        <v>172.06104619053104</v>
      </c>
      <c r="W33" s="62">
        <v>93.981047782061196</v>
      </c>
      <c r="X33" s="62">
        <v>30.676915676635666</v>
      </c>
      <c r="Y33" s="66">
        <v>600.48630610952591</v>
      </c>
      <c r="Z33" s="66">
        <v>196.00832521269797</v>
      </c>
      <c r="AA33" s="67">
        <v>0</v>
      </c>
      <c r="AB33" s="68">
        <v>166.71816402011737</v>
      </c>
      <c r="AC33" s="69">
        <v>0</v>
      </c>
      <c r="AD33" s="406">
        <v>25.603469202766828</v>
      </c>
      <c r="AE33" s="406">
        <v>7.9803696147579579</v>
      </c>
      <c r="AF33" s="69">
        <v>32.11912348137956</v>
      </c>
      <c r="AG33" s="68">
        <v>23.880040614736426</v>
      </c>
      <c r="AH33" s="68">
        <v>7.7948268249966688</v>
      </c>
      <c r="AI33" s="68">
        <v>0.7539113039753782</v>
      </c>
      <c r="AJ33" s="69">
        <v>227.25191866556804</v>
      </c>
      <c r="AK33" s="69">
        <v>830.1865851402282</v>
      </c>
      <c r="AL33" s="69">
        <v>2761.6519285837808</v>
      </c>
      <c r="AM33" s="69">
        <v>454.77301025390625</v>
      </c>
      <c r="AN33" s="69">
        <v>7034.824951171875</v>
      </c>
      <c r="AO33" s="69">
        <v>2628.217682139079</v>
      </c>
      <c r="AP33" s="69">
        <v>467.88891305923465</v>
      </c>
      <c r="AQ33" s="69">
        <v>4359.162574386597</v>
      </c>
      <c r="AR33" s="69">
        <v>460.85671389897652</v>
      </c>
      <c r="AS33" s="69">
        <v>847.18884553909322</v>
      </c>
    </row>
    <row r="34" spans="1:45" x14ac:dyDescent="0.25">
      <c r="A34" s="11">
        <v>44435</v>
      </c>
      <c r="B34" s="59"/>
      <c r="C34" s="60">
        <v>83.401188198725421</v>
      </c>
      <c r="D34" s="60">
        <v>1000.1660825729364</v>
      </c>
      <c r="E34" s="60">
        <v>19.868409079809997</v>
      </c>
      <c r="F34" s="60">
        <v>0</v>
      </c>
      <c r="G34" s="60">
        <v>2393.8343852996782</v>
      </c>
      <c r="H34" s="61">
        <v>31.997298576434503</v>
      </c>
      <c r="I34" s="59">
        <v>338.66393656730713</v>
      </c>
      <c r="J34" s="60">
        <v>856.89689884185873</v>
      </c>
      <c r="K34" s="60">
        <v>47.065879715482403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543.3704989850828</v>
      </c>
      <c r="V34" s="62">
        <v>174.95387498070357</v>
      </c>
      <c r="W34" s="62">
        <v>97.065602834056406</v>
      </c>
      <c r="X34" s="62">
        <v>31.253083071082116</v>
      </c>
      <c r="Y34" s="66">
        <v>614.28299145988001</v>
      </c>
      <c r="Z34" s="66">
        <v>197.78620644915594</v>
      </c>
      <c r="AA34" s="67">
        <v>0</v>
      </c>
      <c r="AB34" s="68">
        <v>165.82856083976009</v>
      </c>
      <c r="AC34" s="69">
        <v>0</v>
      </c>
      <c r="AD34" s="406">
        <v>25.52282071983867</v>
      </c>
      <c r="AE34" s="406">
        <v>7.9633750660735121</v>
      </c>
      <c r="AF34" s="69">
        <v>32.711778700351694</v>
      </c>
      <c r="AG34" s="68">
        <v>24.459338784225778</v>
      </c>
      <c r="AH34" s="68">
        <v>7.8753927711551963</v>
      </c>
      <c r="AI34" s="68">
        <v>0.75644168383873245</v>
      </c>
      <c r="AJ34" s="69">
        <v>222.83075029055277</v>
      </c>
      <c r="AK34" s="69">
        <v>833.90973297754931</v>
      </c>
      <c r="AL34" s="69">
        <v>2681.9040533701582</v>
      </c>
      <c r="AM34" s="69">
        <v>454.77301025390625</v>
      </c>
      <c r="AN34" s="69">
        <v>7034.824951171875</v>
      </c>
      <c r="AO34" s="69">
        <v>2645.7963563283288</v>
      </c>
      <c r="AP34" s="69">
        <v>470.51535741488141</v>
      </c>
      <c r="AQ34" s="69">
        <v>4364.7094392140707</v>
      </c>
      <c r="AR34" s="69">
        <v>463.0184605916341</v>
      </c>
      <c r="AS34" s="69">
        <v>863.73128398259519</v>
      </c>
    </row>
    <row r="35" spans="1:45" x14ac:dyDescent="0.25">
      <c r="A35" s="11">
        <v>44436</v>
      </c>
      <c r="B35" s="59"/>
      <c r="C35" s="60">
        <v>84.528119711081388</v>
      </c>
      <c r="D35" s="60">
        <v>999.5533292770391</v>
      </c>
      <c r="E35" s="60">
        <v>19.898060688376429</v>
      </c>
      <c r="F35" s="60">
        <v>0</v>
      </c>
      <c r="G35" s="60">
        <v>2414.1426980336441</v>
      </c>
      <c r="H35" s="61">
        <v>31.907942064603215</v>
      </c>
      <c r="I35" s="59">
        <v>338.12454735438081</v>
      </c>
      <c r="J35" s="60">
        <v>855.52721710205253</v>
      </c>
      <c r="K35" s="60">
        <v>47.020493561029397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548.32631725258909</v>
      </c>
      <c r="V35" s="62">
        <v>175.48846906502521</v>
      </c>
      <c r="W35" s="62">
        <v>98.39389390178934</v>
      </c>
      <c r="X35" s="62">
        <v>31.490361237243714</v>
      </c>
      <c r="Y35" s="66">
        <v>626.73704639398193</v>
      </c>
      <c r="Z35" s="66">
        <v>200.58334119197565</v>
      </c>
      <c r="AA35" s="67">
        <v>0</v>
      </c>
      <c r="AB35" s="68">
        <v>165.45313508775502</v>
      </c>
      <c r="AC35" s="69">
        <v>0</v>
      </c>
      <c r="AD35" s="406">
        <v>25.477727435635543</v>
      </c>
      <c r="AE35" s="406">
        <v>7.9589395972694978</v>
      </c>
      <c r="AF35" s="69">
        <v>33.220700275897954</v>
      </c>
      <c r="AG35" s="68">
        <v>24.917715478314907</v>
      </c>
      <c r="AH35" s="68">
        <v>7.9747617509903863</v>
      </c>
      <c r="AI35" s="68">
        <v>0.75755058837935951</v>
      </c>
      <c r="AJ35" s="69">
        <v>221.14742023150126</v>
      </c>
      <c r="AK35" s="69">
        <v>829.25847288767488</v>
      </c>
      <c r="AL35" s="69">
        <v>3034.7988072713215</v>
      </c>
      <c r="AM35" s="69">
        <v>454.77301025390625</v>
      </c>
      <c r="AN35" s="69">
        <v>7034.824951171875</v>
      </c>
      <c r="AO35" s="69">
        <v>2654.3908972422278</v>
      </c>
      <c r="AP35" s="69">
        <v>479.70826299985248</v>
      </c>
      <c r="AQ35" s="69">
        <v>4426.0928782145174</v>
      </c>
      <c r="AR35" s="69">
        <v>468.68169701894129</v>
      </c>
      <c r="AS35" s="69">
        <v>864.25660435358668</v>
      </c>
    </row>
    <row r="36" spans="1:45" x14ac:dyDescent="0.25">
      <c r="A36" s="11">
        <v>44437</v>
      </c>
      <c r="B36" s="59"/>
      <c r="C36" s="60">
        <v>84.26507695913331</v>
      </c>
      <c r="D36" s="60">
        <v>999.97371406555237</v>
      </c>
      <c r="E36" s="60">
        <v>19.852430241306639</v>
      </c>
      <c r="F36" s="60">
        <v>0</v>
      </c>
      <c r="G36" s="60">
        <v>2431.0666422526024</v>
      </c>
      <c r="H36" s="61">
        <v>31.885291389624342</v>
      </c>
      <c r="I36" s="59">
        <v>339.63989737828632</v>
      </c>
      <c r="J36" s="60">
        <v>855.37915369669622</v>
      </c>
      <c r="K36" s="60">
        <v>47.00096900959808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550.20406462307835</v>
      </c>
      <c r="V36" s="62">
        <v>176.07042289353001</v>
      </c>
      <c r="W36" s="62">
        <v>99.307856295636398</v>
      </c>
      <c r="X36" s="62">
        <v>31.779438537228849</v>
      </c>
      <c r="Y36" s="66">
        <v>634.57377862070132</v>
      </c>
      <c r="Z36" s="66">
        <v>203.06951682633147</v>
      </c>
      <c r="AA36" s="67">
        <v>0</v>
      </c>
      <c r="AB36" s="68">
        <v>165.5579472329884</v>
      </c>
      <c r="AC36" s="69">
        <v>0</v>
      </c>
      <c r="AD36" s="406">
        <v>25.479416450254355</v>
      </c>
      <c r="AE36" s="406">
        <v>7.9620548505159716</v>
      </c>
      <c r="AF36" s="69">
        <v>33.323483827379029</v>
      </c>
      <c r="AG36" s="68">
        <v>24.998140389398849</v>
      </c>
      <c r="AH36" s="68">
        <v>7.9996376488576555</v>
      </c>
      <c r="AI36" s="68">
        <v>0.75757041460236663</v>
      </c>
      <c r="AJ36" s="69">
        <v>241.34933408101404</v>
      </c>
      <c r="AK36" s="69">
        <v>837.29085051218658</v>
      </c>
      <c r="AL36" s="69">
        <v>2712.615337753296</v>
      </c>
      <c r="AM36" s="69">
        <v>454.77301025390625</v>
      </c>
      <c r="AN36" s="69">
        <v>7034.824951171875</v>
      </c>
      <c r="AO36" s="69">
        <v>2591.8824314117433</v>
      </c>
      <c r="AP36" s="69">
        <v>457.73542588551834</v>
      </c>
      <c r="AQ36" s="69">
        <v>4383.5935485839846</v>
      </c>
      <c r="AR36" s="69">
        <v>446.44276978174844</v>
      </c>
      <c r="AS36" s="69">
        <v>754.08555040359499</v>
      </c>
    </row>
    <row r="37" spans="1:45" x14ac:dyDescent="0.25">
      <c r="A37" s="11">
        <v>44438</v>
      </c>
      <c r="B37" s="59"/>
      <c r="C37" s="60">
        <v>84.514837594827739</v>
      </c>
      <c r="D37" s="60">
        <v>1011.2324312845844</v>
      </c>
      <c r="E37" s="60">
        <v>19.851970114310571</v>
      </c>
      <c r="F37" s="60">
        <v>0</v>
      </c>
      <c r="G37" s="60">
        <v>2402.7400414784661</v>
      </c>
      <c r="H37" s="61">
        <v>32.099549514055326</v>
      </c>
      <c r="I37" s="59">
        <v>338.07519195874579</v>
      </c>
      <c r="J37" s="60">
        <v>855.34713497161897</v>
      </c>
      <c r="K37" s="60">
        <v>47.01451505422591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544.68642527580732</v>
      </c>
      <c r="V37" s="62">
        <v>156.64165119276819</v>
      </c>
      <c r="W37" s="62">
        <v>97.719992173291303</v>
      </c>
      <c r="X37" s="62">
        <v>28.102446138285664</v>
      </c>
      <c r="Y37" s="66">
        <v>633.87371359064741</v>
      </c>
      <c r="Z37" s="66">
        <v>182.29025093521261</v>
      </c>
      <c r="AA37" s="67">
        <v>0</v>
      </c>
      <c r="AB37" s="68">
        <v>166.14429725010982</v>
      </c>
      <c r="AC37" s="69">
        <v>0</v>
      </c>
      <c r="AD37" s="406">
        <v>25.474037033037035</v>
      </c>
      <c r="AE37" s="406">
        <v>7.9937703270354632</v>
      </c>
      <c r="AF37" s="69">
        <v>32.127590415212858</v>
      </c>
      <c r="AG37" s="68">
        <v>24.69899333022466</v>
      </c>
      <c r="AH37" s="68">
        <v>7.1029695592037347</v>
      </c>
      <c r="AI37" s="68">
        <v>0.77664996390631902</v>
      </c>
      <c r="AJ37" s="69">
        <v>228.25986038843791</v>
      </c>
      <c r="AK37" s="69">
        <v>835.75840670267735</v>
      </c>
      <c r="AL37" s="69">
        <v>2729.3217316945393</v>
      </c>
      <c r="AM37" s="69">
        <v>454.77301025390625</v>
      </c>
      <c r="AN37" s="69">
        <v>7034.824951171875</v>
      </c>
      <c r="AO37" s="69">
        <v>2538.0997323354081</v>
      </c>
      <c r="AP37" s="69">
        <v>453.45272453626001</v>
      </c>
      <c r="AQ37" s="69">
        <v>4034.2441794077554</v>
      </c>
      <c r="AR37" s="69">
        <v>457.40391813913976</v>
      </c>
      <c r="AS37" s="69">
        <v>832.30343856811521</v>
      </c>
    </row>
    <row r="38" spans="1:45" ht="15.75" thickBot="1" x14ac:dyDescent="0.3">
      <c r="A38" s="11">
        <v>44439</v>
      </c>
      <c r="B38" s="73"/>
      <c r="C38" s="74">
        <v>83.771458951633178</v>
      </c>
      <c r="D38" s="74">
        <v>1014.1468549728401</v>
      </c>
      <c r="E38" s="74">
        <v>19.747501939038436</v>
      </c>
      <c r="F38" s="74">
        <v>0</v>
      </c>
      <c r="G38" s="74">
        <v>2407.396385320023</v>
      </c>
      <c r="H38" s="75">
        <v>32.017274447282233</v>
      </c>
      <c r="I38" s="76">
        <v>332.53850234349585</v>
      </c>
      <c r="J38" s="74">
        <v>855.64942302703957</v>
      </c>
      <c r="K38" s="74">
        <v>47.009467681248964</v>
      </c>
      <c r="L38" s="74">
        <v>0</v>
      </c>
      <c r="M38" s="60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538.70339220321</v>
      </c>
      <c r="V38" s="80">
        <v>172.85361624337713</v>
      </c>
      <c r="W38" s="81">
        <v>96.27811880133541</v>
      </c>
      <c r="X38" s="81">
        <v>30.892734741946072</v>
      </c>
      <c r="Y38" s="80">
        <v>628.2758224763428</v>
      </c>
      <c r="Z38" s="80">
        <v>201.59469846507267</v>
      </c>
      <c r="AA38" s="82">
        <v>0</v>
      </c>
      <c r="AB38" s="83">
        <v>165.7156859927712</v>
      </c>
      <c r="AC38" s="84">
        <v>0</v>
      </c>
      <c r="AD38" s="406">
        <v>25.488131441916984</v>
      </c>
      <c r="AE38" s="406">
        <v>7.977090110043072</v>
      </c>
      <c r="AF38" s="85">
        <v>32.662478295299742</v>
      </c>
      <c r="AG38" s="83">
        <v>24.467064425054676</v>
      </c>
      <c r="AH38" s="83">
        <v>7.850740548400033</v>
      </c>
      <c r="AI38" s="83">
        <v>0.75707692540231319</v>
      </c>
      <c r="AJ38" s="84">
        <v>212.12484887440999</v>
      </c>
      <c r="AK38" s="84">
        <v>825.07317409515395</v>
      </c>
      <c r="AL38" s="84">
        <v>2747.6811681111658</v>
      </c>
      <c r="AM38" s="84">
        <v>454.77301025390625</v>
      </c>
      <c r="AN38" s="84">
        <v>7034.824951171875</v>
      </c>
      <c r="AO38" s="84">
        <v>2577.7831398010258</v>
      </c>
      <c r="AP38" s="84">
        <v>470.3258268833161</v>
      </c>
      <c r="AQ38" s="84">
        <v>4169.0030768076567</v>
      </c>
      <c r="AR38" s="84">
        <v>476.47375443776446</v>
      </c>
      <c r="AS38" s="84">
        <v>883.39665101369201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2617.1726991097175</v>
      </c>
      <c r="D39" s="30">
        <f t="shared" si="0"/>
        <v>30933.601398863397</v>
      </c>
      <c r="E39" s="30">
        <f t="shared" si="0"/>
        <v>619.72330905993749</v>
      </c>
      <c r="F39" s="30">
        <f t="shared" si="0"/>
        <v>0</v>
      </c>
      <c r="G39" s="30">
        <f t="shared" si="0"/>
        <v>75106.276652145316</v>
      </c>
      <c r="H39" s="31">
        <f t="shared" si="0"/>
        <v>994.28724921345906</v>
      </c>
      <c r="I39" s="29">
        <f t="shared" si="0"/>
        <v>8843.5710772315688</v>
      </c>
      <c r="J39" s="30">
        <f t="shared" si="0"/>
        <v>25415.428876415906</v>
      </c>
      <c r="K39" s="30">
        <f t="shared" si="0"/>
        <v>1395.0631060098608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16504.483459509196</v>
      </c>
      <c r="V39" s="261">
        <f t="shared" si="0"/>
        <v>5469.8119215917159</v>
      </c>
      <c r="W39" s="261">
        <f t="shared" si="0"/>
        <v>2895.2190459686403</v>
      </c>
      <c r="X39" s="261">
        <f t="shared" si="0"/>
        <v>958.55413677315983</v>
      </c>
      <c r="Y39" s="261">
        <f t="shared" si="0"/>
        <v>17371.885196230836</v>
      </c>
      <c r="Z39" s="261">
        <f t="shared" si="0"/>
        <v>5732.7376020212641</v>
      </c>
      <c r="AA39" s="269">
        <f t="shared" si="0"/>
        <v>0</v>
      </c>
      <c r="AB39" s="272">
        <f t="shared" si="0"/>
        <v>5087.3211935043337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6916.0021077156052</v>
      </c>
      <c r="AK39" s="272">
        <f t="shared" si="1"/>
        <v>25515.438576920835</v>
      </c>
      <c r="AL39" s="272">
        <f t="shared" si="1"/>
        <v>85394.875692749032</v>
      </c>
      <c r="AM39" s="272">
        <f t="shared" si="1"/>
        <v>13800.865102187792</v>
      </c>
      <c r="AN39" s="272">
        <f t="shared" si="1"/>
        <v>200495.82954896291</v>
      </c>
      <c r="AO39" s="272">
        <f t="shared" si="1"/>
        <v>80736.415896479302</v>
      </c>
      <c r="AP39" s="272">
        <f t="shared" si="1"/>
        <v>14335.266702127457</v>
      </c>
      <c r="AQ39" s="272">
        <f t="shared" si="1"/>
        <v>127026.84922803244</v>
      </c>
      <c r="AR39" s="272">
        <f t="shared" si="1"/>
        <v>14898.000211254755</v>
      </c>
      <c r="AS39" s="272">
        <f t="shared" si="1"/>
        <v>26135.095032850902</v>
      </c>
    </row>
    <row r="40" spans="1:45" ht="15.75" thickBot="1" x14ac:dyDescent="0.3">
      <c r="A40" s="47" t="s">
        <v>172</v>
      </c>
      <c r="B40" s="32">
        <f>Projection!$AC$30</f>
        <v>0.68740698599999983</v>
      </c>
      <c r="C40" s="33">
        <f>Projection!$AC$28</f>
        <v>1.5395973599999997</v>
      </c>
      <c r="D40" s="33">
        <f>Projection!$AC$31</f>
        <v>2.6869453380000001</v>
      </c>
      <c r="E40" s="33">
        <f>Projection!$AC$26</f>
        <v>4.4235360000000004</v>
      </c>
      <c r="F40" s="33">
        <f>Projection!$AC$23</f>
        <v>0</v>
      </c>
      <c r="G40" s="33">
        <f>Projection!$AC$24</f>
        <v>7.6444999999999999E-2</v>
      </c>
      <c r="H40" s="34">
        <f>Projection!$AC$29</f>
        <v>3.8336895000000006</v>
      </c>
      <c r="I40" s="32">
        <f>Projection!$AC$30</f>
        <v>0.68740698599999983</v>
      </c>
      <c r="J40" s="33">
        <f>Projection!$AC$28</f>
        <v>1.5395973599999997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1.5395973599999997</v>
      </c>
      <c r="T40" s="38">
        <f>Projection!$AC$28</f>
        <v>1.5395973599999997</v>
      </c>
      <c r="U40" s="26">
        <f>Projection!$AC$27</f>
        <v>0.41249999999999998</v>
      </c>
      <c r="V40" s="27">
        <f>Projection!$AC$27</f>
        <v>0.41249999999999998</v>
      </c>
      <c r="W40" s="27">
        <f>Projection!$AC$22</f>
        <v>1.2429936000000001</v>
      </c>
      <c r="X40" s="27">
        <f>Projection!$AC$22</f>
        <v>1.2429936000000001</v>
      </c>
      <c r="Y40" s="27">
        <f>Projection!$AC$31</f>
        <v>2.6869453380000001</v>
      </c>
      <c r="Z40" s="27">
        <f>Projection!$AC$31</f>
        <v>2.6869453380000001</v>
      </c>
      <c r="AA40" s="28">
        <v>0</v>
      </c>
      <c r="AB40" s="41">
        <f>Projection!$AC$27</f>
        <v>0.41249999999999998</v>
      </c>
      <c r="AC40" s="41">
        <f>Projection!$AC$30</f>
        <v>0.68740698599999983</v>
      </c>
      <c r="AD40" s="397">
        <f>SUM(AD8:AD38)</f>
        <v>757.17278310087249</v>
      </c>
      <c r="AE40" s="397">
        <f>SUM(AE8:AE38)</f>
        <v>247.47154426559379</v>
      </c>
      <c r="AF40" s="43">
        <f>SUM(AF8:AF38)</f>
        <v>988.84145699607006</v>
      </c>
      <c r="AG40" s="43">
        <f>SUM(AG8:AG38)</f>
        <v>733.41998821992797</v>
      </c>
      <c r="AH40" s="43">
        <f>SUM(AH8:AH38)</f>
        <v>242.70320868605816</v>
      </c>
      <c r="AI40" s="43">
        <f>IF(SUM(AG40:AH40)&gt;0, AG40/(AG40+AH40), 0)</f>
        <v>0.75136006453349991</v>
      </c>
      <c r="AJ40" s="311">
        <v>7.6999999999999999E-2</v>
      </c>
      <c r="AK40" s="311">
        <f t="shared" ref="AK40:AS40" si="2">$AJ$40</f>
        <v>7.6999999999999999E-2</v>
      </c>
      <c r="AL40" s="311">
        <f t="shared" si="2"/>
        <v>7.6999999999999999E-2</v>
      </c>
      <c r="AM40" s="311">
        <f t="shared" si="2"/>
        <v>7.6999999999999999E-2</v>
      </c>
      <c r="AN40" s="311">
        <f t="shared" si="2"/>
        <v>7.6999999999999999E-2</v>
      </c>
      <c r="AO40" s="311">
        <f t="shared" si="2"/>
        <v>7.6999999999999999E-2</v>
      </c>
      <c r="AP40" s="311">
        <f t="shared" si="2"/>
        <v>7.6999999999999999E-2</v>
      </c>
      <c r="AQ40" s="311">
        <f t="shared" si="2"/>
        <v>7.6999999999999999E-2</v>
      </c>
      <c r="AR40" s="311">
        <f t="shared" si="2"/>
        <v>7.6999999999999999E-2</v>
      </c>
      <c r="AS40" s="311">
        <f t="shared" si="2"/>
        <v>7.6999999999999999E-2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4029.3921782133948</v>
      </c>
      <c r="D41" s="36">
        <f t="shared" si="3"/>
        <v>83116.896066226283</v>
      </c>
      <c r="E41" s="36">
        <f t="shared" si="3"/>
        <v>2741.3683676657597</v>
      </c>
      <c r="F41" s="36">
        <f t="shared" si="3"/>
        <v>0</v>
      </c>
      <c r="G41" s="36">
        <f t="shared" si="3"/>
        <v>5741.499318673249</v>
      </c>
      <c r="H41" s="37">
        <f t="shared" si="3"/>
        <v>3811.7885872935217</v>
      </c>
      <c r="I41" s="35">
        <f t="shared" si="3"/>
        <v>6079.1325396765242</v>
      </c>
      <c r="J41" s="36">
        <f t="shared" si="3"/>
        <v>39129.527201397686</v>
      </c>
      <c r="K41" s="36">
        <f t="shared" si="3"/>
        <v>6171.1118717064364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6808.099427047543</v>
      </c>
      <c r="V41" s="267">
        <f t="shared" si="3"/>
        <v>2256.2974176565826</v>
      </c>
      <c r="W41" s="267">
        <f t="shared" si="3"/>
        <v>3598.7387447371261</v>
      </c>
      <c r="X41" s="267">
        <f t="shared" si="3"/>
        <v>1191.4766572625624</v>
      </c>
      <c r="Y41" s="267">
        <f t="shared" si="3"/>
        <v>46677.305940283666</v>
      </c>
      <c r="Z41" s="267">
        <f t="shared" si="3"/>
        <v>15403.552573728335</v>
      </c>
      <c r="AA41" s="271">
        <f t="shared" si="3"/>
        <v>0</v>
      </c>
      <c r="AB41" s="274">
        <f t="shared" si="3"/>
        <v>2098.5199923205373</v>
      </c>
      <c r="AC41" s="274">
        <f t="shared" si="3"/>
        <v>0</v>
      </c>
      <c r="AJ41" s="277">
        <f t="shared" ref="AJ41:AS41" si="4">AJ40*AJ39</f>
        <v>532.53216229410157</v>
      </c>
      <c r="AK41" s="277">
        <f t="shared" si="4"/>
        <v>1964.6887704229043</v>
      </c>
      <c r="AL41" s="277">
        <f t="shared" si="4"/>
        <v>6575.4054283416754</v>
      </c>
      <c r="AM41" s="277">
        <f t="shared" si="4"/>
        <v>1062.6666128684599</v>
      </c>
      <c r="AN41" s="277">
        <f t="shared" si="4"/>
        <v>15438.178875270143</v>
      </c>
      <c r="AO41" s="277">
        <f t="shared" si="4"/>
        <v>6216.7040240289061</v>
      </c>
      <c r="AP41" s="277">
        <f t="shared" si="4"/>
        <v>1103.8155360638143</v>
      </c>
      <c r="AQ41" s="277">
        <f t="shared" si="4"/>
        <v>9781.0673905584972</v>
      </c>
      <c r="AR41" s="277">
        <f t="shared" si="4"/>
        <v>1147.1460162666162</v>
      </c>
      <c r="AS41" s="277">
        <f t="shared" si="4"/>
        <v>2012.4023175295195</v>
      </c>
    </row>
    <row r="42" spans="1:45" ht="49.5" customHeight="1" thickTop="1" thickBot="1" x14ac:dyDescent="0.3">
      <c r="A42" s="643">
        <f>JULY!$A$42+31</f>
        <v>44410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249.73</v>
      </c>
      <c r="AK42" s="277" t="s">
        <v>197</v>
      </c>
      <c r="AL42" s="277"/>
      <c r="AM42" s="277">
        <v>44.55</v>
      </c>
      <c r="AN42" s="277">
        <v>45.82</v>
      </c>
      <c r="AO42" s="277">
        <v>684.64</v>
      </c>
      <c r="AP42" s="277">
        <v>56.43</v>
      </c>
      <c r="AQ42" s="277" t="s">
        <v>197</v>
      </c>
      <c r="AR42" s="277">
        <v>44.55</v>
      </c>
      <c r="AS42" s="277">
        <v>135.18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228854.70688388919</v>
      </c>
      <c r="C44" s="12"/>
      <c r="D44" s="281" t="s">
        <v>135</v>
      </c>
      <c r="E44" s="282">
        <f>SUM(B41:H41)+P41+R41+T41+V41+X41+Z41</f>
        <v>118292.27116671967</v>
      </c>
      <c r="F44" s="12"/>
      <c r="G44" s="281" t="s">
        <v>135</v>
      </c>
      <c r="H44" s="282">
        <f>SUM(I41:N41)+O41+Q41+S41+U41+W41+Y41</f>
        <v>108463.91572484898</v>
      </c>
      <c r="I44" s="12"/>
      <c r="J44" s="281" t="s">
        <v>198</v>
      </c>
      <c r="K44" s="282">
        <v>168769</v>
      </c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45834.60713364464</v>
      </c>
      <c r="C45" s="12"/>
      <c r="D45" s="283" t="s">
        <v>183</v>
      </c>
      <c r="E45" s="284">
        <f>AJ41*(1-$AI$40)+AK41+AL41*0.5+AN41+AO41*(1-$AI$40)+AP41*(1-$AI$40)+AQ41*(1-$AI$40)+AR41*0.5+AS41*0.5</f>
        <v>26654.890765013253</v>
      </c>
      <c r="F45" s="24"/>
      <c r="G45" s="283" t="s">
        <v>183</v>
      </c>
      <c r="H45" s="284">
        <f>AJ41*AI40+AL41*0.5+AM41+AO41*AI40+AP41*AI40+AQ41*AI40+AR41*0.5+AS41*0.5</f>
        <v>19179.716368631387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3853.7731827418002</v>
      </c>
      <c r="U45" s="255">
        <f>(T45*8.34*0.895)/27000</f>
        <v>1.065397006219986</v>
      </c>
    </row>
    <row r="46" spans="1:45" ht="32.25" thickBot="1" x14ac:dyDescent="0.3">
      <c r="A46" s="285" t="s">
        <v>184</v>
      </c>
      <c r="B46" s="286">
        <f>SUM(AJ42:AS42)</f>
        <v>1260.9000000000001</v>
      </c>
      <c r="C46" s="12"/>
      <c r="D46" s="285" t="s">
        <v>184</v>
      </c>
      <c r="E46" s="286">
        <f>AJ42*(1-$AI$40)+AL42*0.5+AN42+AO42*(1-$AI$40)+AP42*(1-$AI$40)+AR42*0.5+AS42*0.5</f>
        <v>382.03744806020825</v>
      </c>
      <c r="F46" s="23"/>
      <c r="G46" s="285" t="s">
        <v>184</v>
      </c>
      <c r="H46" s="286">
        <f>AJ42*AI40+AL42*0.5+AM42+AO42*AI40+AP42*AI40+AR42*0.5+AS42*0.5</f>
        <v>878.86255193979162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168769</v>
      </c>
      <c r="C47" s="12"/>
      <c r="D47" s="285" t="s">
        <v>187</v>
      </c>
      <c r="E47" s="286">
        <f>K44*0.5</f>
        <v>84384.5</v>
      </c>
      <c r="F47" s="24"/>
      <c r="G47" s="285" t="s">
        <v>185</v>
      </c>
      <c r="H47" s="286">
        <f>K44*0.5</f>
        <v>84384.5</v>
      </c>
      <c r="I47" s="12"/>
      <c r="J47" s="281" t="s">
        <v>198</v>
      </c>
      <c r="K47" s="282">
        <v>360603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75106.276652145316</v>
      </c>
      <c r="U47" s="255">
        <f>T47/40000</f>
        <v>1.877656916303633</v>
      </c>
    </row>
    <row r="48" spans="1:45" ht="24" thickBot="1" x14ac:dyDescent="0.3">
      <c r="A48" s="285" t="s">
        <v>186</v>
      </c>
      <c r="B48" s="286">
        <f>K47</f>
        <v>360603</v>
      </c>
      <c r="C48" s="12"/>
      <c r="D48" s="285" t="s">
        <v>186</v>
      </c>
      <c r="E48" s="286">
        <f>K47*0.5</f>
        <v>180301.5</v>
      </c>
      <c r="F48" s="23"/>
      <c r="G48" s="285" t="s">
        <v>186</v>
      </c>
      <c r="H48" s="286">
        <f>K47*0.5</f>
        <v>180301.5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988.84145699607006</v>
      </c>
      <c r="C49" s="12"/>
      <c r="D49" s="290" t="s">
        <v>195</v>
      </c>
      <c r="E49" s="291">
        <f>AH40</f>
        <v>242.70320868605816</v>
      </c>
      <c r="F49" s="23"/>
      <c r="G49" s="290" t="s">
        <v>196</v>
      </c>
      <c r="H49" s="291">
        <f>AG40</f>
        <v>733.41998821992797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2014.7864150697983</v>
      </c>
      <c r="U49" s="255">
        <f>(T49*8.34*1.04)/45000</f>
        <v>0.38834336554998672</v>
      </c>
    </row>
    <row r="50" spans="1:25" ht="48" customHeight="1" thickTop="1" thickBot="1" x14ac:dyDescent="0.3">
      <c r="A50" s="290" t="s">
        <v>223</v>
      </c>
      <c r="B50" s="291">
        <f>SUM(E50+H50)</f>
        <v>1004.6443273664663</v>
      </c>
      <c r="C50" s="12"/>
      <c r="D50" s="290" t="s">
        <v>224</v>
      </c>
      <c r="E50" s="291">
        <f>AE40</f>
        <v>247.47154426559379</v>
      </c>
      <c r="F50" s="23"/>
      <c r="G50" s="290" t="s">
        <v>225</v>
      </c>
      <c r="H50" s="291">
        <f>AD40</f>
        <v>757.17278310087249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801.59932433856738</v>
      </c>
      <c r="C51" s="12"/>
      <c r="D51" s="290" t="s">
        <v>188</v>
      </c>
      <c r="E51" s="293">
        <f>SUM(E44:E48)/E50</f>
        <v>1656.8175569299099</v>
      </c>
      <c r="F51" s="23"/>
      <c r="G51" s="290" t="s">
        <v>189</v>
      </c>
      <c r="H51" s="293">
        <f>SUM(H44:H48)/H50</f>
        <v>519.31144835278099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27061.616574605247</v>
      </c>
      <c r="U51" s="255">
        <f>T51/2000/8</f>
        <v>1.6913510359128279</v>
      </c>
    </row>
    <row r="52" spans="1:25" ht="47.25" customHeight="1" thickTop="1" thickBot="1" x14ac:dyDescent="0.3">
      <c r="A52" s="280" t="s">
        <v>191</v>
      </c>
      <c r="B52" s="293">
        <f>B51/1000</f>
        <v>0.8015993243385674</v>
      </c>
      <c r="C52" s="12"/>
      <c r="D52" s="280" t="s">
        <v>192</v>
      </c>
      <c r="E52" s="293">
        <f>E51/1000</f>
        <v>1.65681755692991</v>
      </c>
      <c r="F52" s="370">
        <f>E44/E49</f>
        <v>487.39475595369356</v>
      </c>
      <c r="G52" s="280" t="s">
        <v>193</v>
      </c>
      <c r="H52" s="293">
        <f>H51/1000</f>
        <v>0.51931144835278098</v>
      </c>
      <c r="I52" s="370">
        <f>H44/H49</f>
        <v>147.88786434373029</v>
      </c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28032.601575525623</v>
      </c>
      <c r="U52" s="255">
        <f>(T52*8.34*1.4)/45000</f>
        <v>7.2735256887963802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994.28724921345906</v>
      </c>
      <c r="U53" s="255">
        <f>(T53*8.34*1.135)/45000</f>
        <v>0.20915163716288182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8843.5710772315688</v>
      </c>
      <c r="U54" s="255">
        <f>(T54*8.34*1.029*0.03)/3300</f>
        <v>0.68994808077136816</v>
      </c>
    </row>
    <row r="55" spans="1:25" ht="42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54038.224197115494</v>
      </c>
      <c r="U55" s="258">
        <f>(T55*1.54*8.34)/45000</f>
        <v>15.423229695512724</v>
      </c>
    </row>
    <row r="56" spans="1:25" ht="24" thickTop="1" x14ac:dyDescent="0.25">
      <c r="A56" s="671"/>
      <c r="B56" s="67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3"/>
      <c r="B57" s="67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9"/>
      <c r="B58" s="67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70"/>
      <c r="B59" s="67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9"/>
      <c r="B60" s="67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70"/>
      <c r="B61" s="67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</sheetData>
  <sheetProtection algorithmName="SHA-512" hashValue="rGWPsjfUXgyle14+A6dyhkkuZTKqwrFMPfEi5W/rs9CtiPNAPjXZAgQgApRbdZNXlXbUim5b0+Yvt9skpFvFUQ==" saltValue="1xhIubrFPb3S/GYVTsO6kQ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H76"/>
  <sheetViews>
    <sheetView topLeftCell="AH10" zoomScale="75" zoomScaleNormal="75" workbookViewId="0">
      <selection activeCell="AJ41" sqref="AJ41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29.5703125" customWidth="1"/>
    <col min="5" max="5" width="26.42578125" bestFit="1" customWidth="1"/>
    <col min="6" max="6" width="16.7109375" customWidth="1"/>
    <col min="7" max="7" width="35.570312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3.42578125" bestFit="1" customWidth="1"/>
    <col min="37" max="40" width="18.85546875" bestFit="1" customWidth="1"/>
    <col min="41" max="41" width="23.42578125" bestFit="1" customWidth="1"/>
    <col min="42" max="45" width="18.85546875" bestFit="1" customWidth="1"/>
    <col min="46" max="47" width="20.42578125" customWidth="1"/>
  </cols>
  <sheetData>
    <row r="1" spans="1:60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60" ht="15" customHeight="1" x14ac:dyDescent="0.25">
      <c r="A2" s="1" t="s">
        <v>2</v>
      </c>
      <c r="B2" s="5"/>
      <c r="O2" s="4"/>
      <c r="P2" s="4"/>
      <c r="Q2" s="4"/>
      <c r="R2" s="4"/>
    </row>
    <row r="3" spans="1:60" ht="15.75" thickBot="1" x14ac:dyDescent="0.3">
      <c r="A3" s="6"/>
      <c r="BG3" t="s">
        <v>169</v>
      </c>
      <c r="BH3" s="259" t="s">
        <v>206</v>
      </c>
    </row>
    <row r="4" spans="1:60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</row>
    <row r="5" spans="1:60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60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60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60" x14ac:dyDescent="0.25">
      <c r="A8" s="11">
        <v>44440</v>
      </c>
      <c r="B8" s="49"/>
      <c r="C8" s="50">
        <v>83.957623847326829</v>
      </c>
      <c r="D8" s="50">
        <v>1016.1195160547885</v>
      </c>
      <c r="E8" s="50">
        <v>19.793498018383985</v>
      </c>
      <c r="F8" s="50">
        <v>0</v>
      </c>
      <c r="G8" s="50">
        <v>2471.3134462992339</v>
      </c>
      <c r="H8" s="51">
        <v>31.989040797948956</v>
      </c>
      <c r="I8" s="49">
        <v>309.62431721687318</v>
      </c>
      <c r="J8" s="50">
        <v>810.29225749969385</v>
      </c>
      <c r="K8" s="50">
        <v>44.491605318586068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522.95784329084154</v>
      </c>
      <c r="V8" s="54">
        <v>176.74574540680345</v>
      </c>
      <c r="W8" s="54">
        <v>92.990677252566385</v>
      </c>
      <c r="X8" s="54">
        <v>31.42835847620638</v>
      </c>
      <c r="Y8" s="54">
        <v>607.17366114978711</v>
      </c>
      <c r="Z8" s="54">
        <v>205.20843641236658</v>
      </c>
      <c r="AA8" s="55">
        <v>0</v>
      </c>
      <c r="AB8" s="56">
        <v>159.57053179211212</v>
      </c>
      <c r="AC8" s="57">
        <v>0</v>
      </c>
      <c r="AD8" s="405">
        <v>24.134934107008064</v>
      </c>
      <c r="AE8" s="405">
        <v>7.9858878205023149</v>
      </c>
      <c r="AF8" s="57">
        <v>31.999715986516748</v>
      </c>
      <c r="AG8" s="58">
        <v>23.672152315256255</v>
      </c>
      <c r="AH8" s="58">
        <v>8.0005535054504584</v>
      </c>
      <c r="AI8" s="58">
        <v>0.74739911548005711</v>
      </c>
      <c r="AJ8" s="57">
        <v>224.64160451889038</v>
      </c>
      <c r="AK8" s="57">
        <v>834.80625324249263</v>
      </c>
      <c r="AL8" s="57">
        <v>2759.2711255391441</v>
      </c>
      <c r="AM8" s="57">
        <v>454.77301025390625</v>
      </c>
      <c r="AN8" s="57">
        <v>7034.824951171875</v>
      </c>
      <c r="AO8" s="57">
        <v>2541.4798257191978</v>
      </c>
      <c r="AP8" s="57">
        <v>470.70623536109929</v>
      </c>
      <c r="AQ8" s="57">
        <v>3920.8512252807623</v>
      </c>
      <c r="AR8" s="57">
        <v>484.20121180216472</v>
      </c>
      <c r="AS8" s="57">
        <v>884.81160446802789</v>
      </c>
    </row>
    <row r="9" spans="1:60" x14ac:dyDescent="0.25">
      <c r="A9" s="11">
        <v>44441</v>
      </c>
      <c r="B9" s="59"/>
      <c r="C9" s="60">
        <v>84.522865907351374</v>
      </c>
      <c r="D9" s="60">
        <v>1015.8637762069695</v>
      </c>
      <c r="E9" s="60">
        <v>19.750860341389981</v>
      </c>
      <c r="F9" s="60">
        <v>0</v>
      </c>
      <c r="G9" s="60">
        <v>2501.8256701151513</v>
      </c>
      <c r="H9" s="61">
        <v>31.926705392201853</v>
      </c>
      <c r="I9" s="59">
        <v>296.28794606526725</v>
      </c>
      <c r="J9" s="60">
        <v>788.0558537483206</v>
      </c>
      <c r="K9" s="60">
        <v>43.294002451499367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515.22846914813886</v>
      </c>
      <c r="V9" s="62">
        <v>179.20782358495259</v>
      </c>
      <c r="W9" s="62">
        <v>91.601145134950812</v>
      </c>
      <c r="X9" s="62">
        <v>31.860898301417549</v>
      </c>
      <c r="Y9" s="66">
        <v>590.39487821689283</v>
      </c>
      <c r="Z9" s="66">
        <v>205.35235825746236</v>
      </c>
      <c r="AA9" s="67">
        <v>0</v>
      </c>
      <c r="AB9" s="68">
        <v>156.50609367158671</v>
      </c>
      <c r="AC9" s="69">
        <v>0</v>
      </c>
      <c r="AD9" s="406">
        <v>23.47255335012278</v>
      </c>
      <c r="AE9" s="406">
        <v>7.98469392856477</v>
      </c>
      <c r="AF9" s="69">
        <v>31.321188941266758</v>
      </c>
      <c r="AG9" s="68">
        <v>22.998903267991871</v>
      </c>
      <c r="AH9" s="68">
        <v>7.9995257372174358</v>
      </c>
      <c r="AI9" s="68">
        <v>0.74193770478261623</v>
      </c>
      <c r="AJ9" s="69">
        <v>229.81454189618427</v>
      </c>
      <c r="AK9" s="69">
        <v>834.30359586079919</v>
      </c>
      <c r="AL9" s="69">
        <v>2813.7711649576822</v>
      </c>
      <c r="AM9" s="69">
        <v>454.77301025390625</v>
      </c>
      <c r="AN9" s="69">
        <v>7034.824951171875</v>
      </c>
      <c r="AO9" s="69">
        <v>2487.7864902496335</v>
      </c>
      <c r="AP9" s="69">
        <v>452.23945369720457</v>
      </c>
      <c r="AQ9" s="69">
        <v>3754.0992426554367</v>
      </c>
      <c r="AR9" s="69">
        <v>463.59961582819614</v>
      </c>
      <c r="AS9" s="69">
        <v>818.83548994064347</v>
      </c>
    </row>
    <row r="10" spans="1:60" x14ac:dyDescent="0.25">
      <c r="A10" s="11">
        <v>44442</v>
      </c>
      <c r="B10" s="59"/>
      <c r="C10" s="60">
        <v>84.339629300435377</v>
      </c>
      <c r="D10" s="60">
        <v>982.69095821976748</v>
      </c>
      <c r="E10" s="60">
        <v>19.693142858644318</v>
      </c>
      <c r="F10" s="60">
        <v>0</v>
      </c>
      <c r="G10" s="60">
        <v>2409.3553588867167</v>
      </c>
      <c r="H10" s="61">
        <v>31.949053305387608</v>
      </c>
      <c r="I10" s="59">
        <v>310.02553288141877</v>
      </c>
      <c r="J10" s="60">
        <v>787.71430950164722</v>
      </c>
      <c r="K10" s="60">
        <v>43.242588057120656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511.54118818614904</v>
      </c>
      <c r="V10" s="62">
        <v>177.92205792625634</v>
      </c>
      <c r="W10" s="62">
        <v>90.940051390209987</v>
      </c>
      <c r="X10" s="62">
        <v>31.630377895157299</v>
      </c>
      <c r="Y10" s="66">
        <v>585.37752151631832</v>
      </c>
      <c r="Z10" s="66">
        <v>203.60349410232467</v>
      </c>
      <c r="AA10" s="67">
        <v>0</v>
      </c>
      <c r="AB10" s="68">
        <v>156.46453519397306</v>
      </c>
      <c r="AC10" s="69">
        <v>0</v>
      </c>
      <c r="AD10" s="406">
        <v>23.465493152946848</v>
      </c>
      <c r="AE10" s="406">
        <v>7.9878103156168043</v>
      </c>
      <c r="AF10" s="69">
        <v>31.133331286907215</v>
      </c>
      <c r="AG10" s="68">
        <v>22.857374578649186</v>
      </c>
      <c r="AH10" s="68">
        <v>7.9501538052975791</v>
      </c>
      <c r="AI10" s="68">
        <v>0.74194120001394659</v>
      </c>
      <c r="AJ10" s="69">
        <v>236.93783318201699</v>
      </c>
      <c r="AK10" s="69">
        <v>833.83771069844556</v>
      </c>
      <c r="AL10" s="69">
        <v>2759.1477358500165</v>
      </c>
      <c r="AM10" s="69">
        <v>454.77301025390625</v>
      </c>
      <c r="AN10" s="69">
        <v>7034.824951171875</v>
      </c>
      <c r="AO10" s="69">
        <v>2498.5520275115964</v>
      </c>
      <c r="AP10" s="69">
        <v>438.15190237363186</v>
      </c>
      <c r="AQ10" s="69">
        <v>3710.4473286946618</v>
      </c>
      <c r="AR10" s="69">
        <v>462.27903273900358</v>
      </c>
      <c r="AS10" s="69">
        <v>836.8945955276489</v>
      </c>
    </row>
    <row r="11" spans="1:60" x14ac:dyDescent="0.25">
      <c r="A11" s="11">
        <v>44443</v>
      </c>
      <c r="B11" s="59"/>
      <c r="C11" s="60">
        <v>84.412752727667709</v>
      </c>
      <c r="D11" s="60">
        <v>1006.906707318625</v>
      </c>
      <c r="E11" s="60">
        <v>19.709085948765278</v>
      </c>
      <c r="F11" s="60">
        <v>0</v>
      </c>
      <c r="G11" s="60">
        <v>2441.948598098752</v>
      </c>
      <c r="H11" s="61">
        <v>32.247513910134714</v>
      </c>
      <c r="I11" s="59">
        <v>285.53255993525136</v>
      </c>
      <c r="J11" s="60">
        <v>722.35085150400926</v>
      </c>
      <c r="K11" s="60">
        <v>39.631162988146102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470.35411429229305</v>
      </c>
      <c r="V11" s="62">
        <v>180.1288503717401</v>
      </c>
      <c r="W11" s="62">
        <v>82.450629368069542</v>
      </c>
      <c r="X11" s="62">
        <v>31.575650407232231</v>
      </c>
      <c r="Y11" s="66">
        <v>526.43098560730721</v>
      </c>
      <c r="Z11" s="66">
        <v>201.60429207722157</v>
      </c>
      <c r="AA11" s="67">
        <v>0</v>
      </c>
      <c r="AB11" s="68">
        <v>147.66916882197242</v>
      </c>
      <c r="AC11" s="69">
        <v>0</v>
      </c>
      <c r="AD11" s="406">
        <v>21.515425088381303</v>
      </c>
      <c r="AE11" s="406">
        <v>7.996689775641129</v>
      </c>
      <c r="AF11" s="69">
        <v>28.815604574150541</v>
      </c>
      <c r="AG11" s="68">
        <v>20.536618435057964</v>
      </c>
      <c r="AH11" s="68">
        <v>7.8647924124062243</v>
      </c>
      <c r="AI11" s="68">
        <v>0.72308444623945756</v>
      </c>
      <c r="AJ11" s="69">
        <v>233.54168922106425</v>
      </c>
      <c r="AK11" s="69">
        <v>834.43641230265291</v>
      </c>
      <c r="AL11" s="69">
        <v>2791.0938832600914</v>
      </c>
      <c r="AM11" s="69">
        <v>454.77301025390625</v>
      </c>
      <c r="AN11" s="69">
        <v>7034.824951171875</v>
      </c>
      <c r="AO11" s="69">
        <v>2524.3803265889487</v>
      </c>
      <c r="AP11" s="69">
        <v>439.17128335634862</v>
      </c>
      <c r="AQ11" s="69">
        <v>3602.8719652811687</v>
      </c>
      <c r="AR11" s="69">
        <v>457.17944053014111</v>
      </c>
      <c r="AS11" s="69">
        <v>759.01445439656584</v>
      </c>
    </row>
    <row r="12" spans="1:60" x14ac:dyDescent="0.25">
      <c r="A12" s="11">
        <v>44444</v>
      </c>
      <c r="B12" s="59"/>
      <c r="C12" s="60">
        <v>84.832775735854966</v>
      </c>
      <c r="D12" s="60">
        <v>1006.8481262842818</v>
      </c>
      <c r="E12" s="60">
        <v>19.665986420214224</v>
      </c>
      <c r="F12" s="60">
        <v>0</v>
      </c>
      <c r="G12" s="60">
        <v>2375.9068832397402</v>
      </c>
      <c r="H12" s="61">
        <v>32.375090879201913</v>
      </c>
      <c r="I12" s="59">
        <v>279.36380774180083</v>
      </c>
      <c r="J12" s="60">
        <v>690.62023417155069</v>
      </c>
      <c r="K12" s="60">
        <v>37.85042908390362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455.28609731125403</v>
      </c>
      <c r="V12" s="62">
        <v>182.11698674433458</v>
      </c>
      <c r="W12" s="62">
        <v>79.73806164040451</v>
      </c>
      <c r="X12" s="62">
        <v>31.895670877155787</v>
      </c>
      <c r="Y12" s="66">
        <v>502.57899763898439</v>
      </c>
      <c r="Z12" s="66">
        <v>201.03441153053069</v>
      </c>
      <c r="AA12" s="67">
        <v>0</v>
      </c>
      <c r="AB12" s="68">
        <v>143.3875113805145</v>
      </c>
      <c r="AC12" s="69">
        <v>0</v>
      </c>
      <c r="AD12" s="406">
        <v>20.571511490012046</v>
      </c>
      <c r="AE12" s="406">
        <v>7.9955940224542283</v>
      </c>
      <c r="AF12" s="69">
        <v>28.094468906190635</v>
      </c>
      <c r="AG12" s="68">
        <v>19.794989345082769</v>
      </c>
      <c r="AH12" s="68">
        <v>7.9181065124818435</v>
      </c>
      <c r="AI12" s="68">
        <v>0.71428285915156953</v>
      </c>
      <c r="AJ12" s="69">
        <v>226.58092424074809</v>
      </c>
      <c r="AK12" s="69">
        <v>832.70001646677645</v>
      </c>
      <c r="AL12" s="69">
        <v>2754.816019058228</v>
      </c>
      <c r="AM12" s="69">
        <v>454.77301025390625</v>
      </c>
      <c r="AN12" s="69">
        <v>7034.824951171875</v>
      </c>
      <c r="AO12" s="69">
        <v>2489.7120440165199</v>
      </c>
      <c r="AP12" s="69">
        <v>444.09475258191424</v>
      </c>
      <c r="AQ12" s="69">
        <v>3518.482981491089</v>
      </c>
      <c r="AR12" s="69">
        <v>457.81310574213666</v>
      </c>
      <c r="AS12" s="69">
        <v>783.43395633697514</v>
      </c>
    </row>
    <row r="13" spans="1:60" x14ac:dyDescent="0.25">
      <c r="A13" s="11">
        <v>44445</v>
      </c>
      <c r="B13" s="59"/>
      <c r="C13" s="60">
        <v>85.292337346076451</v>
      </c>
      <c r="D13" s="60">
        <v>1006.9682898839322</v>
      </c>
      <c r="E13" s="60">
        <v>19.689866394797981</v>
      </c>
      <c r="F13" s="60">
        <v>0</v>
      </c>
      <c r="G13" s="60">
        <v>2280.4367195129385</v>
      </c>
      <c r="H13" s="61">
        <v>32.325633209943874</v>
      </c>
      <c r="I13" s="59">
        <v>279.80054944356255</v>
      </c>
      <c r="J13" s="60">
        <v>691.20593713124663</v>
      </c>
      <c r="K13" s="60">
        <v>37.925991128881805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448.2645836375915</v>
      </c>
      <c r="V13" s="62">
        <v>179.805911459246</v>
      </c>
      <c r="W13" s="62">
        <v>77.296415338827543</v>
      </c>
      <c r="X13" s="62">
        <v>31.004796987858249</v>
      </c>
      <c r="Y13" s="66">
        <v>492.60144461720034</v>
      </c>
      <c r="Z13" s="66">
        <v>197.59011746318407</v>
      </c>
      <c r="AA13" s="67">
        <v>0</v>
      </c>
      <c r="AB13" s="68">
        <v>143.07665811114768</v>
      </c>
      <c r="AC13" s="69">
        <v>0</v>
      </c>
      <c r="AD13" s="406">
        <v>20.590656867478515</v>
      </c>
      <c r="AE13" s="406">
        <v>7.9973218407729876</v>
      </c>
      <c r="AF13" s="69">
        <v>27.94812196493152</v>
      </c>
      <c r="AG13" s="68">
        <v>19.659954478959641</v>
      </c>
      <c r="AH13" s="68">
        <v>7.885914175175051</v>
      </c>
      <c r="AI13" s="68">
        <v>0.71371699058793858</v>
      </c>
      <c r="AJ13" s="69">
        <v>223.16357599894206</v>
      </c>
      <c r="AK13" s="69">
        <v>826.7748030026753</v>
      </c>
      <c r="AL13" s="69">
        <v>2735.603298823039</v>
      </c>
      <c r="AM13" s="69">
        <v>454.77301025390625</v>
      </c>
      <c r="AN13" s="69">
        <v>7034.824951171875</v>
      </c>
      <c r="AO13" s="69">
        <v>2552.4627572377531</v>
      </c>
      <c r="AP13" s="69">
        <v>456.71681620279946</v>
      </c>
      <c r="AQ13" s="69">
        <v>3488.4441838582352</v>
      </c>
      <c r="AR13" s="69">
        <v>463.66399383544922</v>
      </c>
      <c r="AS13" s="69">
        <v>827.45956929524743</v>
      </c>
    </row>
    <row r="14" spans="1:60" x14ac:dyDescent="0.25">
      <c r="A14" s="11">
        <v>44446</v>
      </c>
      <c r="B14" s="59"/>
      <c r="C14" s="60">
        <v>85.223728775977975</v>
      </c>
      <c r="D14" s="60">
        <v>1009.3519042332969</v>
      </c>
      <c r="E14" s="60">
        <v>19.685642928878426</v>
      </c>
      <c r="F14" s="60">
        <v>0</v>
      </c>
      <c r="G14" s="60">
        <v>2295.870382817589</v>
      </c>
      <c r="H14" s="61">
        <v>32.281490141153405</v>
      </c>
      <c r="I14" s="59">
        <v>292.50648248990376</v>
      </c>
      <c r="J14" s="60">
        <v>722.62347771326608</v>
      </c>
      <c r="K14" s="60">
        <v>39.695370943347541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480.1535559452023</v>
      </c>
      <c r="V14" s="62">
        <v>184.20231851904211</v>
      </c>
      <c r="W14" s="62">
        <v>82.002566951160688</v>
      </c>
      <c r="X14" s="62">
        <v>31.458817226047259</v>
      </c>
      <c r="Y14" s="66">
        <v>515.3052158743792</v>
      </c>
      <c r="Z14" s="66">
        <v>197.68762374811814</v>
      </c>
      <c r="AA14" s="67">
        <v>0</v>
      </c>
      <c r="AB14" s="68">
        <v>147.79312321344972</v>
      </c>
      <c r="AC14" s="69">
        <v>0</v>
      </c>
      <c r="AD14" s="406">
        <v>21.526716672343934</v>
      </c>
      <c r="AE14" s="406">
        <v>7.9978751183405059</v>
      </c>
      <c r="AF14" s="69">
        <v>28.949132992161648</v>
      </c>
      <c r="AG14" s="68">
        <v>20.609841413878506</v>
      </c>
      <c r="AH14" s="68">
        <v>7.9065968079167073</v>
      </c>
      <c r="AI14" s="68">
        <v>0.72273547115454029</v>
      </c>
      <c r="AJ14" s="69">
        <v>219.86210821469624</v>
      </c>
      <c r="AK14" s="69">
        <v>822.06104348500571</v>
      </c>
      <c r="AL14" s="69">
        <v>2799.2071985880534</v>
      </c>
      <c r="AM14" s="69">
        <v>454.77301025390625</v>
      </c>
      <c r="AN14" s="69">
        <v>7034.824951171875</v>
      </c>
      <c r="AO14" s="69">
        <v>2521.3700887044265</v>
      </c>
      <c r="AP14" s="69">
        <v>456.1240187327067</v>
      </c>
      <c r="AQ14" s="69">
        <v>3625.2088671366378</v>
      </c>
      <c r="AR14" s="69">
        <v>452.55762090682975</v>
      </c>
      <c r="AS14" s="69">
        <v>836.8970261891684</v>
      </c>
    </row>
    <row r="15" spans="1:60" x14ac:dyDescent="0.25">
      <c r="A15" s="11">
        <v>44447</v>
      </c>
      <c r="B15" s="59"/>
      <c r="C15" s="60">
        <v>85.017088345686588</v>
      </c>
      <c r="D15" s="60">
        <v>1013.2464367230731</v>
      </c>
      <c r="E15" s="60">
        <v>19.806819316248081</v>
      </c>
      <c r="F15" s="60">
        <v>0</v>
      </c>
      <c r="G15" s="60">
        <v>2312.2035910288523</v>
      </c>
      <c r="H15" s="61">
        <v>32.278725447257401</v>
      </c>
      <c r="I15" s="59">
        <v>293.39880337715135</v>
      </c>
      <c r="J15" s="60">
        <v>724.78980919519995</v>
      </c>
      <c r="K15" s="60">
        <v>39.781789497534369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482.07226322944337</v>
      </c>
      <c r="V15" s="62">
        <v>182.50294204365636</v>
      </c>
      <c r="W15" s="62">
        <v>83.343586183648341</v>
      </c>
      <c r="X15" s="62">
        <v>31.552219115633719</v>
      </c>
      <c r="Y15" s="66">
        <v>514.50184234833728</v>
      </c>
      <c r="Z15" s="66">
        <v>194.78013376339391</v>
      </c>
      <c r="AA15" s="67">
        <v>0</v>
      </c>
      <c r="AB15" s="68">
        <v>148.22060876422461</v>
      </c>
      <c r="AC15" s="69">
        <v>0</v>
      </c>
      <c r="AD15" s="406">
        <v>21.591206595123243</v>
      </c>
      <c r="AE15" s="406">
        <v>8.003806099171614</v>
      </c>
      <c r="AF15" s="69">
        <v>29.254894840717341</v>
      </c>
      <c r="AG15" s="68">
        <v>20.869447765015384</v>
      </c>
      <c r="AH15" s="68">
        <v>7.9007566011507704</v>
      </c>
      <c r="AI15" s="68">
        <v>0.72538406399218758</v>
      </c>
      <c r="AJ15" s="69">
        <v>191.45958439509073</v>
      </c>
      <c r="AK15" s="69">
        <v>750.47064218521098</v>
      </c>
      <c r="AL15" s="69">
        <v>2798.6696551005039</v>
      </c>
      <c r="AM15" s="69">
        <v>454.77301025390625</v>
      </c>
      <c r="AN15" s="69">
        <v>7034.824951171875</v>
      </c>
      <c r="AO15" s="69">
        <v>2476.7021275838219</v>
      </c>
      <c r="AP15" s="69">
        <v>443.17413614590964</v>
      </c>
      <c r="AQ15" s="69">
        <v>3572.3826077779136</v>
      </c>
      <c r="AR15" s="69">
        <v>441.95575113296513</v>
      </c>
      <c r="AS15" s="69">
        <v>837.0480606396992</v>
      </c>
    </row>
    <row r="16" spans="1:60" x14ac:dyDescent="0.25">
      <c r="A16" s="11">
        <v>44448</v>
      </c>
      <c r="B16" s="49"/>
      <c r="C16" s="50">
        <v>84.47147222757404</v>
      </c>
      <c r="D16" s="50">
        <v>1005.7712437073415</v>
      </c>
      <c r="E16" s="60">
        <v>20.263853208223939</v>
      </c>
      <c r="F16" s="50">
        <v>0</v>
      </c>
      <c r="G16" s="50">
        <v>2288.214230982458</v>
      </c>
      <c r="H16" s="51">
        <v>32.08524541656184</v>
      </c>
      <c r="I16" s="49">
        <v>293.51373585065193</v>
      </c>
      <c r="J16" s="50">
        <v>725.00139684677038</v>
      </c>
      <c r="K16" s="50">
        <v>39.777546445528642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467.17735077049468</v>
      </c>
      <c r="V16" s="66">
        <v>173.57429436008564</v>
      </c>
      <c r="W16" s="62">
        <v>81.344805063942218</v>
      </c>
      <c r="X16" s="62">
        <v>30.222713313361727</v>
      </c>
      <c r="Y16" s="66">
        <v>504.90216129031108</v>
      </c>
      <c r="Z16" s="66">
        <v>187.59050759269559</v>
      </c>
      <c r="AA16" s="67">
        <v>0</v>
      </c>
      <c r="AB16" s="68">
        <v>148.33836708068785</v>
      </c>
      <c r="AC16" s="69">
        <v>0</v>
      </c>
      <c r="AD16" s="406">
        <v>21.594935389489965</v>
      </c>
      <c r="AE16" s="406">
        <v>7.9927979477197892</v>
      </c>
      <c r="AF16" s="69">
        <v>28.457515405284031</v>
      </c>
      <c r="AG16" s="68">
        <v>20.465756957274326</v>
      </c>
      <c r="AH16" s="68">
        <v>7.6038132339789302</v>
      </c>
      <c r="AI16" s="68">
        <v>0.72910831259011044</v>
      </c>
      <c r="AJ16" s="69">
        <v>182.93737208048503</v>
      </c>
      <c r="AK16" s="69">
        <v>743.19049924214664</v>
      </c>
      <c r="AL16" s="69">
        <v>2784.923024113973</v>
      </c>
      <c r="AM16" s="69">
        <v>454.77301025390625</v>
      </c>
      <c r="AN16" s="69">
        <v>7034.824951171875</v>
      </c>
      <c r="AO16" s="69">
        <v>2512.8326122283934</v>
      </c>
      <c r="AP16" s="69">
        <v>451.19398708343499</v>
      </c>
      <c r="AQ16" s="69">
        <v>3676.9648602803545</v>
      </c>
      <c r="AR16" s="69">
        <v>440.7539313634237</v>
      </c>
      <c r="AS16" s="69">
        <v>841.0540355682374</v>
      </c>
    </row>
    <row r="17" spans="1:45" x14ac:dyDescent="0.25">
      <c r="A17" s="11">
        <v>44449</v>
      </c>
      <c r="B17" s="59"/>
      <c r="C17" s="60">
        <v>85.379612811405138</v>
      </c>
      <c r="D17" s="60">
        <v>1007.0464972813933</v>
      </c>
      <c r="E17" s="60">
        <v>20.355449373026648</v>
      </c>
      <c r="F17" s="60">
        <v>0</v>
      </c>
      <c r="G17" s="60">
        <v>2234.3469664255749</v>
      </c>
      <c r="H17" s="61">
        <v>32.093306630849916</v>
      </c>
      <c r="I17" s="59">
        <v>293.49819582303388</v>
      </c>
      <c r="J17" s="60">
        <v>724.71592801411907</v>
      </c>
      <c r="K17" s="60">
        <v>39.739042981465587</v>
      </c>
      <c r="L17" s="50">
        <v>0</v>
      </c>
      <c r="M17" s="5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473.9755248197506</v>
      </c>
      <c r="V17" s="62">
        <v>180.08355975463257</v>
      </c>
      <c r="W17" s="62">
        <v>83.258861812868744</v>
      </c>
      <c r="X17" s="62">
        <v>31.633600114863277</v>
      </c>
      <c r="Y17" s="66">
        <v>528.63368109219209</v>
      </c>
      <c r="Z17" s="66">
        <v>200.85052943077673</v>
      </c>
      <c r="AA17" s="67">
        <v>0</v>
      </c>
      <c r="AB17" s="68">
        <v>148.1178320248917</v>
      </c>
      <c r="AC17" s="69">
        <v>0</v>
      </c>
      <c r="AD17" s="406">
        <v>21.588421902485155</v>
      </c>
      <c r="AE17" s="406">
        <v>7.9977881355211382</v>
      </c>
      <c r="AF17" s="69">
        <v>29.277280282974271</v>
      </c>
      <c r="AG17" s="68">
        <v>20.901960434959186</v>
      </c>
      <c r="AH17" s="68">
        <v>7.9415481261598835</v>
      </c>
      <c r="AI17" s="68">
        <v>0.72466774944068146</v>
      </c>
      <c r="AJ17" s="69">
        <v>168.65683714548749</v>
      </c>
      <c r="AK17" s="69">
        <v>747.56549708048499</v>
      </c>
      <c r="AL17" s="69">
        <v>2833.7369458516441</v>
      </c>
      <c r="AM17" s="69">
        <v>454.77301025390625</v>
      </c>
      <c r="AN17" s="69">
        <v>7034.824951171875</v>
      </c>
      <c r="AO17" s="69">
        <v>2522.2536280314125</v>
      </c>
      <c r="AP17" s="69">
        <v>471.56319039662674</v>
      </c>
      <c r="AQ17" s="69">
        <v>3658.5221527099607</v>
      </c>
      <c r="AR17" s="69">
        <v>451.04438664118453</v>
      </c>
      <c r="AS17" s="69">
        <v>876.9018027941388</v>
      </c>
    </row>
    <row r="18" spans="1:45" x14ac:dyDescent="0.25">
      <c r="A18" s="11">
        <v>44450</v>
      </c>
      <c r="B18" s="59"/>
      <c r="C18" s="60">
        <v>84.846539513270699</v>
      </c>
      <c r="D18" s="60">
        <v>1006.8518791834509</v>
      </c>
      <c r="E18" s="60">
        <v>20.358372594416135</v>
      </c>
      <c r="F18" s="60">
        <v>0</v>
      </c>
      <c r="G18" s="60">
        <v>2217.7614345550455</v>
      </c>
      <c r="H18" s="61">
        <v>32.104364748795852</v>
      </c>
      <c r="I18" s="59">
        <v>293.44011095364914</v>
      </c>
      <c r="J18" s="60">
        <v>724.76583614349363</v>
      </c>
      <c r="K18" s="60">
        <v>39.799801606933286</v>
      </c>
      <c r="L18" s="50">
        <v>0</v>
      </c>
      <c r="M18" s="5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468.08210837298009</v>
      </c>
      <c r="V18" s="62">
        <v>178.29290453341295</v>
      </c>
      <c r="W18" s="62">
        <v>81.946866309353965</v>
      </c>
      <c r="X18" s="62">
        <v>31.21363656152381</v>
      </c>
      <c r="Y18" s="66">
        <v>547.55770872705284</v>
      </c>
      <c r="Z18" s="66">
        <v>208.56523362524271</v>
      </c>
      <c r="AA18" s="67">
        <v>0</v>
      </c>
      <c r="AB18" s="68">
        <v>148.11336162355178</v>
      </c>
      <c r="AC18" s="69">
        <v>0</v>
      </c>
      <c r="AD18" s="406">
        <v>21.589565722205666</v>
      </c>
      <c r="AE18" s="406">
        <v>7.9959488790848932</v>
      </c>
      <c r="AF18" s="69">
        <v>29.311604650815347</v>
      </c>
      <c r="AG18" s="68">
        <v>20.91817172927437</v>
      </c>
      <c r="AH18" s="68">
        <v>7.9677508036031135</v>
      </c>
      <c r="AI18" s="68">
        <v>0.72416491823882889</v>
      </c>
      <c r="AJ18" s="69">
        <v>169.61993745962778</v>
      </c>
      <c r="AK18" s="69">
        <v>746.99665981928524</v>
      </c>
      <c r="AL18" s="69">
        <v>2810.0878286997477</v>
      </c>
      <c r="AM18" s="69">
        <v>454.77301025390625</v>
      </c>
      <c r="AN18" s="69">
        <v>7034.824951171875</v>
      </c>
      <c r="AO18" s="69">
        <v>2513.9793106079105</v>
      </c>
      <c r="AP18" s="69">
        <v>479.71344863573705</v>
      </c>
      <c r="AQ18" s="69">
        <v>3662.3984685262039</v>
      </c>
      <c r="AR18" s="69">
        <v>466.34496857325234</v>
      </c>
      <c r="AS18" s="69">
        <v>831.24058459599814</v>
      </c>
    </row>
    <row r="19" spans="1:45" x14ac:dyDescent="0.25">
      <c r="A19" s="11">
        <v>44451</v>
      </c>
      <c r="B19" s="59"/>
      <c r="C19" s="60">
        <v>85.137621533870657</v>
      </c>
      <c r="D19" s="60">
        <v>1007.2138386408479</v>
      </c>
      <c r="E19" s="60">
        <v>20.342351091404762</v>
      </c>
      <c r="F19" s="60">
        <v>0</v>
      </c>
      <c r="G19" s="60">
        <v>2291.3687606811509</v>
      </c>
      <c r="H19" s="61">
        <v>32.264117954174743</v>
      </c>
      <c r="I19" s="59">
        <v>295.70489373207084</v>
      </c>
      <c r="J19" s="60">
        <v>724.66267801920549</v>
      </c>
      <c r="K19" s="60">
        <v>39.780779979626331</v>
      </c>
      <c r="L19" s="50">
        <v>0</v>
      </c>
      <c r="M19" s="5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467.90439183257439</v>
      </c>
      <c r="V19" s="62">
        <v>178.26611807800958</v>
      </c>
      <c r="W19" s="62">
        <v>81.877293498607614</v>
      </c>
      <c r="X19" s="62">
        <v>31.194294230846534</v>
      </c>
      <c r="Y19" s="66">
        <v>545.55893856425973</v>
      </c>
      <c r="Z19" s="66">
        <v>207.85159502287718</v>
      </c>
      <c r="AA19" s="67">
        <v>0</v>
      </c>
      <c r="AB19" s="68">
        <v>148.12600051032075</v>
      </c>
      <c r="AC19" s="69">
        <v>0</v>
      </c>
      <c r="AD19" s="406">
        <v>21.587275651573023</v>
      </c>
      <c r="AE19" s="406">
        <v>7.9989738378329172</v>
      </c>
      <c r="AF19" s="69">
        <v>29.276889475186699</v>
      </c>
      <c r="AG19" s="68">
        <v>20.887401586195715</v>
      </c>
      <c r="AH19" s="68">
        <v>7.9578564820137867</v>
      </c>
      <c r="AI19" s="68">
        <v>0.72411907485119098</v>
      </c>
      <c r="AJ19" s="69">
        <v>179.14806181589765</v>
      </c>
      <c r="AK19" s="69">
        <v>731.14442529678331</v>
      </c>
      <c r="AL19" s="69">
        <v>2772.688059870402</v>
      </c>
      <c r="AM19" s="69">
        <v>454.77301025390625</v>
      </c>
      <c r="AN19" s="69">
        <v>7034.824951171875</v>
      </c>
      <c r="AO19" s="69">
        <v>2481.7376880645743</v>
      </c>
      <c r="AP19" s="69">
        <v>456.13679413795478</v>
      </c>
      <c r="AQ19" s="69">
        <v>3584.3410634358725</v>
      </c>
      <c r="AR19" s="69">
        <v>438.46215051015224</v>
      </c>
      <c r="AS19" s="69">
        <v>816.24228051503474</v>
      </c>
    </row>
    <row r="20" spans="1:45" x14ac:dyDescent="0.25">
      <c r="A20" s="11">
        <v>44452</v>
      </c>
      <c r="B20" s="59"/>
      <c r="C20" s="60">
        <v>84.728475948174648</v>
      </c>
      <c r="D20" s="60">
        <v>1006.4221991856894</v>
      </c>
      <c r="E20" s="60">
        <v>20.278560396532217</v>
      </c>
      <c r="F20" s="60">
        <v>0</v>
      </c>
      <c r="G20" s="60">
        <v>2338.5217854817647</v>
      </c>
      <c r="H20" s="61">
        <v>32.015882412592639</v>
      </c>
      <c r="I20" s="59">
        <v>327.1435775756845</v>
      </c>
      <c r="J20" s="60">
        <v>725.18652890523219</v>
      </c>
      <c r="K20" s="60">
        <v>39.803939404090158</v>
      </c>
      <c r="L20" s="50">
        <v>0</v>
      </c>
      <c r="M20" s="5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464.37859164567004</v>
      </c>
      <c r="V20" s="62">
        <v>176.85732690800072</v>
      </c>
      <c r="W20" s="62">
        <v>81.348443645208647</v>
      </c>
      <c r="X20" s="62">
        <v>30.981334088276302</v>
      </c>
      <c r="Y20" s="66">
        <v>538.12813149599947</v>
      </c>
      <c r="Z20" s="66">
        <v>204.94463909955093</v>
      </c>
      <c r="AA20" s="67">
        <v>0</v>
      </c>
      <c r="AB20" s="68">
        <v>148.14589111539979</v>
      </c>
      <c r="AC20" s="69">
        <v>0</v>
      </c>
      <c r="AD20" s="406">
        <v>21.60141203112606</v>
      </c>
      <c r="AE20" s="406">
        <v>7.980186422379222</v>
      </c>
      <c r="AF20" s="69">
        <v>29.125898509555427</v>
      </c>
      <c r="AG20" s="68">
        <v>20.674344201671701</v>
      </c>
      <c r="AH20" s="68">
        <v>7.8737679058932457</v>
      </c>
      <c r="AI20" s="68">
        <v>0.72419304379126426</v>
      </c>
      <c r="AJ20" s="69">
        <v>180.99749008019765</v>
      </c>
      <c r="AK20" s="69">
        <v>735.22104075749724</v>
      </c>
      <c r="AL20" s="69">
        <v>2722.7874460856124</v>
      </c>
      <c r="AM20" s="69">
        <v>454.77301025390625</v>
      </c>
      <c r="AN20" s="69">
        <v>7034.824951171875</v>
      </c>
      <c r="AO20" s="69">
        <v>2480.9890921274823</v>
      </c>
      <c r="AP20" s="69">
        <v>441.97995545069381</v>
      </c>
      <c r="AQ20" s="69">
        <v>3577.7958187103272</v>
      </c>
      <c r="AR20" s="69">
        <v>421.27135496139533</v>
      </c>
      <c r="AS20" s="69">
        <v>806.40310433705622</v>
      </c>
    </row>
    <row r="21" spans="1:45" x14ac:dyDescent="0.25">
      <c r="A21" s="11">
        <v>44453</v>
      </c>
      <c r="B21" s="59"/>
      <c r="C21" s="60">
        <v>61.43592123786636</v>
      </c>
      <c r="D21" s="60">
        <v>730.28550065358343</v>
      </c>
      <c r="E21" s="60">
        <v>14.536377495527269</v>
      </c>
      <c r="F21" s="60">
        <v>0</v>
      </c>
      <c r="G21" s="60">
        <v>1812.1403355916352</v>
      </c>
      <c r="H21" s="61">
        <v>24.090778201818491</v>
      </c>
      <c r="I21" s="59">
        <v>332.64789377053592</v>
      </c>
      <c r="J21" s="60">
        <v>718.95091094970599</v>
      </c>
      <c r="K21" s="60">
        <v>39.242490239938142</v>
      </c>
      <c r="L21" s="50">
        <v>0</v>
      </c>
      <c r="M21" s="5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419.10807894828662</v>
      </c>
      <c r="V21" s="62">
        <v>116.98072403044527</v>
      </c>
      <c r="W21" s="62">
        <v>76.277862969244339</v>
      </c>
      <c r="X21" s="62">
        <v>21.290545531903955</v>
      </c>
      <c r="Y21" s="66">
        <v>472.06066060833678</v>
      </c>
      <c r="Z21" s="66">
        <v>131.76075727966898</v>
      </c>
      <c r="AA21" s="67">
        <v>0</v>
      </c>
      <c r="AB21" s="68">
        <v>133.48185377121069</v>
      </c>
      <c r="AC21" s="69">
        <v>0</v>
      </c>
      <c r="AD21" s="406">
        <v>21.506903828371421</v>
      </c>
      <c r="AE21" s="406">
        <v>5.852246972035708</v>
      </c>
      <c r="AF21" s="69">
        <v>21.693979049722326</v>
      </c>
      <c r="AG21" s="68">
        <v>18.015575636231134</v>
      </c>
      <c r="AH21" s="68">
        <v>5.028476394537857</v>
      </c>
      <c r="AI21" s="68">
        <v>0.78178853320484998</v>
      </c>
      <c r="AJ21" s="69">
        <v>204.03109547297157</v>
      </c>
      <c r="AK21" s="69">
        <v>755.51861073176076</v>
      </c>
      <c r="AL21" s="69">
        <v>2159.4877838134762</v>
      </c>
      <c r="AM21" s="69">
        <v>373.63745248317719</v>
      </c>
      <c r="AN21" s="69">
        <v>3567.4374301910402</v>
      </c>
      <c r="AO21" s="69">
        <v>2201.0494135538738</v>
      </c>
      <c r="AP21" s="69">
        <v>433.01177413463591</v>
      </c>
      <c r="AQ21" s="69">
        <v>2901.8734107732776</v>
      </c>
      <c r="AR21" s="69">
        <v>433.31692103544879</v>
      </c>
      <c r="AS21" s="69">
        <v>771.54468816121414</v>
      </c>
    </row>
    <row r="22" spans="1:45" x14ac:dyDescent="0.25">
      <c r="A22" s="11">
        <v>44454</v>
      </c>
      <c r="B22" s="59"/>
      <c r="C22" s="60">
        <v>85.001116470495575</v>
      </c>
      <c r="D22" s="60">
        <v>1009.2280017852776</v>
      </c>
      <c r="E22" s="60">
        <v>19.708895155290762</v>
      </c>
      <c r="F22" s="60">
        <v>0</v>
      </c>
      <c r="G22" s="60">
        <v>2988.5853735605865</v>
      </c>
      <c r="H22" s="61">
        <v>32.198553645610872</v>
      </c>
      <c r="I22" s="59">
        <v>364.76185069084079</v>
      </c>
      <c r="J22" s="60">
        <v>720.87166894276891</v>
      </c>
      <c r="K22" s="60">
        <v>39.554942837357487</v>
      </c>
      <c r="L22" s="50">
        <v>0</v>
      </c>
      <c r="M22" s="5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468.55890411364658</v>
      </c>
      <c r="V22" s="62">
        <v>178.52800907994663</v>
      </c>
      <c r="W22" s="62">
        <v>82.945456708284368</v>
      </c>
      <c r="X22" s="62">
        <v>31.603469955114299</v>
      </c>
      <c r="Y22" s="66">
        <v>544.63362860164216</v>
      </c>
      <c r="Z22" s="66">
        <v>207.51362643757389</v>
      </c>
      <c r="AA22" s="67">
        <v>0</v>
      </c>
      <c r="AB22" s="68">
        <v>147.69561567306712</v>
      </c>
      <c r="AC22" s="69">
        <v>0</v>
      </c>
      <c r="AD22" s="406">
        <v>21.473262143144986</v>
      </c>
      <c r="AE22" s="406">
        <v>8.0293278708570899</v>
      </c>
      <c r="AF22" s="69">
        <v>28.660944940646495</v>
      </c>
      <c r="AG22" s="68">
        <v>20.529605310537118</v>
      </c>
      <c r="AH22" s="68">
        <v>7.8220892423769595</v>
      </c>
      <c r="AI22" s="68">
        <v>0.72410505383449897</v>
      </c>
      <c r="AJ22" s="69">
        <v>191.87503178914389</v>
      </c>
      <c r="AK22" s="69">
        <v>769.49876852035516</v>
      </c>
      <c r="AL22" s="69">
        <v>2805.3468710581456</v>
      </c>
      <c r="AM22" s="69">
        <v>371.49664306640625</v>
      </c>
      <c r="AN22" s="69">
        <v>1156.864013671875</v>
      </c>
      <c r="AO22" s="69">
        <v>2514.5344500223791</v>
      </c>
      <c r="AP22" s="69">
        <v>445.32908256848651</v>
      </c>
      <c r="AQ22" s="69">
        <v>3674.0585875193278</v>
      </c>
      <c r="AR22" s="69">
        <v>447.32966585159312</v>
      </c>
      <c r="AS22" s="69">
        <v>824.83648147583006</v>
      </c>
    </row>
    <row r="23" spans="1:45" x14ac:dyDescent="0.25">
      <c r="A23" s="11">
        <v>44455</v>
      </c>
      <c r="B23" s="59"/>
      <c r="C23" s="60">
        <v>85.489946178595346</v>
      </c>
      <c r="D23" s="60">
        <v>1007.7861466725674</v>
      </c>
      <c r="E23" s="60">
        <v>19.751347309350965</v>
      </c>
      <c r="F23" s="60">
        <v>0</v>
      </c>
      <c r="G23" s="60">
        <v>2372.5789798736546</v>
      </c>
      <c r="H23" s="61">
        <v>32.132099042336151</v>
      </c>
      <c r="I23" s="59">
        <v>368.53312637011123</v>
      </c>
      <c r="J23" s="60">
        <v>721.23320496876886</v>
      </c>
      <c r="K23" s="60">
        <v>39.5962571253379</v>
      </c>
      <c r="L23" s="50">
        <v>0</v>
      </c>
      <c r="M23" s="5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470.24349623024597</v>
      </c>
      <c r="V23" s="62">
        <v>179.96486859552775</v>
      </c>
      <c r="W23" s="62">
        <v>82.647413849310098</v>
      </c>
      <c r="X23" s="62">
        <v>31.629636757099764</v>
      </c>
      <c r="Y23" s="66">
        <v>539.29746605511468</v>
      </c>
      <c r="Z23" s="66">
        <v>206.39221677823872</v>
      </c>
      <c r="AA23" s="67">
        <v>0</v>
      </c>
      <c r="AB23" s="68">
        <v>147.71389164394836</v>
      </c>
      <c r="AC23" s="69">
        <v>0</v>
      </c>
      <c r="AD23" s="406">
        <v>21.479037567114016</v>
      </c>
      <c r="AE23" s="406">
        <v>8.0246583371044427</v>
      </c>
      <c r="AF23" s="69">
        <v>28.841359651088691</v>
      </c>
      <c r="AG23" s="68">
        <v>20.62856283080113</v>
      </c>
      <c r="AH23" s="68">
        <v>7.8946686746774226</v>
      </c>
      <c r="AI23" s="68">
        <v>0.72321969643723338</v>
      </c>
      <c r="AJ23" s="69">
        <v>230.10366377830505</v>
      </c>
      <c r="AK23" s="69">
        <v>817.97633136113473</v>
      </c>
      <c r="AL23" s="69">
        <v>2847.7300618489585</v>
      </c>
      <c r="AM23" s="69">
        <v>371.49664306640625</v>
      </c>
      <c r="AN23" s="69">
        <v>1156.864013671875</v>
      </c>
      <c r="AO23" s="69">
        <v>2557.86694653829</v>
      </c>
      <c r="AP23" s="69">
        <v>471.055383348465</v>
      </c>
      <c r="AQ23" s="69">
        <v>3778.0369778951008</v>
      </c>
      <c r="AR23" s="69">
        <v>468.20593229929597</v>
      </c>
      <c r="AS23" s="69">
        <v>888.34683116277074</v>
      </c>
    </row>
    <row r="24" spans="1:45" x14ac:dyDescent="0.25">
      <c r="A24" s="11">
        <v>44456</v>
      </c>
      <c r="B24" s="59"/>
      <c r="C24" s="60">
        <v>85.133595812321559</v>
      </c>
      <c r="D24" s="60">
        <v>999.43227157593037</v>
      </c>
      <c r="E24" s="60">
        <v>19.680586632589485</v>
      </c>
      <c r="F24" s="60">
        <v>0</v>
      </c>
      <c r="G24" s="60">
        <v>2170.9551329294873</v>
      </c>
      <c r="H24" s="61">
        <v>32.203155897061123</v>
      </c>
      <c r="I24" s="59">
        <v>380.05198879241868</v>
      </c>
      <c r="J24" s="60">
        <v>720.39417737324879</v>
      </c>
      <c r="K24" s="60">
        <v>39.482477116584761</v>
      </c>
      <c r="L24" s="50">
        <v>0</v>
      </c>
      <c r="M24" s="5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469.22540537310999</v>
      </c>
      <c r="V24" s="62">
        <v>179.36877183060037</v>
      </c>
      <c r="W24" s="62">
        <v>83.247261223780939</v>
      </c>
      <c r="X24" s="62">
        <v>31.822571482670316</v>
      </c>
      <c r="Y24" s="66">
        <v>532.74946440891802</v>
      </c>
      <c r="Z24" s="66">
        <v>203.65183988376168</v>
      </c>
      <c r="AA24" s="67">
        <v>0</v>
      </c>
      <c r="AB24" s="68">
        <v>147.62581765916761</v>
      </c>
      <c r="AC24" s="69">
        <v>0</v>
      </c>
      <c r="AD24" s="406">
        <v>21.457811327330027</v>
      </c>
      <c r="AE24" s="406">
        <v>8.0305752476869117</v>
      </c>
      <c r="AF24" s="69">
        <v>28.871636794673076</v>
      </c>
      <c r="AG24" s="68">
        <v>20.667178307316494</v>
      </c>
      <c r="AH24" s="68">
        <v>7.9003531090557297</v>
      </c>
      <c r="AI24" s="68">
        <v>0.72344991963400829</v>
      </c>
      <c r="AJ24" s="69">
        <v>274.66099259058637</v>
      </c>
      <c r="AK24" s="69">
        <v>847.80612586339305</v>
      </c>
      <c r="AL24" s="69">
        <v>2678.884204483033</v>
      </c>
      <c r="AM24" s="69">
        <v>371.49664306640625</v>
      </c>
      <c r="AN24" s="69">
        <v>1156.864013671875</v>
      </c>
      <c r="AO24" s="69">
        <v>2486.45193049113</v>
      </c>
      <c r="AP24" s="69">
        <v>427.96049386660263</v>
      </c>
      <c r="AQ24" s="69">
        <v>3680.0131459554036</v>
      </c>
      <c r="AR24" s="69">
        <v>434.33963025410964</v>
      </c>
      <c r="AS24" s="69">
        <v>714.55076634089164</v>
      </c>
    </row>
    <row r="25" spans="1:45" s="378" customFormat="1" ht="15" customHeight="1" x14ac:dyDescent="0.25">
      <c r="A25" s="11">
        <v>44457</v>
      </c>
      <c r="B25" s="372"/>
      <c r="C25" s="373">
        <v>85.72972652912145</v>
      </c>
      <c r="D25" s="373">
        <v>1010.7392201105752</v>
      </c>
      <c r="E25" s="60">
        <v>20.189696582158387</v>
      </c>
      <c r="F25" s="373">
        <v>0</v>
      </c>
      <c r="G25" s="373">
        <v>2261.2687015533438</v>
      </c>
      <c r="H25" s="374">
        <v>32.262904906272922</v>
      </c>
      <c r="I25" s="372">
        <v>387.78335080146729</v>
      </c>
      <c r="J25" s="373">
        <v>719.96929346720333</v>
      </c>
      <c r="K25" s="373">
        <v>39.543945489327101</v>
      </c>
      <c r="L25" s="375">
        <v>0</v>
      </c>
      <c r="M25" s="50">
        <v>0</v>
      </c>
      <c r="N25" s="374">
        <v>0</v>
      </c>
      <c r="O25" s="372">
        <v>0</v>
      </c>
      <c r="P25" s="373">
        <v>0</v>
      </c>
      <c r="Q25" s="373">
        <v>0</v>
      </c>
      <c r="R25" s="373">
        <v>0</v>
      </c>
      <c r="S25" s="373">
        <v>0</v>
      </c>
      <c r="T25" s="374">
        <v>0</v>
      </c>
      <c r="U25" s="372">
        <v>465.61596524395213</v>
      </c>
      <c r="V25" s="373">
        <v>166.49783618240747</v>
      </c>
      <c r="W25" s="373">
        <v>81.696672865815685</v>
      </c>
      <c r="X25" s="373">
        <v>29.213601488801167</v>
      </c>
      <c r="Y25" s="373">
        <v>526.81722146217703</v>
      </c>
      <c r="Z25" s="373">
        <v>188.38255984440806</v>
      </c>
      <c r="AA25" s="374">
        <v>0</v>
      </c>
      <c r="AB25" s="376">
        <v>147.89947086969883</v>
      </c>
      <c r="AC25" s="377">
        <v>0</v>
      </c>
      <c r="AD25" s="406">
        <v>21.443680906878779</v>
      </c>
      <c r="AE25" s="406">
        <v>8.0474096373979087</v>
      </c>
      <c r="AF25" s="377">
        <v>28.402393913931327</v>
      </c>
      <c r="AG25" s="377">
        <v>20.708555405102317</v>
      </c>
      <c r="AH25" s="377">
        <v>7.4050933017439506</v>
      </c>
      <c r="AI25" s="377">
        <v>0.73660148567124073</v>
      </c>
      <c r="AJ25" s="377">
        <v>261.24363656044005</v>
      </c>
      <c r="AK25" s="377">
        <v>853.2091398874918</v>
      </c>
      <c r="AL25" s="377">
        <v>2751.0225078582762</v>
      </c>
      <c r="AM25" s="377">
        <v>371.49664306640625</v>
      </c>
      <c r="AN25" s="377">
        <v>1156.864013671875</v>
      </c>
      <c r="AO25" s="377">
        <v>2506.2926527659101</v>
      </c>
      <c r="AP25" s="377">
        <v>430.31660758654277</v>
      </c>
      <c r="AQ25" s="377">
        <v>3639.0897931416825</v>
      </c>
      <c r="AR25" s="377">
        <v>424.47353595097854</v>
      </c>
      <c r="AS25" s="377">
        <v>723.40644655227663</v>
      </c>
    </row>
    <row r="26" spans="1:45" x14ac:dyDescent="0.25">
      <c r="A26" s="11">
        <v>44458</v>
      </c>
      <c r="B26" s="59"/>
      <c r="C26" s="60">
        <v>84.627630754313145</v>
      </c>
      <c r="D26" s="60">
        <v>1008.9349568049118</v>
      </c>
      <c r="E26" s="60">
        <v>20.504549206296581</v>
      </c>
      <c r="F26" s="60">
        <v>0</v>
      </c>
      <c r="G26" s="60">
        <v>2260.240101750695</v>
      </c>
      <c r="H26" s="61">
        <v>32.176295508941053</v>
      </c>
      <c r="I26" s="59">
        <v>421.17626851399723</v>
      </c>
      <c r="J26" s="60">
        <v>720.33330914179476</v>
      </c>
      <c r="K26" s="60">
        <v>39.515060834089908</v>
      </c>
      <c r="L26" s="50">
        <v>0</v>
      </c>
      <c r="M26" s="5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467.00520745943089</v>
      </c>
      <c r="V26" s="62">
        <v>177.89883751839344</v>
      </c>
      <c r="W26" s="62">
        <v>81.24600375952221</v>
      </c>
      <c r="X26" s="62">
        <v>30.949482770145806</v>
      </c>
      <c r="Y26" s="62">
        <v>532.06899091632943</v>
      </c>
      <c r="Z26" s="62">
        <v>202.68393896190622</v>
      </c>
      <c r="AA26" s="72">
        <v>0</v>
      </c>
      <c r="AB26" s="69">
        <v>148.10067703458796</v>
      </c>
      <c r="AC26" s="69">
        <v>0</v>
      </c>
      <c r="AD26" s="406">
        <v>21.454867600583349</v>
      </c>
      <c r="AE26" s="406">
        <v>8.0330030766863345</v>
      </c>
      <c r="AF26" s="69">
        <v>29.133116727405127</v>
      </c>
      <c r="AG26" s="69">
        <v>20.871780197772907</v>
      </c>
      <c r="AH26" s="69">
        <v>7.9508009221626921</v>
      </c>
      <c r="AI26" s="69">
        <v>0.7241468108259258</v>
      </c>
      <c r="AJ26" s="69">
        <v>231.19812628428141</v>
      </c>
      <c r="AK26" s="69">
        <v>835.95995960235575</v>
      </c>
      <c r="AL26" s="69">
        <v>2761.6074562072749</v>
      </c>
      <c r="AM26" s="69">
        <v>371.49664306640625</v>
      </c>
      <c r="AN26" s="69">
        <v>1156.864013671875</v>
      </c>
      <c r="AO26" s="69">
        <v>2586.719209798177</v>
      </c>
      <c r="AP26" s="69">
        <v>448.75271617571508</v>
      </c>
      <c r="AQ26" s="69">
        <v>3752.9759232838946</v>
      </c>
      <c r="AR26" s="69">
        <v>433.28215497334799</v>
      </c>
      <c r="AS26" s="69">
        <v>805.93957843780515</v>
      </c>
    </row>
    <row r="27" spans="1:45" x14ac:dyDescent="0.25">
      <c r="A27" s="11">
        <v>44459</v>
      </c>
      <c r="B27" s="59"/>
      <c r="C27" s="60">
        <v>85.125669542948884</v>
      </c>
      <c r="D27" s="60">
        <v>1014.7775963465367</v>
      </c>
      <c r="E27" s="60">
        <v>20.339153136809642</v>
      </c>
      <c r="F27" s="60">
        <v>0</v>
      </c>
      <c r="G27" s="60">
        <v>2236.5082057952873</v>
      </c>
      <c r="H27" s="61">
        <v>32.237381802002652</v>
      </c>
      <c r="I27" s="59">
        <v>430.32576862971001</v>
      </c>
      <c r="J27" s="60">
        <v>720.36554225285738</v>
      </c>
      <c r="K27" s="60">
        <v>39.508247693379694</v>
      </c>
      <c r="L27" s="50">
        <v>0</v>
      </c>
      <c r="M27" s="5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463.37343723836045</v>
      </c>
      <c r="V27" s="62">
        <v>177.2284139494509</v>
      </c>
      <c r="W27" s="62">
        <v>81.327697931927858</v>
      </c>
      <c r="X27" s="62">
        <v>31.105751336413423</v>
      </c>
      <c r="Y27" s="66">
        <v>532.11446987805903</v>
      </c>
      <c r="Z27" s="66">
        <v>203.52008975328926</v>
      </c>
      <c r="AA27" s="67">
        <v>0</v>
      </c>
      <c r="AB27" s="68">
        <v>148.00369987487514</v>
      </c>
      <c r="AC27" s="69">
        <v>0</v>
      </c>
      <c r="AD27" s="406">
        <v>21.454234407937566</v>
      </c>
      <c r="AE27" s="406">
        <v>8.0420998962399199</v>
      </c>
      <c r="AF27" s="69">
        <v>28.91563175254392</v>
      </c>
      <c r="AG27" s="68">
        <v>20.685716870690499</v>
      </c>
      <c r="AH27" s="68">
        <v>7.9117543168837852</v>
      </c>
      <c r="AI27" s="68">
        <v>0.7233407714622867</v>
      </c>
      <c r="AJ27" s="69">
        <v>322.79160672823588</v>
      </c>
      <c r="AK27" s="69">
        <v>917.33158769607542</v>
      </c>
      <c r="AL27" s="69">
        <v>2702.5756306966146</v>
      </c>
      <c r="AM27" s="69">
        <v>371.49664306640625</v>
      </c>
      <c r="AN27" s="69">
        <v>1156.864013671875</v>
      </c>
      <c r="AO27" s="69">
        <v>2551.5807504018148</v>
      </c>
      <c r="AP27" s="69">
        <v>433.4422101656595</v>
      </c>
      <c r="AQ27" s="69">
        <v>3651.6272897084555</v>
      </c>
      <c r="AR27" s="69">
        <v>427.1499680836996</v>
      </c>
      <c r="AS27" s="69">
        <v>618.2292267799379</v>
      </c>
    </row>
    <row r="28" spans="1:45" x14ac:dyDescent="0.25">
      <c r="A28" s="11">
        <v>44460</v>
      </c>
      <c r="B28" s="59"/>
      <c r="C28" s="60">
        <v>84.702116525173366</v>
      </c>
      <c r="D28" s="60">
        <v>1014.6918954849233</v>
      </c>
      <c r="E28" s="60">
        <v>20.261473971108565</v>
      </c>
      <c r="F28" s="60">
        <v>0</v>
      </c>
      <c r="G28" s="60">
        <v>2275.1434188842786</v>
      </c>
      <c r="H28" s="61">
        <v>32.227946982781155</v>
      </c>
      <c r="I28" s="59">
        <v>465.49433857599837</v>
      </c>
      <c r="J28" s="60">
        <v>707.2881390571614</v>
      </c>
      <c r="K28" s="60">
        <v>38.805227860808429</v>
      </c>
      <c r="L28" s="50">
        <v>0</v>
      </c>
      <c r="M28" s="5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454.98495248807814</v>
      </c>
      <c r="V28" s="62">
        <v>178.16422235051678</v>
      </c>
      <c r="W28" s="62">
        <v>82.171184187921824</v>
      </c>
      <c r="X28" s="62">
        <v>32.176811673449308</v>
      </c>
      <c r="Y28" s="66">
        <v>518.63643879372682</v>
      </c>
      <c r="Z28" s="66">
        <v>203.08904128592459</v>
      </c>
      <c r="AA28" s="67">
        <v>0</v>
      </c>
      <c r="AB28" s="68">
        <v>145.9568826569452</v>
      </c>
      <c r="AC28" s="69">
        <v>0</v>
      </c>
      <c r="AD28" s="406">
        <v>21.064975458774704</v>
      </c>
      <c r="AE28" s="406">
        <v>8.0374285117749196</v>
      </c>
      <c r="AF28" s="69">
        <v>28.599760374757967</v>
      </c>
      <c r="AG28" s="68">
        <v>20.332710617130076</v>
      </c>
      <c r="AH28" s="68">
        <v>7.9619371048847984</v>
      </c>
      <c r="AI28" s="68">
        <v>0.71860624726244782</v>
      </c>
      <c r="AJ28" s="69">
        <v>252.96340349515276</v>
      </c>
      <c r="AK28" s="69">
        <v>845.25783271789555</v>
      </c>
      <c r="AL28" s="69">
        <v>2646.0157545725506</v>
      </c>
      <c r="AM28" s="69">
        <v>371.49664306640625</v>
      </c>
      <c r="AN28" s="69">
        <v>1156.864013671875</v>
      </c>
      <c r="AO28" s="69">
        <v>2496.9820718129467</v>
      </c>
      <c r="AP28" s="69">
        <v>418.63168903986616</v>
      </c>
      <c r="AQ28" s="69">
        <v>3649.1277990976969</v>
      </c>
      <c r="AR28" s="69">
        <v>423.43672355016071</v>
      </c>
      <c r="AS28" s="69">
        <v>580.74289550781259</v>
      </c>
    </row>
    <row r="29" spans="1:45" x14ac:dyDescent="0.25">
      <c r="A29" s="11">
        <v>44461</v>
      </c>
      <c r="B29" s="59"/>
      <c r="C29" s="60">
        <v>85.425450996558425</v>
      </c>
      <c r="D29" s="60">
        <v>1016.0510441462201</v>
      </c>
      <c r="E29" s="60">
        <v>20.249113981922434</v>
      </c>
      <c r="F29" s="60">
        <v>0</v>
      </c>
      <c r="G29" s="60">
        <v>2212.2382417043068</v>
      </c>
      <c r="H29" s="61">
        <v>32.280757848421786</v>
      </c>
      <c r="I29" s="59">
        <v>448.41156012217181</v>
      </c>
      <c r="J29" s="60">
        <v>635.3961822191884</v>
      </c>
      <c r="K29" s="60">
        <v>34.915031546354285</v>
      </c>
      <c r="L29" s="50">
        <v>0</v>
      </c>
      <c r="M29" s="5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413.97125042722013</v>
      </c>
      <c r="V29" s="62">
        <v>179.00734517926122</v>
      </c>
      <c r="W29" s="62">
        <v>73.553772793722231</v>
      </c>
      <c r="X29" s="62">
        <v>31.805748786020128</v>
      </c>
      <c r="Y29" s="66">
        <v>457.19859458042282</v>
      </c>
      <c r="Z29" s="66">
        <v>197.69949374762055</v>
      </c>
      <c r="AA29" s="67">
        <v>0</v>
      </c>
      <c r="AB29" s="68">
        <v>138.93105725182275</v>
      </c>
      <c r="AC29" s="69">
        <v>0</v>
      </c>
      <c r="AD29" s="406">
        <v>18.92714113795887</v>
      </c>
      <c r="AE29" s="406">
        <v>8.0511691799483867</v>
      </c>
      <c r="AF29" s="69">
        <v>26.78375760979122</v>
      </c>
      <c r="AG29" s="68">
        <v>18.500025734367266</v>
      </c>
      <c r="AH29" s="68">
        <v>7.9996871498672188</v>
      </c>
      <c r="AI29" s="68">
        <v>0.69812174249531267</v>
      </c>
      <c r="AJ29" s="69">
        <v>222.47287931442264</v>
      </c>
      <c r="AK29" s="69">
        <v>823.61814142862954</v>
      </c>
      <c r="AL29" s="69">
        <v>2640.8694407145181</v>
      </c>
      <c r="AM29" s="69">
        <v>371.49664306640625</v>
      </c>
      <c r="AN29" s="69">
        <v>1156.864013671875</v>
      </c>
      <c r="AO29" s="69">
        <v>2584.3381025950116</v>
      </c>
      <c r="AP29" s="69">
        <v>418.61599246660882</v>
      </c>
      <c r="AQ29" s="69">
        <v>3353.6579775492346</v>
      </c>
      <c r="AR29" s="69">
        <v>433.2080341339111</v>
      </c>
      <c r="AS29" s="69">
        <v>712.11764793396003</v>
      </c>
    </row>
    <row r="30" spans="1:45" x14ac:dyDescent="0.25">
      <c r="A30" s="11">
        <v>44462</v>
      </c>
      <c r="B30" s="59"/>
      <c r="C30" s="60">
        <v>85.024691049258209</v>
      </c>
      <c r="D30" s="60">
        <v>1014.3058038711531</v>
      </c>
      <c r="E30" s="60">
        <v>20.232312780618656</v>
      </c>
      <c r="F30" s="60">
        <v>0</v>
      </c>
      <c r="G30" s="60">
        <v>2166.5864378611254</v>
      </c>
      <c r="H30" s="61">
        <v>32.107129726807358</v>
      </c>
      <c r="I30" s="59">
        <v>466.71073703765819</v>
      </c>
      <c r="J30" s="60">
        <v>635.25304419199779</v>
      </c>
      <c r="K30" s="60">
        <v>34.924088401595725</v>
      </c>
      <c r="L30" s="50">
        <v>0</v>
      </c>
      <c r="M30" s="5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420.55335239200173</v>
      </c>
      <c r="V30" s="62">
        <v>181.8477579815987</v>
      </c>
      <c r="W30" s="62">
        <v>74.186525187127444</v>
      </c>
      <c r="X30" s="62">
        <v>32.078339647022389</v>
      </c>
      <c r="Y30" s="66">
        <v>453.16805978755639</v>
      </c>
      <c r="Z30" s="66">
        <v>195.95039533634559</v>
      </c>
      <c r="AA30" s="67">
        <v>0</v>
      </c>
      <c r="AB30" s="68">
        <v>138.89296643998728</v>
      </c>
      <c r="AC30" s="69">
        <v>0</v>
      </c>
      <c r="AD30" s="406">
        <v>18.924151602024544</v>
      </c>
      <c r="AE30" s="406">
        <v>8.0347397942527312</v>
      </c>
      <c r="AF30" s="69">
        <v>26.782741509543534</v>
      </c>
      <c r="AG30" s="68">
        <v>18.501849207925702</v>
      </c>
      <c r="AH30" s="68">
        <v>8.0002210845267658</v>
      </c>
      <c r="AI30" s="68">
        <v>0.6981284482214527</v>
      </c>
      <c r="AJ30" s="69">
        <v>258.7431888103485</v>
      </c>
      <c r="AK30" s="69">
        <v>860.94337329864504</v>
      </c>
      <c r="AL30" s="69">
        <v>2699.5948483784996</v>
      </c>
      <c r="AM30" s="69">
        <v>371.49664306640625</v>
      </c>
      <c r="AN30" s="69">
        <v>1156.864013671875</v>
      </c>
      <c r="AO30" s="69">
        <v>2649.1478847503658</v>
      </c>
      <c r="AP30" s="69">
        <v>425.49935564994809</v>
      </c>
      <c r="AQ30" s="69">
        <v>3261.0085467020672</v>
      </c>
      <c r="AR30" s="69">
        <v>445.38848950068149</v>
      </c>
      <c r="AS30" s="69">
        <v>799.3965754191081</v>
      </c>
    </row>
    <row r="31" spans="1:45" x14ac:dyDescent="0.25">
      <c r="A31" s="11">
        <v>44463</v>
      </c>
      <c r="B31" s="59"/>
      <c r="C31" s="60">
        <v>84.739323635896</v>
      </c>
      <c r="D31" s="60">
        <v>1013.2576810836797</v>
      </c>
      <c r="E31" s="60">
        <v>20.273234709103903</v>
      </c>
      <c r="F31" s="60">
        <v>0</v>
      </c>
      <c r="G31" s="60">
        <v>2106.2573117574079</v>
      </c>
      <c r="H31" s="61">
        <v>32.175100282828105</v>
      </c>
      <c r="I31" s="59">
        <v>477.16524375279698</v>
      </c>
      <c r="J31" s="60">
        <v>634.55335063934342</v>
      </c>
      <c r="K31" s="60">
        <v>34.857775919636097</v>
      </c>
      <c r="L31" s="50">
        <v>0</v>
      </c>
      <c r="M31" s="5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409.31189019683222</v>
      </c>
      <c r="V31" s="62">
        <v>178.11956535176955</v>
      </c>
      <c r="W31" s="62">
        <v>72.426009579750584</v>
      </c>
      <c r="X31" s="62">
        <v>31.517504513012341</v>
      </c>
      <c r="Y31" s="66">
        <v>442.04613049742937</v>
      </c>
      <c r="Z31" s="66">
        <v>192.36446952901903</v>
      </c>
      <c r="AA31" s="67">
        <v>0</v>
      </c>
      <c r="AB31" s="68">
        <v>139.23293586306892</v>
      </c>
      <c r="AC31" s="69">
        <v>0</v>
      </c>
      <c r="AD31" s="406">
        <v>18.900868366794555</v>
      </c>
      <c r="AE31" s="406">
        <v>8.0265942127137624</v>
      </c>
      <c r="AF31" s="69">
        <v>26.03456261422895</v>
      </c>
      <c r="AG31" s="68">
        <v>17.931665618028134</v>
      </c>
      <c r="AH31" s="68">
        <v>7.8032927027370285</v>
      </c>
      <c r="AI31" s="68">
        <v>0.69678238427762806</v>
      </c>
      <c r="AJ31" s="69">
        <v>272.72716147104899</v>
      </c>
      <c r="AK31" s="69">
        <v>868.78049360911052</v>
      </c>
      <c r="AL31" s="69">
        <v>2643.8992914835608</v>
      </c>
      <c r="AM31" s="69">
        <v>408.804695892334</v>
      </c>
      <c r="AN31" s="69">
        <v>1156.864013671875</v>
      </c>
      <c r="AO31" s="69">
        <v>2608.8298976898191</v>
      </c>
      <c r="AP31" s="69">
        <v>431.20479393005365</v>
      </c>
      <c r="AQ31" s="69">
        <v>3256.8443340301515</v>
      </c>
      <c r="AR31" s="69">
        <v>432.59050922393794</v>
      </c>
      <c r="AS31" s="69">
        <v>717.62850128809612</v>
      </c>
    </row>
    <row r="32" spans="1:45" x14ac:dyDescent="0.25">
      <c r="A32" s="11">
        <v>44464</v>
      </c>
      <c r="B32" s="59"/>
      <c r="C32" s="60">
        <v>84.937872465452358</v>
      </c>
      <c r="D32" s="60">
        <v>1013.7745518366494</v>
      </c>
      <c r="E32" s="60">
        <v>20.2740890810887</v>
      </c>
      <c r="F32" s="60">
        <v>0</v>
      </c>
      <c r="G32" s="60">
        <v>2137.90796852112</v>
      </c>
      <c r="H32" s="61">
        <v>32.151272414128073</v>
      </c>
      <c r="I32" s="59">
        <v>467.72860183715795</v>
      </c>
      <c r="J32" s="60">
        <v>622.01902341842549</v>
      </c>
      <c r="K32" s="60">
        <v>34.179615219434055</v>
      </c>
      <c r="L32" s="50">
        <v>0</v>
      </c>
      <c r="M32" s="5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405.1313353050835</v>
      </c>
      <c r="V32" s="62">
        <v>180.06173440723757</v>
      </c>
      <c r="W32" s="62">
        <v>71.19906392860122</v>
      </c>
      <c r="X32" s="62">
        <v>31.644619465195081</v>
      </c>
      <c r="Y32" s="66">
        <v>438.8696236106498</v>
      </c>
      <c r="Z32" s="66">
        <v>195.05680928501008</v>
      </c>
      <c r="AA32" s="67">
        <v>0</v>
      </c>
      <c r="AB32" s="68">
        <v>137.03254668977698</v>
      </c>
      <c r="AC32" s="69">
        <v>0</v>
      </c>
      <c r="AD32" s="406">
        <v>18.526005841313776</v>
      </c>
      <c r="AE32" s="406">
        <v>8.0302738984656852</v>
      </c>
      <c r="AF32" s="69">
        <v>26.093460020754087</v>
      </c>
      <c r="AG32" s="68">
        <v>17.79804599004548</v>
      </c>
      <c r="AH32" s="68">
        <v>7.9103904110849381</v>
      </c>
      <c r="AI32" s="68">
        <v>0.69230371354917908</v>
      </c>
      <c r="AJ32" s="69">
        <v>239.51976100603738</v>
      </c>
      <c r="AK32" s="69">
        <v>844.43769572575889</v>
      </c>
      <c r="AL32" s="69">
        <v>2737.1420944213864</v>
      </c>
      <c r="AM32" s="69">
        <v>397.13172912597656</v>
      </c>
      <c r="AN32" s="69">
        <v>1156.864013671875</v>
      </c>
      <c r="AO32" s="69">
        <v>2469.5923674265541</v>
      </c>
      <c r="AP32" s="69">
        <v>431.90306638081876</v>
      </c>
      <c r="AQ32" s="69">
        <v>3179.1512683868409</v>
      </c>
      <c r="AR32" s="69">
        <v>423.12983398437495</v>
      </c>
      <c r="AS32" s="69">
        <v>746.74979222615571</v>
      </c>
    </row>
    <row r="33" spans="1:45" x14ac:dyDescent="0.25">
      <c r="A33" s="11">
        <v>44465</v>
      </c>
      <c r="B33" s="59"/>
      <c r="C33" s="60">
        <v>84.773743935425813</v>
      </c>
      <c r="D33" s="60">
        <v>1013.5709488550816</v>
      </c>
      <c r="E33" s="60">
        <v>20.260512654980012</v>
      </c>
      <c r="F33" s="60">
        <v>0</v>
      </c>
      <c r="G33" s="60">
        <v>2081.5860463460222</v>
      </c>
      <c r="H33" s="61">
        <v>32.19473756551745</v>
      </c>
      <c r="I33" s="59">
        <v>470.60768620173104</v>
      </c>
      <c r="J33" s="60">
        <v>621.71943022410085</v>
      </c>
      <c r="K33" s="60">
        <v>34.14429552853106</v>
      </c>
      <c r="L33" s="50">
        <v>0</v>
      </c>
      <c r="M33" s="5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407.046037150394</v>
      </c>
      <c r="V33" s="62">
        <v>180.89814157919398</v>
      </c>
      <c r="W33" s="62">
        <v>70.670427328032758</v>
      </c>
      <c r="X33" s="62">
        <v>31.407132858353233</v>
      </c>
      <c r="Y33" s="66">
        <v>445.78725880897952</v>
      </c>
      <c r="Z33" s="66">
        <v>198.11539555274481</v>
      </c>
      <c r="AA33" s="67">
        <v>0</v>
      </c>
      <c r="AB33" s="68">
        <v>137.23833982679565</v>
      </c>
      <c r="AC33" s="69">
        <v>0</v>
      </c>
      <c r="AD33" s="406">
        <v>18.519472749142231</v>
      </c>
      <c r="AE33" s="406">
        <v>8.0289941840050592</v>
      </c>
      <c r="AF33" s="69">
        <v>26.20108293029995</v>
      </c>
      <c r="AG33" s="68">
        <v>17.879118004677064</v>
      </c>
      <c r="AH33" s="68">
        <v>7.9457823561274203</v>
      </c>
      <c r="AI33" s="68">
        <v>0.69232089010546338</v>
      </c>
      <c r="AJ33" s="69">
        <v>239.66947232882183</v>
      </c>
      <c r="AK33" s="69">
        <v>845.81124846140528</v>
      </c>
      <c r="AL33" s="69">
        <v>2660.4934185028073</v>
      </c>
      <c r="AM33" s="69">
        <v>397.13172912597656</v>
      </c>
      <c r="AN33" s="69">
        <v>1156.864013671875</v>
      </c>
      <c r="AO33" s="69">
        <v>2477.5536938985188</v>
      </c>
      <c r="AP33" s="69">
        <v>434.83760501543674</v>
      </c>
      <c r="AQ33" s="69">
        <v>3197.4912794748948</v>
      </c>
      <c r="AR33" s="69">
        <v>435.15178880691531</v>
      </c>
      <c r="AS33" s="69">
        <v>816.18656759262092</v>
      </c>
    </row>
    <row r="34" spans="1:45" x14ac:dyDescent="0.25">
      <c r="A34" s="11">
        <v>44466</v>
      </c>
      <c r="B34" s="59"/>
      <c r="C34" s="60">
        <v>84.181385389963737</v>
      </c>
      <c r="D34" s="60">
        <v>1017.4166400273635</v>
      </c>
      <c r="E34" s="60">
        <v>20.291894279917106</v>
      </c>
      <c r="F34" s="60">
        <v>0</v>
      </c>
      <c r="G34" s="60">
        <v>2106.4891016642214</v>
      </c>
      <c r="H34" s="61">
        <v>32.173745141426799</v>
      </c>
      <c r="I34" s="59">
        <v>491.96114629109729</v>
      </c>
      <c r="J34" s="60">
        <v>622.35179119110023</v>
      </c>
      <c r="K34" s="60">
        <v>34.262125969926515</v>
      </c>
      <c r="L34" s="50">
        <v>0</v>
      </c>
      <c r="M34" s="5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398.07345198567805</v>
      </c>
      <c r="V34" s="62">
        <v>178.19008497619427</v>
      </c>
      <c r="W34" s="62">
        <v>69.133381209129595</v>
      </c>
      <c r="X34" s="62">
        <v>30.946256302441501</v>
      </c>
      <c r="Y34" s="66">
        <v>433.93456778451355</v>
      </c>
      <c r="Z34" s="66">
        <v>194.24263819133694</v>
      </c>
      <c r="AA34" s="67">
        <v>0</v>
      </c>
      <c r="AB34" s="68">
        <v>137.164008967082</v>
      </c>
      <c r="AC34" s="69">
        <v>0</v>
      </c>
      <c r="AD34" s="406">
        <v>18.53937229272961</v>
      </c>
      <c r="AE34" s="406">
        <v>8.0217493066617536</v>
      </c>
      <c r="AF34" s="69">
        <v>25.654966788821735</v>
      </c>
      <c r="AG34" s="68">
        <v>17.4509395245992</v>
      </c>
      <c r="AH34" s="68">
        <v>7.8115844733967217</v>
      </c>
      <c r="AI34" s="68">
        <v>0.69078368915091715</v>
      </c>
      <c r="AJ34" s="69">
        <v>242.24605622291566</v>
      </c>
      <c r="AK34" s="69">
        <v>846.04101098378499</v>
      </c>
      <c r="AL34" s="69">
        <v>2752.2661163330076</v>
      </c>
      <c r="AM34" s="69">
        <v>528.20578622817993</v>
      </c>
      <c r="AN34" s="69">
        <v>1156.864013671875</v>
      </c>
      <c r="AO34" s="69">
        <v>2510.5482396443681</v>
      </c>
      <c r="AP34" s="69">
        <v>437.76173604329432</v>
      </c>
      <c r="AQ34" s="69">
        <v>3199.0933967590327</v>
      </c>
      <c r="AR34" s="69">
        <v>435.33886769612621</v>
      </c>
      <c r="AS34" s="69">
        <v>804.11657031377172</v>
      </c>
    </row>
    <row r="35" spans="1:45" x14ac:dyDescent="0.25">
      <c r="A35" s="11">
        <v>44467</v>
      </c>
      <c r="B35" s="59"/>
      <c r="C35" s="60">
        <v>85.246811985970297</v>
      </c>
      <c r="D35" s="60">
        <v>1017.7827948888132</v>
      </c>
      <c r="E35" s="60">
        <v>20.278770836691017</v>
      </c>
      <c r="F35" s="60">
        <v>0</v>
      </c>
      <c r="G35" s="60">
        <v>2151.3402921040765</v>
      </c>
      <c r="H35" s="61">
        <v>32.156390690803526</v>
      </c>
      <c r="I35" s="59">
        <v>519.99021987915012</v>
      </c>
      <c r="J35" s="60">
        <v>622.9162217458088</v>
      </c>
      <c r="K35" s="60">
        <v>34.167738523085873</v>
      </c>
      <c r="L35" s="50">
        <v>0</v>
      </c>
      <c r="M35" s="5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413.13641996010853</v>
      </c>
      <c r="V35" s="62">
        <v>177.2705828915835</v>
      </c>
      <c r="W35" s="62">
        <v>72.035782736345183</v>
      </c>
      <c r="X35" s="62">
        <v>30.909463745550202</v>
      </c>
      <c r="Y35" s="66">
        <v>437.93599879083405</v>
      </c>
      <c r="Z35" s="66">
        <v>187.9117067005495</v>
      </c>
      <c r="AA35" s="67">
        <v>0</v>
      </c>
      <c r="AB35" s="68">
        <v>137.35488008922937</v>
      </c>
      <c r="AC35" s="69">
        <v>0</v>
      </c>
      <c r="AD35" s="406">
        <v>18.553157877351385</v>
      </c>
      <c r="AE35" s="406">
        <v>8.0212662654335531</v>
      </c>
      <c r="AF35" s="69">
        <v>25.872408468855735</v>
      </c>
      <c r="AG35" s="68">
        <v>17.818143908405464</v>
      </c>
      <c r="AH35" s="68">
        <v>7.6454957831946757</v>
      </c>
      <c r="AI35" s="68">
        <v>0.6997485090194413</v>
      </c>
      <c r="AJ35" s="69">
        <v>245.66965797742205</v>
      </c>
      <c r="AK35" s="69">
        <v>838.98617118199661</v>
      </c>
      <c r="AL35" s="69">
        <v>2687.6949888865156</v>
      </c>
      <c r="AM35" s="69">
        <v>520.7390171686809</v>
      </c>
      <c r="AN35" s="69">
        <v>1156.864013671875</v>
      </c>
      <c r="AO35" s="69">
        <v>2500.1305643717446</v>
      </c>
      <c r="AP35" s="69">
        <v>432.54702205657964</v>
      </c>
      <c r="AQ35" s="69">
        <v>3151.2986768086748</v>
      </c>
      <c r="AR35" s="69">
        <v>435.23288599650067</v>
      </c>
      <c r="AS35" s="69">
        <v>788.27104415893541</v>
      </c>
    </row>
    <row r="36" spans="1:45" x14ac:dyDescent="0.25">
      <c r="A36" s="11">
        <v>44468</v>
      </c>
      <c r="B36" s="59"/>
      <c r="C36" s="60">
        <v>85.040315202872179</v>
      </c>
      <c r="D36" s="60">
        <v>1016.63398990631</v>
      </c>
      <c r="E36" s="60">
        <v>20.241473221282117</v>
      </c>
      <c r="F36" s="60">
        <v>0</v>
      </c>
      <c r="G36" s="60">
        <v>2167.9579380035393</v>
      </c>
      <c r="H36" s="61">
        <v>32.050804366668117</v>
      </c>
      <c r="I36" s="59">
        <v>549.93170417149929</v>
      </c>
      <c r="J36" s="60">
        <v>623.52658363978037</v>
      </c>
      <c r="K36" s="60">
        <v>34.156145558754588</v>
      </c>
      <c r="L36" s="60">
        <v>0</v>
      </c>
      <c r="M36" s="5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423.01187557250284</v>
      </c>
      <c r="V36" s="62">
        <v>187.99590215017577</v>
      </c>
      <c r="W36" s="62">
        <v>72.431434935716553</v>
      </c>
      <c r="X36" s="62">
        <v>32.190143447729078</v>
      </c>
      <c r="Y36" s="66">
        <v>429.1811606378651</v>
      </c>
      <c r="Z36" s="66">
        <v>190.73766988403599</v>
      </c>
      <c r="AA36" s="67">
        <v>0</v>
      </c>
      <c r="AB36" s="68">
        <v>137.31920828289424</v>
      </c>
      <c r="AC36" s="69">
        <v>0</v>
      </c>
      <c r="AD36" s="406">
        <v>18.573549101804915</v>
      </c>
      <c r="AE36" s="406">
        <v>8.0115228998923449</v>
      </c>
      <c r="AF36" s="69">
        <v>26.216134978665217</v>
      </c>
      <c r="AG36" s="68">
        <v>17.866327125864697</v>
      </c>
      <c r="AH36" s="68">
        <v>7.9401938340177978</v>
      </c>
      <c r="AI36" s="68">
        <v>0.69231831573263136</v>
      </c>
      <c r="AJ36" s="69">
        <v>283.78194793065393</v>
      </c>
      <c r="AK36" s="69">
        <v>869.01649567286199</v>
      </c>
      <c r="AL36" s="69">
        <v>2654.9093986511234</v>
      </c>
      <c r="AM36" s="69">
        <v>437.18989562988281</v>
      </c>
      <c r="AN36" s="69">
        <v>1156.864013671875</v>
      </c>
      <c r="AO36" s="69">
        <v>2421.3648576100668</v>
      </c>
      <c r="AP36" s="69">
        <v>444.63099935849505</v>
      </c>
      <c r="AQ36" s="69">
        <v>3156.9477892557784</v>
      </c>
      <c r="AR36" s="69">
        <v>412.857924747467</v>
      </c>
      <c r="AS36" s="69">
        <v>596.35623073577858</v>
      </c>
    </row>
    <row r="37" spans="1:45" x14ac:dyDescent="0.25">
      <c r="A37" s="11">
        <v>53</v>
      </c>
      <c r="B37" s="65"/>
      <c r="C37" s="66">
        <v>12.694929643472031</v>
      </c>
      <c r="D37" s="66">
        <v>151.18549159367873</v>
      </c>
      <c r="E37" s="60">
        <v>3.5154023105899497</v>
      </c>
      <c r="F37" s="66">
        <v>0</v>
      </c>
      <c r="G37" s="66">
        <v>325.22706985473627</v>
      </c>
      <c r="H37" s="67">
        <v>4.7727548718452448</v>
      </c>
      <c r="I37" s="71">
        <v>566.4082335154219</v>
      </c>
      <c r="J37" s="66">
        <v>622.5879903475435</v>
      </c>
      <c r="K37" s="66">
        <v>34.179533237218827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87">
        <v>0</v>
      </c>
      <c r="S37" s="66">
        <v>0</v>
      </c>
      <c r="T37" s="389">
        <v>0</v>
      </c>
      <c r="U37" s="71">
        <v>428.70085819848208</v>
      </c>
      <c r="V37" s="66">
        <v>26.160092992042976</v>
      </c>
      <c r="W37" s="62">
        <v>70.444095046486837</v>
      </c>
      <c r="X37" s="62">
        <v>4.2986246514654978</v>
      </c>
      <c r="Y37" s="66">
        <v>469.93678567376031</v>
      </c>
      <c r="Z37" s="66">
        <v>28.676383026776193</v>
      </c>
      <c r="AA37" s="67">
        <v>0</v>
      </c>
      <c r="AB37" s="68">
        <v>93.646727063919641</v>
      </c>
      <c r="AC37" s="388">
        <v>0</v>
      </c>
      <c r="AD37" s="406">
        <v>18.529797738317612</v>
      </c>
      <c r="AE37" s="406">
        <v>1.1832067066100402</v>
      </c>
      <c r="AF37" s="388">
        <v>18.752019204033786</v>
      </c>
      <c r="AG37" s="68">
        <v>17.2774454827779</v>
      </c>
      <c r="AH37" s="68">
        <v>1.0543006197696092</v>
      </c>
      <c r="AI37" s="68">
        <v>0.94248771427054101</v>
      </c>
      <c r="AJ37" s="388">
        <v>210.2513151725133</v>
      </c>
      <c r="AK37" s="388">
        <v>573.78396164576202</v>
      </c>
      <c r="AL37" s="388">
        <v>1130.6111897786457</v>
      </c>
      <c r="AM37" s="388">
        <v>437.18989562988281</v>
      </c>
      <c r="AN37" s="388">
        <v>1156.864013671875</v>
      </c>
      <c r="AO37" s="388">
        <v>1792.7627590179447</v>
      </c>
      <c r="AP37" s="388">
        <v>450.43756103515625</v>
      </c>
      <c r="AQ37" s="388">
        <v>2762.9669265747066</v>
      </c>
      <c r="AR37" s="388">
        <v>391.84891613324481</v>
      </c>
      <c r="AS37" s="388">
        <v>519.22170855204274</v>
      </c>
    </row>
    <row r="38" spans="1:45" ht="15.75" thickBot="1" x14ac:dyDescent="0.3">
      <c r="A38" s="11"/>
      <c r="B38" s="379"/>
      <c r="C38" s="381"/>
      <c r="D38" s="381"/>
      <c r="E38" s="60"/>
      <c r="F38" s="381"/>
      <c r="G38" s="381"/>
      <c r="H38" s="382"/>
      <c r="I38" s="383"/>
      <c r="J38" s="381"/>
      <c r="K38" s="381"/>
      <c r="L38" s="381"/>
      <c r="M38" s="50"/>
      <c r="N38" s="382"/>
      <c r="O38" s="383"/>
      <c r="P38" s="381"/>
      <c r="Q38" s="381"/>
      <c r="R38" s="384"/>
      <c r="S38" s="381"/>
      <c r="T38" s="385"/>
      <c r="U38" s="383"/>
      <c r="V38" s="381"/>
      <c r="W38" s="380"/>
      <c r="X38" s="380"/>
      <c r="Y38" s="381"/>
      <c r="Z38" s="381"/>
      <c r="AA38" s="382"/>
      <c r="AB38" s="386"/>
      <c r="AC38" s="85"/>
      <c r="AD38" s="406"/>
      <c r="AE38" s="406"/>
      <c r="AF38" s="85"/>
      <c r="AG38" s="386"/>
      <c r="AH38" s="386"/>
      <c r="AI38" s="386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2451.4727713763773</v>
      </c>
      <c r="D39" s="30">
        <f t="shared" si="0"/>
        <v>29161.155908566714</v>
      </c>
      <c r="E39" s="30">
        <f t="shared" si="0"/>
        <v>579.98237223625154</v>
      </c>
      <c r="F39" s="30">
        <f t="shared" si="0"/>
        <v>0</v>
      </c>
      <c r="G39" s="30">
        <f t="shared" si="0"/>
        <v>66292.084485880478</v>
      </c>
      <c r="H39" s="31">
        <f t="shared" si="0"/>
        <v>929.5279791414755</v>
      </c>
      <c r="I39" s="29">
        <f t="shared" si="0"/>
        <v>11459.530232040081</v>
      </c>
      <c r="J39" s="30">
        <f t="shared" si="0"/>
        <v>20951.714962164559</v>
      </c>
      <c r="K39" s="30">
        <f t="shared" si="0"/>
        <v>1149.8490489880239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13624.428000765796</v>
      </c>
      <c r="V39" s="261">
        <f t="shared" si="0"/>
        <v>5153.8897307365187</v>
      </c>
      <c r="W39" s="261">
        <f t="shared" si="0"/>
        <v>2387.7794498305384</v>
      </c>
      <c r="X39" s="261">
        <f t="shared" si="0"/>
        <v>904.24207200796729</v>
      </c>
      <c r="Y39" s="261">
        <f t="shared" si="0"/>
        <v>15205.581689035338</v>
      </c>
      <c r="Z39" s="261">
        <f t="shared" si="0"/>
        <v>5744.4124036039539</v>
      </c>
      <c r="AA39" s="269">
        <f t="shared" si="0"/>
        <v>0</v>
      </c>
      <c r="AB39" s="272">
        <f t="shared" si="0"/>
        <v>4306.8202629619109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SUM(AJ8:AJ37)</f>
        <v>6851.3105571826291</v>
      </c>
      <c r="AK39" s="272">
        <f t="shared" si="1"/>
        <v>24287.485547828674</v>
      </c>
      <c r="AL39" s="272">
        <f t="shared" si="1"/>
        <v>80095.954443486538</v>
      </c>
      <c r="AM39" s="272">
        <f t="shared" si="1"/>
        <v>12755.549122182527</v>
      </c>
      <c r="AN39" s="272">
        <f t="shared" si="1"/>
        <v>113529.98601417542</v>
      </c>
      <c r="AO39" s="272">
        <f t="shared" si="1"/>
        <v>74519.983811060607</v>
      </c>
      <c r="AP39" s="272">
        <f t="shared" si="1"/>
        <v>13316.904062978427</v>
      </c>
      <c r="AQ39" s="272">
        <f t="shared" si="1"/>
        <v>104598.07388875484</v>
      </c>
      <c r="AR39" s="272">
        <f t="shared" si="1"/>
        <v>13237.408346788086</v>
      </c>
      <c r="AS39" s="272">
        <f t="shared" si="1"/>
        <v>23183.878117243446</v>
      </c>
    </row>
    <row r="40" spans="1:45" ht="15.75" thickBot="1" x14ac:dyDescent="0.3">
      <c r="A40" s="47" t="s">
        <v>172</v>
      </c>
      <c r="B40" s="32">
        <f>Projection!$AC$30</f>
        <v>0.68740698599999983</v>
      </c>
      <c r="C40" s="33">
        <f>Projection!$AC$28</f>
        <v>1.5395973599999997</v>
      </c>
      <c r="D40" s="33">
        <f>Projection!$AC$31</f>
        <v>2.6869453380000001</v>
      </c>
      <c r="E40" s="33">
        <f>Projection!$AC$26</f>
        <v>4.4235360000000004</v>
      </c>
      <c r="F40" s="33">
        <f>Projection!$AC$23</f>
        <v>0</v>
      </c>
      <c r="G40" s="33">
        <f>Projection!$AC$24</f>
        <v>7.6444999999999999E-2</v>
      </c>
      <c r="H40" s="34">
        <f>Projection!$AC$29</f>
        <v>3.8336895000000006</v>
      </c>
      <c r="I40" s="32">
        <f>Projection!$AC$30</f>
        <v>0.68740698599999983</v>
      </c>
      <c r="J40" s="33">
        <f>Projection!$AC$28</f>
        <v>1.5395973599999997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Projection!$AC$28</f>
        <v>1.5395973599999997</v>
      </c>
      <c r="T40" s="265">
        <f>Projection!$AC$28</f>
        <v>1.5395973599999997</v>
      </c>
      <c r="U40" s="263">
        <f>Projection!$AC$27</f>
        <v>0.41249999999999998</v>
      </c>
      <c r="V40" s="264">
        <f>Projection!$AC$27</f>
        <v>0.41249999999999998</v>
      </c>
      <c r="W40" s="264">
        <f>Projection!$AC$22</f>
        <v>1.2429936000000001</v>
      </c>
      <c r="X40" s="264">
        <f>Projection!$AC$22</f>
        <v>1.2429936000000001</v>
      </c>
      <c r="Y40" s="264">
        <f>Projection!$AC$31</f>
        <v>2.6869453380000001</v>
      </c>
      <c r="Z40" s="264">
        <f>Projection!$AC$31</f>
        <v>2.6869453380000001</v>
      </c>
      <c r="AA40" s="270">
        <v>0</v>
      </c>
      <c r="AB40" s="273">
        <f>Projection!$AC$27</f>
        <v>0.41249999999999998</v>
      </c>
      <c r="AC40" s="273">
        <f>Projection!$AC$30</f>
        <v>0.68740698599999983</v>
      </c>
      <c r="AD40" s="397">
        <f>SUM(AD8:AD38)</f>
        <v>624.15839796786895</v>
      </c>
      <c r="AE40" s="397">
        <f>SUM(AE8:AE38)</f>
        <v>231.4216401413689</v>
      </c>
      <c r="AF40" s="276">
        <f>SUM(AF8:AF37)</f>
        <v>834.47560514642123</v>
      </c>
      <c r="AG40" s="276">
        <f>SUM(AG8:AG37)</f>
        <v>598.31016228153953</v>
      </c>
      <c r="AH40" s="276">
        <f>SUM(AH8:AH37)</f>
        <v>226.75725758979041</v>
      </c>
      <c r="AI40" s="276">
        <f>IF(SUM(AG40:AH40)&gt;0, AG40/(AG40+AH40),0)</f>
        <v>0.72516517786491497</v>
      </c>
      <c r="AJ40" s="311">
        <v>7.9000000000000001E-2</v>
      </c>
      <c r="AK40" s="311">
        <f t="shared" ref="AK40:AS40" si="2">$AJ$40</f>
        <v>7.9000000000000001E-2</v>
      </c>
      <c r="AL40" s="311">
        <f t="shared" si="2"/>
        <v>7.9000000000000001E-2</v>
      </c>
      <c r="AM40" s="311">
        <f t="shared" si="2"/>
        <v>7.9000000000000001E-2</v>
      </c>
      <c r="AN40" s="311">
        <f t="shared" si="2"/>
        <v>7.9000000000000001E-2</v>
      </c>
      <c r="AO40" s="311">
        <f t="shared" si="2"/>
        <v>7.9000000000000001E-2</v>
      </c>
      <c r="AP40" s="311">
        <f t="shared" si="2"/>
        <v>7.9000000000000001E-2</v>
      </c>
      <c r="AQ40" s="311">
        <f t="shared" si="2"/>
        <v>7.9000000000000001E-2</v>
      </c>
      <c r="AR40" s="311">
        <f t="shared" si="2"/>
        <v>7.9000000000000001E-2</v>
      </c>
      <c r="AS40" s="311">
        <f t="shared" si="2"/>
        <v>7.9000000000000001E-2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>C40*C39</f>
        <v>3774.2810069229531</v>
      </c>
      <c r="D41" s="36">
        <f t="shared" si="3"/>
        <v>78354.43191921449</v>
      </c>
      <c r="E41" s="36">
        <f t="shared" si="3"/>
        <v>2565.5729029524596</v>
      </c>
      <c r="F41" s="36">
        <f t="shared" si="3"/>
        <v>0</v>
      </c>
      <c r="G41" s="36">
        <f t="shared" si="3"/>
        <v>5067.6983985231327</v>
      </c>
      <c r="H41" s="37">
        <f t="shared" si="3"/>
        <v>3563.5216535908944</v>
      </c>
      <c r="I41" s="35">
        <f t="shared" si="3"/>
        <v>7877.3611377825509</v>
      </c>
      <c r="J41" s="36">
        <f t="shared" si="3"/>
        <v>32257.205043221049</v>
      </c>
      <c r="K41" s="36">
        <f t="shared" si="3"/>
        <v>5086.398662764288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5620.0765503158909</v>
      </c>
      <c r="V41" s="267">
        <f t="shared" si="3"/>
        <v>2125.979513928814</v>
      </c>
      <c r="W41" s="267">
        <f t="shared" si="3"/>
        <v>2967.9945743508806</v>
      </c>
      <c r="X41" s="267">
        <f t="shared" si="3"/>
        <v>1123.9671083566427</v>
      </c>
      <c r="Y41" s="267">
        <f t="shared" si="3"/>
        <v>40856.566830931668</v>
      </c>
      <c r="Z41" s="267">
        <f t="shared" si="3"/>
        <v>15434.92212741302</v>
      </c>
      <c r="AA41" s="271">
        <f t="shared" si="3"/>
        <v>0</v>
      </c>
      <c r="AB41" s="274">
        <f t="shared" si="3"/>
        <v>1776.5633584717882</v>
      </c>
      <c r="AC41" s="274">
        <f t="shared" si="3"/>
        <v>0</v>
      </c>
      <c r="AJ41" s="277">
        <f t="shared" ref="AJ41:AK41" si="4">AJ40*AJ39</f>
        <v>541.25353401742768</v>
      </c>
      <c r="AK41" s="277">
        <f t="shared" si="4"/>
        <v>1918.7113582784652</v>
      </c>
      <c r="AL41" s="277">
        <f t="shared" ref="AL41:AS41" si="5">AL40*AL39</f>
        <v>6327.5804010354368</v>
      </c>
      <c r="AM41" s="277">
        <f t="shared" si="5"/>
        <v>1007.6883806524196</v>
      </c>
      <c r="AN41" s="277">
        <f t="shared" si="5"/>
        <v>8968.8688951198583</v>
      </c>
      <c r="AO41" s="277">
        <f t="shared" si="5"/>
        <v>5887.0787210737881</v>
      </c>
      <c r="AP41" s="277">
        <f t="shared" si="5"/>
        <v>1052.0354209752957</v>
      </c>
      <c r="AQ41" s="277">
        <f t="shared" si="5"/>
        <v>8263.2478372116329</v>
      </c>
      <c r="AR41" s="277">
        <f t="shared" si="5"/>
        <v>1045.7552593962589</v>
      </c>
      <c r="AS41" s="277">
        <f t="shared" si="5"/>
        <v>1831.5263712622323</v>
      </c>
    </row>
    <row r="42" spans="1:45" ht="49.5" customHeight="1" thickTop="1" thickBot="1" x14ac:dyDescent="0.3">
      <c r="A42" s="643">
        <f>AUGUST!$A$42+31</f>
        <v>44441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553.71</v>
      </c>
      <c r="AK42" s="277" t="s">
        <v>197</v>
      </c>
      <c r="AL42" s="277">
        <v>197.79</v>
      </c>
      <c r="AM42" s="277">
        <v>48.94</v>
      </c>
      <c r="AN42" s="277">
        <v>54.71</v>
      </c>
      <c r="AO42" s="277"/>
      <c r="AP42" s="277"/>
      <c r="AQ42" s="277" t="s">
        <v>197</v>
      </c>
      <c r="AR42" s="277">
        <v>51.19</v>
      </c>
      <c r="AS42" s="277">
        <v>241.8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61.5" customHeight="1" thickTop="1" thickBot="1" x14ac:dyDescent="0.3">
      <c r="A44" s="281" t="s">
        <v>135</v>
      </c>
      <c r="B44" s="282">
        <f>SUM(B41:AC41)</f>
        <v>208452.54078874053</v>
      </c>
      <c r="C44" s="12"/>
      <c r="D44" s="281" t="s">
        <v>135</v>
      </c>
      <c r="E44" s="282">
        <f>SUM(B41:H41)+P41+R41+T41+V41+X41+Z41</f>
        <v>112010.37463090244</v>
      </c>
      <c r="F44" s="12"/>
      <c r="G44" s="281" t="s">
        <v>135</v>
      </c>
      <c r="H44" s="282">
        <f>SUM(I41:N41)+O41+Q41+S41+U41+W41+Y41</f>
        <v>94665.602799366316</v>
      </c>
      <c r="I44" s="12"/>
      <c r="J44" s="281" t="s">
        <v>198</v>
      </c>
      <c r="K44" s="282">
        <v>163790</v>
      </c>
      <c r="L44" s="12"/>
      <c r="M44" s="12"/>
      <c r="N44" s="12"/>
      <c r="O44" s="12"/>
      <c r="P44" s="12"/>
      <c r="Q44" s="12"/>
      <c r="R44" s="299" t="s">
        <v>135</v>
      </c>
      <c r="S44" s="300"/>
      <c r="T44" s="296" t="s">
        <v>167</v>
      </c>
      <c r="U44" s="254" t="s">
        <v>168</v>
      </c>
    </row>
    <row r="45" spans="1:45" ht="60" customHeight="1" thickBot="1" x14ac:dyDescent="0.4">
      <c r="A45" s="283" t="s">
        <v>183</v>
      </c>
      <c r="B45" s="284">
        <f>SUM(AJ41:AS41)</f>
        <v>36843.746179022819</v>
      </c>
      <c r="C45" s="370">
        <f>B45/B49</f>
        <v>44.151975146784586</v>
      </c>
      <c r="D45" s="283" t="s">
        <v>183</v>
      </c>
      <c r="E45" s="284">
        <f>AJ41*(1-$AI$40)+AK41+AL41*0.5+AN41+AO41*(1-$AI$40)+AP41*(1-$AI$40)+AQ41*(1-$AI$40)+AR41*0.5+AS41*0.5</f>
        <v>19816.905038600253</v>
      </c>
      <c r="F45" s="24"/>
      <c r="G45" s="283" t="s">
        <v>183</v>
      </c>
      <c r="H45" s="284">
        <f>AJ41*AI40+AL41*0.5+AM41+AO41*AI40+AP41*AI40+AQ41*AI40+AR41*0.5+AS41*0.5</f>
        <v>17026.841140422563</v>
      </c>
      <c r="I45" s="12"/>
      <c r="J45" s="12"/>
      <c r="K45" s="287"/>
      <c r="L45" s="12"/>
      <c r="M45" s="12"/>
      <c r="N45" s="12"/>
      <c r="O45" s="12"/>
      <c r="P45" s="12"/>
      <c r="Q45" s="12"/>
      <c r="R45" s="297" t="s">
        <v>141</v>
      </c>
      <c r="S45" s="298"/>
      <c r="T45" s="253">
        <f>$W$39+$X$39</f>
        <v>3292.0215218385056</v>
      </c>
      <c r="U45" s="255">
        <f>(T45*8.34*0.895)/27000</f>
        <v>0.91009763872070959</v>
      </c>
    </row>
    <row r="46" spans="1:45" ht="32.25" thickBot="1" x14ac:dyDescent="0.3">
      <c r="A46" s="285" t="s">
        <v>184</v>
      </c>
      <c r="B46" s="286">
        <f>SUM(AJ42:AS42)</f>
        <v>1148.1400000000001</v>
      </c>
      <c r="C46" s="12"/>
      <c r="D46" s="285" t="s">
        <v>184</v>
      </c>
      <c r="E46" s="286">
        <f>AJ42*(1-$AI$40)+AL42*0.5+AN42+AO42*(1-$AI$40)+AP42*(1-$AI$40)+AR42*0.5+AS42*0.5</f>
        <v>452.27878936441789</v>
      </c>
      <c r="F46" s="23"/>
      <c r="G46" s="285" t="s">
        <v>184</v>
      </c>
      <c r="H46" s="286">
        <f>AJ42*AI40+AL42*0.5+AM42+AO42*AI40+AP42*AI40+AR42*0.5+AS42*0.5</f>
        <v>695.8612106355821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297" t="s">
        <v>145</v>
      </c>
      <c r="S46" s="298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163790</v>
      </c>
      <c r="C47" s="12"/>
      <c r="D47" s="285" t="s">
        <v>187</v>
      </c>
      <c r="E47" s="286">
        <f>K44*0.5</f>
        <v>81895</v>
      </c>
      <c r="F47" s="24"/>
      <c r="G47" s="285" t="s">
        <v>185</v>
      </c>
      <c r="H47" s="286">
        <f>K44*0.5</f>
        <v>81895</v>
      </c>
      <c r="I47" s="12"/>
      <c r="J47" s="281" t="s">
        <v>198</v>
      </c>
      <c r="K47" s="282">
        <v>260501</v>
      </c>
      <c r="L47" s="12"/>
      <c r="M47" s="12"/>
      <c r="N47" s="12"/>
      <c r="O47" s="12"/>
      <c r="P47" s="12"/>
      <c r="Q47" s="12"/>
      <c r="R47" s="297" t="s">
        <v>148</v>
      </c>
      <c r="S47" s="298"/>
      <c r="T47" s="253">
        <f>$G$39</f>
        <v>66292.084485880478</v>
      </c>
      <c r="U47" s="255">
        <f>T47/40000</f>
        <v>1.657302112147012</v>
      </c>
    </row>
    <row r="48" spans="1:45" ht="24" thickBot="1" x14ac:dyDescent="0.3">
      <c r="A48" s="285" t="s">
        <v>186</v>
      </c>
      <c r="B48" s="286">
        <f>K47</f>
        <v>260501</v>
      </c>
      <c r="C48" s="12"/>
      <c r="D48" s="285" t="s">
        <v>186</v>
      </c>
      <c r="E48" s="286">
        <f>K47*0.5</f>
        <v>130250.5</v>
      </c>
      <c r="F48" s="23"/>
      <c r="G48" s="285" t="s">
        <v>186</v>
      </c>
      <c r="H48" s="286">
        <f>K47*0.5</f>
        <v>130250.5</v>
      </c>
      <c r="I48" s="12"/>
      <c r="J48" s="12"/>
      <c r="K48" s="86"/>
      <c r="L48" s="12"/>
      <c r="M48" s="12"/>
      <c r="N48" s="12"/>
      <c r="O48" s="12"/>
      <c r="P48" s="12"/>
      <c r="Q48" s="12"/>
      <c r="R48" s="297" t="s">
        <v>150</v>
      </c>
      <c r="S48" s="298"/>
      <c r="T48" s="253">
        <f>$L$39</f>
        <v>0</v>
      </c>
      <c r="U48" s="255">
        <f>T48*9.34*0.107</f>
        <v>0</v>
      </c>
    </row>
    <row r="49" spans="1:21" ht="46.5" customHeight="1" thickTop="1" thickBot="1" x14ac:dyDescent="0.3">
      <c r="A49" s="290" t="s">
        <v>194</v>
      </c>
      <c r="B49" s="291">
        <f>AF40</f>
        <v>834.47560514642123</v>
      </c>
      <c r="C49" s="370">
        <f>B44/B49</f>
        <v>249.80064066961481</v>
      </c>
      <c r="D49" s="290" t="s">
        <v>195</v>
      </c>
      <c r="E49" s="291">
        <f>AH40</f>
        <v>226.75725758979041</v>
      </c>
      <c r="F49" s="23"/>
      <c r="G49" s="290" t="s">
        <v>196</v>
      </c>
      <c r="H49" s="291">
        <f>AG40</f>
        <v>598.31016228153953</v>
      </c>
      <c r="I49" s="12"/>
      <c r="J49" s="12"/>
      <c r="K49" s="86"/>
      <c r="L49" s="12"/>
      <c r="M49" s="12"/>
      <c r="N49" s="12"/>
      <c r="O49" s="12"/>
      <c r="P49" s="12"/>
      <c r="Q49" s="12"/>
      <c r="R49" s="297" t="s">
        <v>152</v>
      </c>
      <c r="S49" s="298"/>
      <c r="T49" s="253">
        <f>$E$39+$K$39</f>
        <v>1729.8314212242753</v>
      </c>
      <c r="U49" s="255">
        <f>(T49*8.34*1.04)/45000</f>
        <v>0.33341924033624165</v>
      </c>
    </row>
    <row r="50" spans="1:21" ht="47.25" customHeight="1" thickTop="1" thickBot="1" x14ac:dyDescent="0.3">
      <c r="A50" s="290" t="s">
        <v>223</v>
      </c>
      <c r="B50" s="291">
        <f>SUM(E50+H50)</f>
        <v>855.58003810923788</v>
      </c>
      <c r="C50" s="370"/>
      <c r="D50" s="290" t="s">
        <v>224</v>
      </c>
      <c r="E50" s="291">
        <f>AE40</f>
        <v>231.4216401413689</v>
      </c>
      <c r="F50" s="23"/>
      <c r="G50" s="290" t="s">
        <v>225</v>
      </c>
      <c r="H50" s="291">
        <f>AD40</f>
        <v>624.15839796786895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1" ht="48" customHeight="1" thickTop="1" thickBot="1" x14ac:dyDescent="0.3">
      <c r="A51" s="290" t="s">
        <v>190</v>
      </c>
      <c r="B51" s="292">
        <f>(SUM(B44:B48)/B50)</f>
        <v>783.95403947248928</v>
      </c>
      <c r="C51" s="12"/>
      <c r="D51" s="290" t="s">
        <v>188</v>
      </c>
      <c r="E51" s="293">
        <f>SUM(E44:E48)/E50</f>
        <v>1488.301000064072</v>
      </c>
      <c r="F51" s="371">
        <f>E44/E49</f>
        <v>493.96599615581886</v>
      </c>
      <c r="G51" s="290" t="s">
        <v>189</v>
      </c>
      <c r="H51" s="293">
        <f>SUM(H44:H48)/H50</f>
        <v>519.95423951202076</v>
      </c>
      <c r="I51" s="370">
        <f>H44/H49</f>
        <v>158.2216194329333</v>
      </c>
      <c r="J51" s="12"/>
      <c r="K51" s="86"/>
      <c r="L51" s="12"/>
      <c r="M51" s="12"/>
      <c r="N51" s="12"/>
      <c r="O51" s="12"/>
      <c r="P51" s="12"/>
      <c r="Q51" s="12"/>
      <c r="R51" s="297" t="s">
        <v>153</v>
      </c>
      <c r="S51" s="298"/>
      <c r="T51" s="253">
        <f>$U$39+$V$39+$AB$39</f>
        <v>23085.137994464225</v>
      </c>
      <c r="U51" s="255">
        <f>T51/2000/8</f>
        <v>1.4428211246540141</v>
      </c>
    </row>
    <row r="52" spans="1:21" ht="48" customHeight="1" thickTop="1" thickBot="1" x14ac:dyDescent="0.3">
      <c r="A52" s="280" t="s">
        <v>191</v>
      </c>
      <c r="B52" s="293">
        <f>B51/1000</f>
        <v>0.78395403947248932</v>
      </c>
      <c r="C52" s="12"/>
      <c r="D52" s="280" t="s">
        <v>192</v>
      </c>
      <c r="E52" s="293">
        <f>E51/1000</f>
        <v>1.488301000064072</v>
      </c>
      <c r="F52" s="12"/>
      <c r="G52" s="280" t="s">
        <v>193</v>
      </c>
      <c r="H52" s="293">
        <f>H51/1000</f>
        <v>0.5199542395120208</v>
      </c>
      <c r="I52" s="12"/>
      <c r="J52" s="12"/>
      <c r="K52" s="86"/>
      <c r="L52" s="12"/>
      <c r="M52" s="12"/>
      <c r="N52" s="12"/>
      <c r="O52" s="12"/>
      <c r="P52" s="12"/>
      <c r="Q52" s="12"/>
      <c r="R52" s="297" t="s">
        <v>154</v>
      </c>
      <c r="S52" s="298"/>
      <c r="T52" s="253">
        <f>$C$39+$J$39+$S$39+$T$39</f>
        <v>23403.187733540937</v>
      </c>
      <c r="U52" s="255">
        <f>(T52*8.34*1.4)/45000</f>
        <v>6.0723471105960884</v>
      </c>
    </row>
    <row r="53" spans="1:21" ht="48" customHeight="1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7" t="s">
        <v>155</v>
      </c>
      <c r="S53" s="298"/>
      <c r="T53" s="253">
        <f>$H$39</f>
        <v>929.5279791414755</v>
      </c>
      <c r="U53" s="255">
        <f>(T53*8.34*1.135)/45000</f>
        <v>0.19552930883900652</v>
      </c>
    </row>
    <row r="54" spans="1:21" ht="47.25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7" t="s">
        <v>156</v>
      </c>
      <c r="S54" s="298"/>
      <c r="T54" s="253">
        <f>$B$39+$I$39+$AC$39</f>
        <v>11459.530232040081</v>
      </c>
      <c r="U54" s="255">
        <f>(T54*8.34*1.029*0.03)/3300</f>
        <v>0.8940371283375953</v>
      </c>
    </row>
    <row r="55" spans="1:21" ht="78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50111.150001206013</v>
      </c>
      <c r="U55" s="258">
        <f>(T55*1.54*8.34)/45000</f>
        <v>14.302390359010879</v>
      </c>
    </row>
    <row r="56" spans="1:21" ht="71.25" customHeight="1" thickTop="1" x14ac:dyDescent="0.25">
      <c r="A56" s="302"/>
      <c r="B56" s="302"/>
      <c r="C56" s="302"/>
      <c r="D56" s="302"/>
      <c r="E56" s="30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94.5" customHeight="1" x14ac:dyDescent="0.25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46.5" customHeight="1" x14ac:dyDescent="0.25">
      <c r="A58" s="675"/>
      <c r="B58" s="676"/>
      <c r="C58" s="676"/>
      <c r="D58" s="676"/>
      <c r="E58" s="676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8.75" x14ac:dyDescent="0.25">
      <c r="A59" s="675"/>
      <c r="B59" s="676"/>
      <c r="C59" s="676"/>
      <c r="D59" s="676"/>
      <c r="E59" s="676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ht="15" customHeight="1" x14ac:dyDescent="0.25">
      <c r="A60" s="278"/>
      <c r="B60" s="279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x14ac:dyDescent="0.25">
      <c r="A61" s="279"/>
      <c r="B61" s="27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ht="15" customHeight="1" x14ac:dyDescent="0.25">
      <c r="A62" s="278"/>
      <c r="B62" s="27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21" x14ac:dyDescent="0.25">
      <c r="A63" s="279"/>
      <c r="B63" s="279"/>
      <c r="C63" s="12"/>
      <c r="D63" s="12"/>
      <c r="E63" s="12"/>
      <c r="F63" s="12"/>
      <c r="G63" s="12"/>
      <c r="H63" s="12"/>
      <c r="I63" s="12"/>
      <c r="J63" s="12"/>
      <c r="K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6" spans="1:25" x14ac:dyDescent="0.25">
      <c r="A66" s="12"/>
      <c r="B66" s="12"/>
      <c r="C66" s="12"/>
      <c r="D66" s="12"/>
      <c r="E66" s="12"/>
      <c r="F66" s="12"/>
      <c r="G66" s="12"/>
    </row>
    <row r="68" spans="1:25" x14ac:dyDescent="0.25">
      <c r="A68" s="45"/>
      <c r="B68" s="45"/>
      <c r="C68" s="45"/>
      <c r="D68" s="45"/>
      <c r="E68" s="45"/>
      <c r="F68" s="45"/>
      <c r="G68" s="45"/>
      <c r="H68" s="45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93" customHeight="1" x14ac:dyDescent="0.25">
      <c r="A71" s="12"/>
      <c r="B71" s="12"/>
      <c r="S71" s="12"/>
      <c r="T71" s="12"/>
      <c r="U71" s="12"/>
      <c r="V71" s="12"/>
      <c r="W71" s="12"/>
      <c r="X71" s="12"/>
      <c r="Y71" s="12"/>
    </row>
    <row r="72" spans="1:25" ht="75" customHeight="1" x14ac:dyDescent="0.25">
      <c r="A72" s="12"/>
      <c r="B72" s="12"/>
    </row>
    <row r="73" spans="1:25" ht="51.75" customHeight="1" x14ac:dyDescent="0.25">
      <c r="A73" s="12"/>
      <c r="B73" s="12"/>
    </row>
    <row r="74" spans="1:25" x14ac:dyDescent="0.25">
      <c r="A74" s="12"/>
      <c r="B74" s="12"/>
      <c r="C74" s="12"/>
      <c r="D74" s="12"/>
    </row>
    <row r="75" spans="1:25" x14ac:dyDescent="0.25">
      <c r="A75" s="12"/>
      <c r="B75" s="12"/>
      <c r="C75" s="12"/>
      <c r="D75" s="12"/>
      <c r="E75" s="12"/>
    </row>
    <row r="76" spans="1:25" x14ac:dyDescent="0.25">
      <c r="A76" s="12"/>
      <c r="B76" s="12"/>
      <c r="C76" s="12"/>
      <c r="D76" s="12"/>
      <c r="E76" s="12"/>
    </row>
  </sheetData>
  <sheetProtection algorithmName="SHA-512" hashValue="QeEJ9fZRwbqmrYiOgfFN708WBiAatRurhdfbzxrFjRKBUM/R/YW469VN8dXQWvRwYcPqd0RGKtjAEIZfov5JOw==" saltValue="y8T0E6zxJQWd+dSoNX2vng==" spinCount="100000" sheet="1" selectLockedCells="1" selectUnlockedCells="1"/>
  <mergeCells count="34"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G4:AG5"/>
    <mergeCell ref="AH4:AH5"/>
    <mergeCell ref="AI4:AI5"/>
    <mergeCell ref="O4:T5"/>
    <mergeCell ref="U4:AA5"/>
    <mergeCell ref="AB4:AB5"/>
    <mergeCell ref="AC4:AC5"/>
    <mergeCell ref="AD4:AD5"/>
    <mergeCell ref="AE4:AE5"/>
    <mergeCell ref="B4:H5"/>
    <mergeCell ref="I4:N5"/>
    <mergeCell ref="J43:K43"/>
    <mergeCell ref="A42:K42"/>
    <mergeCell ref="AF4:AF5"/>
    <mergeCell ref="R43:U43"/>
    <mergeCell ref="A43:B43"/>
    <mergeCell ref="D43:E43"/>
    <mergeCell ref="G43:H43"/>
    <mergeCell ref="R55:S55"/>
    <mergeCell ref="A55:E55"/>
    <mergeCell ref="A58:E58"/>
    <mergeCell ref="A59:E59"/>
    <mergeCell ref="J46:K46"/>
    <mergeCell ref="A54:E54"/>
  </mergeCells>
  <printOptions horizontalCentered="1"/>
  <pageMargins left="0.33" right="0.19" top="0.75" bottom="0.75" header="0.3" footer="0.3"/>
  <pageSetup paperSize="17" scale="71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C67"/>
  <sheetViews>
    <sheetView topLeftCell="A33" zoomScale="75" zoomScaleNormal="75" workbookViewId="0">
      <selection activeCell="K48" sqref="K48"/>
    </sheetView>
  </sheetViews>
  <sheetFormatPr defaultRowHeight="15" x14ac:dyDescent="0.25"/>
  <cols>
    <col min="1" max="1" width="38.710937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6" width="20.42578125" customWidth="1"/>
    <col min="47" max="47" width="20.285156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9" t="s">
        <v>206</v>
      </c>
    </row>
    <row r="4" spans="1:55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</row>
    <row r="5" spans="1:55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44470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575.88600670496771</v>
      </c>
      <c r="J8" s="50">
        <v>622.29798510869307</v>
      </c>
      <c r="K8" s="50">
        <v>34.13568451901272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441.39704091814116</v>
      </c>
      <c r="V8" s="54">
        <v>0</v>
      </c>
      <c r="W8" s="54">
        <v>72.203538473447125</v>
      </c>
      <c r="X8" s="54">
        <v>0</v>
      </c>
      <c r="Y8" s="54">
        <v>514.52077792485466</v>
      </c>
      <c r="Z8" s="54">
        <v>0</v>
      </c>
      <c r="AA8" s="55">
        <v>0</v>
      </c>
      <c r="AB8" s="56">
        <v>87.0141279379514</v>
      </c>
      <c r="AC8" s="57">
        <v>0</v>
      </c>
      <c r="AD8" s="405">
        <v>18.51959051936025</v>
      </c>
      <c r="AE8" s="405">
        <v>0</v>
      </c>
      <c r="AF8" s="57">
        <v>18.214116894536552</v>
      </c>
      <c r="AG8" s="58">
        <v>17.844537976723394</v>
      </c>
      <c r="AH8" s="58">
        <v>0</v>
      </c>
      <c r="AI8" s="58">
        <v>1</v>
      </c>
      <c r="AJ8" s="57">
        <v>207.63682173093162</v>
      </c>
      <c r="AK8" s="57">
        <v>438.32845698992418</v>
      </c>
      <c r="AL8" s="57">
        <v>849.80550072987876</v>
      </c>
      <c r="AM8" s="57">
        <v>437.18989562988281</v>
      </c>
      <c r="AN8" s="57">
        <v>1156.864013671875</v>
      </c>
      <c r="AO8" s="57">
        <v>1727.55888633728</v>
      </c>
      <c r="AP8" s="57">
        <v>442.41896524429319</v>
      </c>
      <c r="AQ8" s="57">
        <v>2542.6291376113891</v>
      </c>
      <c r="AR8" s="57">
        <v>398.14901851018266</v>
      </c>
      <c r="AS8" s="57">
        <v>655.45544897715263</v>
      </c>
    </row>
    <row r="9" spans="1:55" x14ac:dyDescent="0.25">
      <c r="A9" s="11">
        <v>44471</v>
      </c>
      <c r="B9" s="59"/>
      <c r="C9" s="60">
        <v>0</v>
      </c>
      <c r="D9" s="60">
        <v>0</v>
      </c>
      <c r="E9" s="448">
        <v>0</v>
      </c>
      <c r="F9" s="60">
        <v>0</v>
      </c>
      <c r="G9" s="60">
        <v>0</v>
      </c>
      <c r="H9" s="61">
        <v>0</v>
      </c>
      <c r="I9" s="59">
        <v>575.892385323844</v>
      </c>
      <c r="J9" s="60">
        <v>622.27910957336303</v>
      </c>
      <c r="K9" s="60">
        <v>34.115833635131494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444.13700021107945</v>
      </c>
      <c r="V9" s="62">
        <v>0</v>
      </c>
      <c r="W9" s="62">
        <v>74.023896431922893</v>
      </c>
      <c r="X9" s="62">
        <v>0</v>
      </c>
      <c r="Y9" s="66">
        <v>515.95441711743695</v>
      </c>
      <c r="Z9" s="66">
        <v>0</v>
      </c>
      <c r="AA9" s="67">
        <v>0</v>
      </c>
      <c r="AB9" s="68">
        <v>87.013332139120195</v>
      </c>
      <c r="AC9" s="69">
        <v>0</v>
      </c>
      <c r="AD9" s="406">
        <v>18.52367387286094</v>
      </c>
      <c r="AE9" s="406">
        <v>0</v>
      </c>
      <c r="AF9" s="69">
        <v>18.247123570574647</v>
      </c>
      <c r="AG9" s="68">
        <v>17.880807701050735</v>
      </c>
      <c r="AH9" s="68">
        <v>0</v>
      </c>
      <c r="AI9" s="68">
        <v>1</v>
      </c>
      <c r="AJ9" s="69">
        <v>231.29524004459381</v>
      </c>
      <c r="AK9" s="69">
        <v>466.64807907740271</v>
      </c>
      <c r="AL9" s="69">
        <v>790.57255897521964</v>
      </c>
      <c r="AM9" s="69">
        <v>437.18989562988281</v>
      </c>
      <c r="AN9" s="69">
        <v>1156.864013671875</v>
      </c>
      <c r="AO9" s="69">
        <v>1743.8669144312544</v>
      </c>
      <c r="AP9" s="69">
        <v>445.19181305567423</v>
      </c>
      <c r="AQ9" s="69">
        <v>2209.2167441685997</v>
      </c>
      <c r="AR9" s="69">
        <v>392.11612472534188</v>
      </c>
      <c r="AS9" s="69">
        <v>608.7549467086792</v>
      </c>
    </row>
    <row r="10" spans="1:55" x14ac:dyDescent="0.25">
      <c r="A10" s="11">
        <v>44472</v>
      </c>
      <c r="B10" s="59"/>
      <c r="C10" s="60">
        <v>0</v>
      </c>
      <c r="D10" s="60">
        <v>0</v>
      </c>
      <c r="E10" s="448">
        <v>0</v>
      </c>
      <c r="F10" s="60">
        <v>0</v>
      </c>
      <c r="G10" s="60">
        <v>0</v>
      </c>
      <c r="H10" s="61">
        <v>0</v>
      </c>
      <c r="I10" s="59">
        <v>583.71817741394011</v>
      </c>
      <c r="J10" s="60">
        <v>621.76835670471144</v>
      </c>
      <c r="K10" s="60">
        <v>34.210638438661896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437.32209195030941</v>
      </c>
      <c r="V10" s="62">
        <v>0</v>
      </c>
      <c r="W10" s="62">
        <v>74.255538407961495</v>
      </c>
      <c r="X10" s="62">
        <v>0</v>
      </c>
      <c r="Y10" s="66">
        <v>515.40382696787526</v>
      </c>
      <c r="Z10" s="66">
        <v>0</v>
      </c>
      <c r="AA10" s="67">
        <v>0</v>
      </c>
      <c r="AB10" s="68">
        <v>87.123161421882529</v>
      </c>
      <c r="AC10" s="69">
        <v>0</v>
      </c>
      <c r="AD10" s="406">
        <v>18.507544397064965</v>
      </c>
      <c r="AE10" s="406">
        <v>0</v>
      </c>
      <c r="AF10" s="69">
        <v>18.210702361000894</v>
      </c>
      <c r="AG10" s="68">
        <v>17.864648713942007</v>
      </c>
      <c r="AH10" s="68">
        <v>0</v>
      </c>
      <c r="AI10" s="68">
        <v>1</v>
      </c>
      <c r="AJ10" s="69">
        <v>248.69403816858923</v>
      </c>
      <c r="AK10" s="69">
        <v>490.65902182261152</v>
      </c>
      <c r="AL10" s="69">
        <v>876.6870301882426</v>
      </c>
      <c r="AM10" s="69">
        <v>437.18989562988281</v>
      </c>
      <c r="AN10" s="69">
        <v>1156.864013671875</v>
      </c>
      <c r="AO10" s="69">
        <v>1708.7557074228926</v>
      </c>
      <c r="AP10" s="69">
        <v>364.70418787002563</v>
      </c>
      <c r="AQ10" s="69">
        <v>2240.360815811157</v>
      </c>
      <c r="AR10" s="69">
        <v>402.8289439519246</v>
      </c>
      <c r="AS10" s="69">
        <v>660.86967395146678</v>
      </c>
    </row>
    <row r="11" spans="1:55" x14ac:dyDescent="0.25">
      <c r="A11" s="11">
        <v>44473</v>
      </c>
      <c r="B11" s="59"/>
      <c r="C11" s="60">
        <v>0</v>
      </c>
      <c r="D11" s="60">
        <v>0</v>
      </c>
      <c r="E11" s="448">
        <v>0</v>
      </c>
      <c r="F11" s="60">
        <v>0</v>
      </c>
      <c r="G11" s="60">
        <v>0</v>
      </c>
      <c r="H11" s="61">
        <v>0</v>
      </c>
      <c r="I11" s="59">
        <v>637.21190150578968</v>
      </c>
      <c r="J11" s="60">
        <v>621.75996688206874</v>
      </c>
      <c r="K11" s="60">
        <v>34.302669760584834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426.658917801732</v>
      </c>
      <c r="V11" s="62">
        <v>0</v>
      </c>
      <c r="W11" s="62">
        <v>71.011775911143985</v>
      </c>
      <c r="X11" s="62">
        <v>0</v>
      </c>
      <c r="Y11" s="66">
        <v>509.28470205990175</v>
      </c>
      <c r="Z11" s="66">
        <v>-1.2765321704515464</v>
      </c>
      <c r="AA11" s="67">
        <v>0</v>
      </c>
      <c r="AB11" s="68">
        <v>87.152947229807523</v>
      </c>
      <c r="AC11" s="69">
        <v>0</v>
      </c>
      <c r="AD11" s="406">
        <v>18.5043313715938</v>
      </c>
      <c r="AE11" s="406">
        <v>0</v>
      </c>
      <c r="AF11" s="69">
        <v>17.954927451743004</v>
      </c>
      <c r="AG11" s="68">
        <v>17.610935030689305</v>
      </c>
      <c r="AH11" s="68">
        <v>-4.4142156690509304E-2</v>
      </c>
      <c r="AI11" s="68">
        <v>1.0025128181909542</v>
      </c>
      <c r="AJ11" s="69">
        <v>252.67249915599828</v>
      </c>
      <c r="AK11" s="69">
        <v>509.42384297053019</v>
      </c>
      <c r="AL11" s="69">
        <v>970.43935127258305</v>
      </c>
      <c r="AM11" s="69">
        <v>437.18989562988281</v>
      </c>
      <c r="AN11" s="69">
        <v>1156.864013671875</v>
      </c>
      <c r="AO11" s="69">
        <v>1778.1740638732913</v>
      </c>
      <c r="AP11" s="69">
        <v>367.99050901730851</v>
      </c>
      <c r="AQ11" s="69">
        <v>2211.5234571456908</v>
      </c>
      <c r="AR11" s="69">
        <v>400.88846344947814</v>
      </c>
      <c r="AS11" s="69">
        <v>700.24784011840825</v>
      </c>
    </row>
    <row r="12" spans="1:55" x14ac:dyDescent="0.25">
      <c r="A12" s="11">
        <v>44474</v>
      </c>
      <c r="B12" s="59"/>
      <c r="C12" s="60">
        <v>0</v>
      </c>
      <c r="D12" s="60">
        <v>0</v>
      </c>
      <c r="E12" s="448">
        <v>0</v>
      </c>
      <c r="F12" s="60">
        <v>0</v>
      </c>
      <c r="G12" s="60">
        <v>0</v>
      </c>
      <c r="H12" s="61">
        <v>0</v>
      </c>
      <c r="I12" s="59">
        <v>648.67849763234528</v>
      </c>
      <c r="J12" s="60">
        <v>627.91601111094258</v>
      </c>
      <c r="K12" s="60">
        <v>34.55445757110914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434.88834549597567</v>
      </c>
      <c r="V12" s="62">
        <v>0</v>
      </c>
      <c r="W12" s="62">
        <v>72.282949709520764</v>
      </c>
      <c r="X12" s="62">
        <v>0</v>
      </c>
      <c r="Y12" s="66">
        <v>500.80791046154064</v>
      </c>
      <c r="Z12" s="66">
        <v>-1.3718037956108247</v>
      </c>
      <c r="AA12" s="67">
        <v>0</v>
      </c>
      <c r="AB12" s="68">
        <v>88.044861735239024</v>
      </c>
      <c r="AC12" s="69">
        <v>0</v>
      </c>
      <c r="AD12" s="406">
        <v>18.688232380237807</v>
      </c>
      <c r="AE12" s="406">
        <v>0</v>
      </c>
      <c r="AF12" s="69">
        <v>17.989537126488109</v>
      </c>
      <c r="AG12" s="68">
        <v>17.731176406462478</v>
      </c>
      <c r="AH12" s="68">
        <v>-4.8568911526605363E-2</v>
      </c>
      <c r="AI12" s="68">
        <v>1.0027467052888277</v>
      </c>
      <c r="AJ12" s="69">
        <v>260.60399782657623</v>
      </c>
      <c r="AK12" s="69">
        <v>519.81828749974568</v>
      </c>
      <c r="AL12" s="69">
        <v>948.59612172444668</v>
      </c>
      <c r="AM12" s="69">
        <v>437.18989562988281</v>
      </c>
      <c r="AN12" s="69">
        <v>1156.864013671875</v>
      </c>
      <c r="AO12" s="69">
        <v>1777.4249842325842</v>
      </c>
      <c r="AP12" s="69">
        <v>366.04380483627324</v>
      </c>
      <c r="AQ12" s="69">
        <v>2203.0202994028732</v>
      </c>
      <c r="AR12" s="69">
        <v>399.02250812848411</v>
      </c>
      <c r="AS12" s="69">
        <v>717.75709339777632</v>
      </c>
    </row>
    <row r="13" spans="1:55" x14ac:dyDescent="0.25">
      <c r="A13" s="11">
        <v>44475</v>
      </c>
      <c r="B13" s="59"/>
      <c r="C13" s="60">
        <v>0</v>
      </c>
      <c r="D13" s="60">
        <v>0</v>
      </c>
      <c r="E13" s="448">
        <v>0</v>
      </c>
      <c r="F13" s="60">
        <v>0</v>
      </c>
      <c r="G13" s="60">
        <v>0</v>
      </c>
      <c r="H13" s="61">
        <v>0</v>
      </c>
      <c r="I13" s="59">
        <v>707.93989407221363</v>
      </c>
      <c r="J13" s="60">
        <v>676.31243925094782</v>
      </c>
      <c r="K13" s="60">
        <v>37.176540006200497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462.03428594405301</v>
      </c>
      <c r="V13" s="62">
        <v>0</v>
      </c>
      <c r="W13" s="62">
        <v>78.973354427706113</v>
      </c>
      <c r="X13" s="62">
        <v>0</v>
      </c>
      <c r="Y13" s="66">
        <v>516.853881920199</v>
      </c>
      <c r="Z13" s="66">
        <v>-1.6801644849981465</v>
      </c>
      <c r="AA13" s="67">
        <v>0</v>
      </c>
      <c r="AB13" s="68">
        <v>94.758571253884327</v>
      </c>
      <c r="AC13" s="69">
        <v>0</v>
      </c>
      <c r="AD13" s="406">
        <v>20.129866621762744</v>
      </c>
      <c r="AE13" s="406">
        <v>0</v>
      </c>
      <c r="AF13" s="69">
        <v>19.297234549125001</v>
      </c>
      <c r="AG13" s="68">
        <v>19.047283568330656</v>
      </c>
      <c r="AH13" s="68">
        <v>-6.1918020753375498E-2</v>
      </c>
      <c r="AI13" s="68">
        <v>1.0032613552053138</v>
      </c>
      <c r="AJ13" s="69">
        <v>259.32208048502599</v>
      </c>
      <c r="AK13" s="69">
        <v>409.49936928749082</v>
      </c>
      <c r="AL13" s="69">
        <v>905.65938936869293</v>
      </c>
      <c r="AM13" s="69">
        <v>437.18989562988281</v>
      </c>
      <c r="AN13" s="69">
        <v>1156.864013671875</v>
      </c>
      <c r="AO13" s="69">
        <v>1776.7736675262449</v>
      </c>
      <c r="AP13" s="69">
        <v>370.37744668324785</v>
      </c>
      <c r="AQ13" s="69">
        <v>2383.306914520263</v>
      </c>
      <c r="AR13" s="69">
        <v>411.70904595057175</v>
      </c>
      <c r="AS13" s="69">
        <v>746.14990955988571</v>
      </c>
    </row>
    <row r="14" spans="1:55" x14ac:dyDescent="0.25">
      <c r="A14" s="11">
        <v>44476</v>
      </c>
      <c r="B14" s="59"/>
      <c r="C14" s="60">
        <v>56.364815016587613</v>
      </c>
      <c r="D14" s="60">
        <v>0</v>
      </c>
      <c r="E14" s="448">
        <v>0</v>
      </c>
      <c r="F14" s="60">
        <v>0</v>
      </c>
      <c r="G14" s="60">
        <v>0</v>
      </c>
      <c r="H14" s="61">
        <v>0</v>
      </c>
      <c r="I14" s="59">
        <v>682.18814756075517</v>
      </c>
      <c r="J14" s="60">
        <v>685.10220298767172</v>
      </c>
      <c r="K14" s="60">
        <v>37.820540255308117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452.74718634287541</v>
      </c>
      <c r="V14" s="62">
        <v>0</v>
      </c>
      <c r="W14" s="62">
        <v>77.768873699506173</v>
      </c>
      <c r="X14" s="62">
        <v>0</v>
      </c>
      <c r="Y14" s="66">
        <v>509.36628503799494</v>
      </c>
      <c r="Z14" s="66">
        <v>0</v>
      </c>
      <c r="AA14" s="67">
        <v>0</v>
      </c>
      <c r="AB14" s="68">
        <v>96.229668702020888</v>
      </c>
      <c r="AC14" s="69">
        <v>0</v>
      </c>
      <c r="AD14" s="406">
        <v>20.388672031798979</v>
      </c>
      <c r="AE14" s="406">
        <v>0</v>
      </c>
      <c r="AF14" s="69">
        <v>19.254115828540584</v>
      </c>
      <c r="AG14" s="68">
        <v>18.992925487512181</v>
      </c>
      <c r="AH14" s="68">
        <v>0</v>
      </c>
      <c r="AI14" s="68">
        <v>1</v>
      </c>
      <c r="AJ14" s="69">
        <v>269.3611718972524</v>
      </c>
      <c r="AK14" s="69">
        <v>417.2123110294342</v>
      </c>
      <c r="AL14" s="69">
        <v>968.71253588994352</v>
      </c>
      <c r="AM14" s="69">
        <v>437.18989562988281</v>
      </c>
      <c r="AN14" s="69">
        <v>1156.864013671875</v>
      </c>
      <c r="AO14" s="69">
        <v>1814.8466279347738</v>
      </c>
      <c r="AP14" s="69">
        <v>370.54714053471889</v>
      </c>
      <c r="AQ14" s="69">
        <v>2458.6305664062497</v>
      </c>
      <c r="AR14" s="69">
        <v>417.84462849299115</v>
      </c>
      <c r="AS14" s="69">
        <v>726.47697432835912</v>
      </c>
    </row>
    <row r="15" spans="1:55" x14ac:dyDescent="0.25">
      <c r="A15" s="11">
        <v>44477</v>
      </c>
      <c r="B15" s="59"/>
      <c r="C15" s="60">
        <v>16.027527604500449</v>
      </c>
      <c r="D15" s="60">
        <v>0</v>
      </c>
      <c r="E15" s="448">
        <v>0</v>
      </c>
      <c r="F15" s="60">
        <v>0</v>
      </c>
      <c r="G15" s="60">
        <v>0</v>
      </c>
      <c r="H15" s="61">
        <v>0</v>
      </c>
      <c r="I15" s="59">
        <v>442.76943941116315</v>
      </c>
      <c r="J15" s="60">
        <v>685.82103211084996</v>
      </c>
      <c r="K15" s="60">
        <v>37.80617908438041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466.5569232304872</v>
      </c>
      <c r="V15" s="62">
        <v>0</v>
      </c>
      <c r="W15" s="62">
        <v>80.065682514508765</v>
      </c>
      <c r="X15" s="62">
        <v>0</v>
      </c>
      <c r="Y15" s="66">
        <v>520.18647753397624</v>
      </c>
      <c r="Z15" s="66">
        <v>0</v>
      </c>
      <c r="AA15" s="67">
        <v>0</v>
      </c>
      <c r="AB15" s="68">
        <v>96.102006573146809</v>
      </c>
      <c r="AC15" s="69">
        <v>0</v>
      </c>
      <c r="AD15" s="406">
        <v>20.410138256765375</v>
      </c>
      <c r="AE15" s="406">
        <v>0</v>
      </c>
      <c r="AF15" s="69">
        <v>19.979387936989475</v>
      </c>
      <c r="AG15" s="68">
        <v>19.738555776885597</v>
      </c>
      <c r="AH15" s="68">
        <v>0</v>
      </c>
      <c r="AI15" s="68">
        <v>1</v>
      </c>
      <c r="AJ15" s="69">
        <v>263.61519691149397</v>
      </c>
      <c r="AK15" s="69">
        <v>575.60147962570181</v>
      </c>
      <c r="AL15" s="69">
        <v>957.62309195200612</v>
      </c>
      <c r="AM15" s="69">
        <v>437.18989562988281</v>
      </c>
      <c r="AN15" s="69">
        <v>1156.864013671875</v>
      </c>
      <c r="AO15" s="69">
        <v>1816.1485038757321</v>
      </c>
      <c r="AP15" s="69">
        <v>372.2750249703725</v>
      </c>
      <c r="AQ15" s="69">
        <v>2436.5095058441157</v>
      </c>
      <c r="AR15" s="69">
        <v>413.43850838343309</v>
      </c>
      <c r="AS15" s="69">
        <v>671.84057699839275</v>
      </c>
    </row>
    <row r="16" spans="1:55" x14ac:dyDescent="0.25">
      <c r="A16" s="11">
        <v>44478</v>
      </c>
      <c r="B16" s="59"/>
      <c r="C16" s="60">
        <v>0</v>
      </c>
      <c r="D16" s="60">
        <v>0</v>
      </c>
      <c r="E16" s="448">
        <v>0</v>
      </c>
      <c r="F16" s="60">
        <v>0</v>
      </c>
      <c r="G16" s="60">
        <v>0</v>
      </c>
      <c r="H16" s="61">
        <v>0</v>
      </c>
      <c r="I16" s="59">
        <v>364.04884498914066</v>
      </c>
      <c r="J16" s="60">
        <v>687.49309336344425</v>
      </c>
      <c r="K16" s="60">
        <v>37.887765946984345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468.42561842600674</v>
      </c>
      <c r="V16" s="62">
        <v>0</v>
      </c>
      <c r="W16" s="62">
        <v>80.833307027816659</v>
      </c>
      <c r="X16" s="62">
        <v>0</v>
      </c>
      <c r="Y16" s="66">
        <v>502.45016264915461</v>
      </c>
      <c r="Z16" s="66">
        <v>0</v>
      </c>
      <c r="AA16" s="67">
        <v>0</v>
      </c>
      <c r="AB16" s="68">
        <v>96.461848301358302</v>
      </c>
      <c r="AC16" s="69">
        <v>0</v>
      </c>
      <c r="AD16" s="406">
        <v>20.459399244869495</v>
      </c>
      <c r="AE16" s="406">
        <v>0</v>
      </c>
      <c r="AF16" s="69">
        <v>20.102229609754339</v>
      </c>
      <c r="AG16" s="68">
        <v>19.866768728830618</v>
      </c>
      <c r="AH16" s="68">
        <v>0</v>
      </c>
      <c r="AI16" s="68">
        <v>1</v>
      </c>
      <c r="AJ16" s="69">
        <v>265.75712799231212</v>
      </c>
      <c r="AK16" s="69">
        <v>663.03394536972053</v>
      </c>
      <c r="AL16" s="69">
        <v>886.1297421137491</v>
      </c>
      <c r="AM16" s="69">
        <v>437.18989562988281</v>
      </c>
      <c r="AN16" s="69">
        <v>1156.864013671875</v>
      </c>
      <c r="AO16" s="69">
        <v>1737.8405594507851</v>
      </c>
      <c r="AP16" s="69">
        <v>383.30930018424982</v>
      </c>
      <c r="AQ16" s="69">
        <v>2455.148187891642</v>
      </c>
      <c r="AR16" s="69">
        <v>409.21878493626917</v>
      </c>
      <c r="AS16" s="69">
        <v>586.62669286727896</v>
      </c>
    </row>
    <row r="17" spans="1:45" x14ac:dyDescent="0.25">
      <c r="A17" s="11">
        <v>44479</v>
      </c>
      <c r="B17" s="49"/>
      <c r="C17" s="50">
        <v>0</v>
      </c>
      <c r="D17" s="50">
        <v>0</v>
      </c>
      <c r="E17" s="448">
        <v>0</v>
      </c>
      <c r="F17" s="50">
        <v>0</v>
      </c>
      <c r="G17" s="50">
        <v>0</v>
      </c>
      <c r="H17" s="51">
        <v>0</v>
      </c>
      <c r="I17" s="49">
        <v>269.13761982917782</v>
      </c>
      <c r="J17" s="50">
        <v>617.54428590138593</v>
      </c>
      <c r="K17" s="50">
        <v>34.000371667742726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421.0852404700363</v>
      </c>
      <c r="V17" s="62">
        <v>0</v>
      </c>
      <c r="W17" s="62">
        <v>71.027699661254914</v>
      </c>
      <c r="X17" s="62">
        <v>0</v>
      </c>
      <c r="Y17" s="66">
        <v>413.40167606671554</v>
      </c>
      <c r="Z17" s="66">
        <v>0</v>
      </c>
      <c r="AA17" s="67">
        <v>0</v>
      </c>
      <c r="AB17" s="68">
        <v>86.428722466361762</v>
      </c>
      <c r="AC17" s="69">
        <v>0</v>
      </c>
      <c r="AD17" s="406">
        <v>18.378130500673546</v>
      </c>
      <c r="AE17" s="406">
        <v>0</v>
      </c>
      <c r="AF17" s="69">
        <v>17.836035758256894</v>
      </c>
      <c r="AG17" s="68">
        <v>17.618474879848304</v>
      </c>
      <c r="AH17" s="68">
        <v>0</v>
      </c>
      <c r="AI17" s="68">
        <v>1</v>
      </c>
      <c r="AJ17" s="69">
        <v>233.44725895722709</v>
      </c>
      <c r="AK17" s="69">
        <v>621.42096796035776</v>
      </c>
      <c r="AL17" s="69">
        <v>855.21579338709523</v>
      </c>
      <c r="AM17" s="69">
        <v>437.18989562988281</v>
      </c>
      <c r="AN17" s="69">
        <v>1156.864013671875</v>
      </c>
      <c r="AO17" s="69">
        <v>1758.3964506785073</v>
      </c>
      <c r="AP17" s="69">
        <v>370.25380121866851</v>
      </c>
      <c r="AQ17" s="69">
        <v>2287.9228399276735</v>
      </c>
      <c r="AR17" s="69">
        <v>404.030267238617</v>
      </c>
      <c r="AS17" s="69">
        <v>535.27935552597046</v>
      </c>
    </row>
    <row r="18" spans="1:45" x14ac:dyDescent="0.25">
      <c r="A18" s="11">
        <v>44480</v>
      </c>
      <c r="B18" s="59"/>
      <c r="C18" s="60">
        <v>0</v>
      </c>
      <c r="D18" s="60">
        <v>0</v>
      </c>
      <c r="E18" s="448">
        <v>0</v>
      </c>
      <c r="F18" s="60">
        <v>0</v>
      </c>
      <c r="G18" s="60">
        <v>0</v>
      </c>
      <c r="H18" s="61">
        <v>0</v>
      </c>
      <c r="I18" s="59">
        <v>227.46</v>
      </c>
      <c r="J18" s="60">
        <v>515.6</v>
      </c>
      <c r="K18" s="60">
        <v>28.41</v>
      </c>
      <c r="L18" s="448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373.95</v>
      </c>
      <c r="V18" s="62">
        <v>0</v>
      </c>
      <c r="W18" s="62">
        <v>61.99</v>
      </c>
      <c r="X18" s="62">
        <v>0</v>
      </c>
      <c r="Y18" s="66">
        <v>295.86</v>
      </c>
      <c r="Z18" s="66">
        <v>0</v>
      </c>
      <c r="AA18" s="67">
        <v>0</v>
      </c>
      <c r="AB18" s="68">
        <v>71.75</v>
      </c>
      <c r="AC18" s="69">
        <v>0</v>
      </c>
      <c r="AD18" s="406">
        <v>15.34</v>
      </c>
      <c r="AE18" s="406">
        <v>0</v>
      </c>
      <c r="AF18" s="69">
        <v>14.88</v>
      </c>
      <c r="AG18" s="68">
        <v>14.7</v>
      </c>
      <c r="AH18" s="68">
        <v>0</v>
      </c>
      <c r="AI18" s="68">
        <v>1</v>
      </c>
      <c r="AJ18" s="69">
        <v>199.54</v>
      </c>
      <c r="AK18" s="69">
        <v>444.96</v>
      </c>
      <c r="AL18" s="69">
        <v>929.35</v>
      </c>
      <c r="AM18" s="69">
        <v>437.19</v>
      </c>
      <c r="AN18" s="69">
        <v>1156.8599999999999</v>
      </c>
      <c r="AO18" s="69">
        <v>1780.02</v>
      </c>
      <c r="AP18" s="69">
        <v>386.44</v>
      </c>
      <c r="AQ18" s="69">
        <v>1969.77</v>
      </c>
      <c r="AR18" s="69">
        <v>390.57</v>
      </c>
      <c r="AS18" s="69">
        <v>631.29</v>
      </c>
    </row>
    <row r="19" spans="1:45" x14ac:dyDescent="0.25">
      <c r="A19" s="11">
        <v>44481</v>
      </c>
      <c r="B19" s="59"/>
      <c r="C19" s="60">
        <v>0</v>
      </c>
      <c r="D19" s="60">
        <v>0</v>
      </c>
      <c r="E19" s="448">
        <v>0</v>
      </c>
      <c r="F19" s="60">
        <v>0</v>
      </c>
      <c r="G19" s="60">
        <v>0</v>
      </c>
      <c r="H19" s="61">
        <v>0</v>
      </c>
      <c r="I19" s="59">
        <v>238.53171183268194</v>
      </c>
      <c r="J19" s="60">
        <v>519.00154679616389</v>
      </c>
      <c r="K19" s="60">
        <v>28.58015034298105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380.75124494764538</v>
      </c>
      <c r="V19" s="62">
        <v>0</v>
      </c>
      <c r="W19" s="62">
        <v>64.682735133171207</v>
      </c>
      <c r="X19" s="62">
        <v>0</v>
      </c>
      <c r="Y19" s="66">
        <v>230.53670488993319</v>
      </c>
      <c r="Z19" s="66">
        <v>0</v>
      </c>
      <c r="AA19" s="67">
        <v>0</v>
      </c>
      <c r="AB19" s="68">
        <v>71.755284537209008</v>
      </c>
      <c r="AC19" s="69">
        <v>0</v>
      </c>
      <c r="AD19" s="406">
        <v>15.340998229808838</v>
      </c>
      <c r="AE19" s="406">
        <v>0</v>
      </c>
      <c r="AF19" s="69">
        <v>15.06856851710214</v>
      </c>
      <c r="AG19" s="68">
        <v>14.880390872233011</v>
      </c>
      <c r="AH19" s="68">
        <v>0</v>
      </c>
      <c r="AI19" s="68">
        <v>1</v>
      </c>
      <c r="AJ19" s="69">
        <v>213.92657845815017</v>
      </c>
      <c r="AK19" s="69">
        <v>336.94370020230605</v>
      </c>
      <c r="AL19" s="69">
        <v>840.37097956339517</v>
      </c>
      <c r="AM19" s="69">
        <v>437.18989562988281</v>
      </c>
      <c r="AN19" s="69">
        <v>1156.864013671875</v>
      </c>
      <c r="AO19" s="69">
        <v>1697.0815870920817</v>
      </c>
      <c r="AP19" s="69">
        <v>394.51991922060654</v>
      </c>
      <c r="AQ19" s="69">
        <v>1976.782907994588</v>
      </c>
      <c r="AR19" s="69">
        <v>389.32570970853163</v>
      </c>
      <c r="AS19" s="69">
        <v>569.3607281366983</v>
      </c>
    </row>
    <row r="20" spans="1:45" x14ac:dyDescent="0.25">
      <c r="A20" s="11">
        <v>44482</v>
      </c>
      <c r="B20" s="59"/>
      <c r="C20" s="60">
        <v>0</v>
      </c>
      <c r="D20" s="60">
        <v>0</v>
      </c>
      <c r="E20" s="448">
        <v>0</v>
      </c>
      <c r="F20" s="60">
        <v>0</v>
      </c>
      <c r="G20" s="60">
        <v>0</v>
      </c>
      <c r="H20" s="61">
        <v>0</v>
      </c>
      <c r="I20" s="59">
        <v>217.61225279172271</v>
      </c>
      <c r="J20" s="60">
        <v>470.39015067418427</v>
      </c>
      <c r="K20" s="60">
        <v>25.895295571287484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357.88658197191302</v>
      </c>
      <c r="V20" s="62">
        <v>0</v>
      </c>
      <c r="W20" s="62">
        <v>57.156655049324044</v>
      </c>
      <c r="X20" s="62">
        <v>0</v>
      </c>
      <c r="Y20" s="66">
        <v>203.01338255405432</v>
      </c>
      <c r="Z20" s="66">
        <v>0</v>
      </c>
      <c r="AA20" s="67">
        <v>0</v>
      </c>
      <c r="AB20" s="68">
        <v>65.421746810278023</v>
      </c>
      <c r="AC20" s="69">
        <v>0</v>
      </c>
      <c r="AD20" s="406">
        <v>13.999416846691755</v>
      </c>
      <c r="AE20" s="406">
        <v>0</v>
      </c>
      <c r="AF20" s="69">
        <v>13.694411490360901</v>
      </c>
      <c r="AG20" s="68">
        <v>13.531106554130119</v>
      </c>
      <c r="AH20" s="68">
        <v>0</v>
      </c>
      <c r="AI20" s="68">
        <v>1</v>
      </c>
      <c r="AJ20" s="69">
        <v>221.11877055168156</v>
      </c>
      <c r="AK20" s="69">
        <v>346.46554247538251</v>
      </c>
      <c r="AL20" s="69">
        <v>851.49104569753001</v>
      </c>
      <c r="AM20" s="69">
        <v>437.18989562988281</v>
      </c>
      <c r="AN20" s="69">
        <v>1156.864013671875</v>
      </c>
      <c r="AO20" s="69">
        <v>1736.8059666951501</v>
      </c>
      <c r="AP20" s="69">
        <v>546.12940724690748</v>
      </c>
      <c r="AQ20" s="69">
        <v>1929.7092367808025</v>
      </c>
      <c r="AR20" s="69">
        <v>395.65192478497818</v>
      </c>
      <c r="AS20" s="69">
        <v>619.69925613403325</v>
      </c>
    </row>
    <row r="21" spans="1:45" x14ac:dyDescent="0.25">
      <c r="A21" s="11">
        <v>44483</v>
      </c>
      <c r="B21" s="59"/>
      <c r="C21" s="60">
        <v>0</v>
      </c>
      <c r="D21" s="60">
        <v>0</v>
      </c>
      <c r="E21" s="448">
        <v>0</v>
      </c>
      <c r="F21" s="60">
        <v>0</v>
      </c>
      <c r="G21" s="60">
        <v>0</v>
      </c>
      <c r="H21" s="61">
        <v>0</v>
      </c>
      <c r="I21" s="59">
        <v>108.22113182942068</v>
      </c>
      <c r="J21" s="60">
        <v>234.0207805236181</v>
      </c>
      <c r="K21" s="60">
        <v>12.918430704871803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171.48248340818617</v>
      </c>
      <c r="V21" s="62">
        <v>0</v>
      </c>
      <c r="W21" s="62">
        <v>28.318741118907898</v>
      </c>
      <c r="X21" s="62">
        <v>0</v>
      </c>
      <c r="Y21" s="66">
        <v>93.463703298568717</v>
      </c>
      <c r="Z21" s="66">
        <v>0</v>
      </c>
      <c r="AA21" s="67">
        <v>0</v>
      </c>
      <c r="AB21" s="68">
        <v>32.109208823575138</v>
      </c>
      <c r="AC21" s="69">
        <v>0</v>
      </c>
      <c r="AD21" s="406">
        <v>6.9303515076890747</v>
      </c>
      <c r="AE21" s="406">
        <v>0</v>
      </c>
      <c r="AF21" s="69">
        <v>6.4494522594743326</v>
      </c>
      <c r="AG21" s="68">
        <v>6.2968689669478941</v>
      </c>
      <c r="AH21" s="68">
        <v>0</v>
      </c>
      <c r="AI21" s="68">
        <v>1</v>
      </c>
      <c r="AJ21" s="69">
        <v>225.15716681480416</v>
      </c>
      <c r="AK21" s="69">
        <v>349.1092522780101</v>
      </c>
      <c r="AL21" s="69">
        <v>860.0793741544087</v>
      </c>
      <c r="AM21" s="69">
        <v>437.18989562988281</v>
      </c>
      <c r="AN21" s="69">
        <v>1156.864013671875</v>
      </c>
      <c r="AO21" s="69">
        <v>1806.7510361989339</v>
      </c>
      <c r="AP21" s="69">
        <v>557.66509059270231</v>
      </c>
      <c r="AQ21" s="69">
        <v>1247.6361620744069</v>
      </c>
      <c r="AR21" s="69">
        <v>251.29605179627737</v>
      </c>
      <c r="AS21" s="69">
        <v>634.54834899902335</v>
      </c>
    </row>
    <row r="22" spans="1:45" x14ac:dyDescent="0.25">
      <c r="A22" s="11">
        <v>44484</v>
      </c>
      <c r="B22" s="59"/>
      <c r="C22" s="60">
        <v>0</v>
      </c>
      <c r="D22" s="60">
        <v>0</v>
      </c>
      <c r="E22" s="448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406">
        <v>0</v>
      </c>
      <c r="AE22" s="406">
        <v>0</v>
      </c>
      <c r="AF22" s="69">
        <v>0</v>
      </c>
      <c r="AG22" s="68">
        <v>0</v>
      </c>
      <c r="AH22" s="68">
        <v>0</v>
      </c>
      <c r="AI22" s="68">
        <v>0</v>
      </c>
      <c r="AJ22" s="69">
        <v>240.11442024707796</v>
      </c>
      <c r="AK22" s="69">
        <v>372.86224722862232</v>
      </c>
      <c r="AL22" s="69">
        <v>708.83427438735964</v>
      </c>
      <c r="AM22" s="69">
        <v>437.18989562988281</v>
      </c>
      <c r="AN22" s="69">
        <v>1156.864013671875</v>
      </c>
      <c r="AO22" s="69">
        <v>1846.878441619873</v>
      </c>
      <c r="AP22" s="69">
        <v>563.28304815292358</v>
      </c>
      <c r="AQ22" s="69">
        <v>391.84909804662072</v>
      </c>
      <c r="AR22" s="69">
        <v>92.566742285092673</v>
      </c>
      <c r="AS22" s="69">
        <v>648.00735750198373</v>
      </c>
    </row>
    <row r="23" spans="1:45" x14ac:dyDescent="0.25">
      <c r="A23" s="11">
        <v>44485</v>
      </c>
      <c r="B23" s="59"/>
      <c r="C23" s="60">
        <v>0</v>
      </c>
      <c r="D23" s="60">
        <v>0</v>
      </c>
      <c r="E23" s="448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406">
        <v>0</v>
      </c>
      <c r="AE23" s="406">
        <v>0</v>
      </c>
      <c r="AF23" s="69">
        <v>0</v>
      </c>
      <c r="AG23" s="68">
        <v>0</v>
      </c>
      <c r="AH23" s="68">
        <v>0</v>
      </c>
      <c r="AI23" s="68">
        <v>0</v>
      </c>
      <c r="AJ23" s="69">
        <v>221.35880905787144</v>
      </c>
      <c r="AK23" s="69">
        <v>352.39540840784707</v>
      </c>
      <c r="AL23" s="69">
        <v>736.80022153854361</v>
      </c>
      <c r="AM23" s="69">
        <v>437.18989562988281</v>
      </c>
      <c r="AN23" s="69">
        <v>1156.864013671875</v>
      </c>
      <c r="AO23" s="69">
        <v>1813.6328414916989</v>
      </c>
      <c r="AP23" s="69">
        <v>530.66707611083996</v>
      </c>
      <c r="AQ23" s="69">
        <v>355.57702256838479</v>
      </c>
      <c r="AR23" s="69">
        <v>78.778518279393523</v>
      </c>
      <c r="AS23" s="69">
        <v>674.58069295883172</v>
      </c>
    </row>
    <row r="24" spans="1:45" x14ac:dyDescent="0.25">
      <c r="A24" s="11">
        <v>44486</v>
      </c>
      <c r="B24" s="59"/>
      <c r="C24" s="60">
        <v>0</v>
      </c>
      <c r="D24" s="60">
        <v>0</v>
      </c>
      <c r="E24" s="448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406">
        <v>0</v>
      </c>
      <c r="AE24" s="406">
        <v>0</v>
      </c>
      <c r="AF24" s="69">
        <v>0</v>
      </c>
      <c r="AG24" s="68">
        <v>0</v>
      </c>
      <c r="AH24" s="68">
        <v>0</v>
      </c>
      <c r="AI24" s="68">
        <v>0</v>
      </c>
      <c r="AJ24" s="69">
        <v>238.28464243412017</v>
      </c>
      <c r="AK24" s="69">
        <v>369.77551178932191</v>
      </c>
      <c r="AL24" s="69">
        <v>881.3963565826416</v>
      </c>
      <c r="AM24" s="69">
        <v>425.80919898351033</v>
      </c>
      <c r="AN24" s="69">
        <v>1156.864013671875</v>
      </c>
      <c r="AO24" s="69">
        <v>1832.6858968734743</v>
      </c>
      <c r="AP24" s="69">
        <v>520.43246285120642</v>
      </c>
      <c r="AQ24" s="69">
        <v>336.95377319653824</v>
      </c>
      <c r="AR24" s="69">
        <v>65.817457890510553</v>
      </c>
      <c r="AS24" s="69">
        <v>684.78362932205198</v>
      </c>
    </row>
    <row r="25" spans="1:45" x14ac:dyDescent="0.25">
      <c r="A25" s="11">
        <v>44487</v>
      </c>
      <c r="B25" s="59"/>
      <c r="C25" s="60">
        <v>0</v>
      </c>
      <c r="D25" s="60">
        <v>0</v>
      </c>
      <c r="E25" s="448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406">
        <v>0</v>
      </c>
      <c r="AE25" s="406">
        <v>0</v>
      </c>
      <c r="AF25" s="69">
        <v>0</v>
      </c>
      <c r="AG25" s="68">
        <v>0</v>
      </c>
      <c r="AH25" s="68">
        <v>0</v>
      </c>
      <c r="AI25" s="68">
        <v>0</v>
      </c>
      <c r="AJ25" s="69">
        <v>256.95506924788151</v>
      </c>
      <c r="AK25" s="69">
        <v>394.82362809181211</v>
      </c>
      <c r="AL25" s="69">
        <v>964.09698692957568</v>
      </c>
      <c r="AM25" s="69">
        <v>363.7001953125</v>
      </c>
      <c r="AN25" s="69">
        <v>1156.864013671875</v>
      </c>
      <c r="AO25" s="69">
        <v>1833.4702828725176</v>
      </c>
      <c r="AP25" s="69">
        <v>527.90663213729863</v>
      </c>
      <c r="AQ25" s="69">
        <v>305.02735732396445</v>
      </c>
      <c r="AR25" s="69">
        <v>63.409814381599425</v>
      </c>
      <c r="AS25" s="69">
        <v>754.04144465128581</v>
      </c>
    </row>
    <row r="26" spans="1:45" x14ac:dyDescent="0.25">
      <c r="A26" s="11">
        <v>44488</v>
      </c>
      <c r="B26" s="59"/>
      <c r="C26" s="60">
        <v>0</v>
      </c>
      <c r="D26" s="60">
        <v>0</v>
      </c>
      <c r="E26" s="448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406">
        <v>0</v>
      </c>
      <c r="AE26" s="406">
        <v>0</v>
      </c>
      <c r="AF26" s="69">
        <v>0</v>
      </c>
      <c r="AG26" s="68">
        <v>0</v>
      </c>
      <c r="AH26" s="68">
        <v>0</v>
      </c>
      <c r="AI26" s="68">
        <v>0</v>
      </c>
      <c r="AJ26" s="69">
        <v>235.63967454433435</v>
      </c>
      <c r="AK26" s="69">
        <v>362.86772238413494</v>
      </c>
      <c r="AL26" s="69">
        <v>851.77837664286301</v>
      </c>
      <c r="AM26" s="69">
        <v>363.7001953125</v>
      </c>
      <c r="AN26" s="69">
        <v>1156.864013671875</v>
      </c>
      <c r="AO26" s="69">
        <v>1726.0430477142336</v>
      </c>
      <c r="AP26" s="69">
        <v>562.46583998998005</v>
      </c>
      <c r="AQ26" s="69">
        <v>303.25217247009277</v>
      </c>
      <c r="AR26" s="69">
        <v>65.610978599389398</v>
      </c>
      <c r="AS26" s="69">
        <v>568.94069051742542</v>
      </c>
    </row>
    <row r="27" spans="1:45" x14ac:dyDescent="0.25">
      <c r="A27" s="11">
        <v>44489</v>
      </c>
      <c r="B27" s="59"/>
      <c r="C27" s="60">
        <v>0</v>
      </c>
      <c r="D27" s="60">
        <v>0</v>
      </c>
      <c r="E27" s="448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406">
        <v>0</v>
      </c>
      <c r="AE27" s="406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231.35924177169801</v>
      </c>
      <c r="AK27" s="69">
        <v>355.76425218582159</v>
      </c>
      <c r="AL27" s="69">
        <v>740.12102988560991</v>
      </c>
      <c r="AM27" s="69">
        <v>363.7001953125</v>
      </c>
      <c r="AN27" s="69">
        <v>1156.864013671875</v>
      </c>
      <c r="AO27" s="69">
        <v>1814.0575689951579</v>
      </c>
      <c r="AP27" s="69">
        <v>545.02263383865352</v>
      </c>
      <c r="AQ27" s="69">
        <v>347.00554984410599</v>
      </c>
      <c r="AR27" s="69">
        <v>76.946053878466287</v>
      </c>
      <c r="AS27" s="69">
        <v>612.84020207722995</v>
      </c>
    </row>
    <row r="28" spans="1:45" x14ac:dyDescent="0.25">
      <c r="A28" s="11">
        <v>44490</v>
      </c>
      <c r="B28" s="59"/>
      <c r="C28" s="60">
        <v>0</v>
      </c>
      <c r="D28" s="60">
        <v>0</v>
      </c>
      <c r="E28" s="448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406">
        <v>0</v>
      </c>
      <c r="AE28" s="406">
        <v>0</v>
      </c>
      <c r="AF28" s="69">
        <v>0</v>
      </c>
      <c r="AG28" s="68">
        <v>0</v>
      </c>
      <c r="AH28" s="68">
        <v>0</v>
      </c>
      <c r="AI28" s="68">
        <v>0</v>
      </c>
      <c r="AJ28" s="69">
        <v>229.58775965372723</v>
      </c>
      <c r="AK28" s="69">
        <v>351.70510106086732</v>
      </c>
      <c r="AL28" s="69">
        <v>774.89118022918706</v>
      </c>
      <c r="AM28" s="69">
        <v>363.7001953125</v>
      </c>
      <c r="AN28" s="69">
        <v>1156.864013671875</v>
      </c>
      <c r="AO28" s="69">
        <v>1939.8867074330644</v>
      </c>
      <c r="AP28" s="69">
        <v>528.17054316202803</v>
      </c>
      <c r="AQ28" s="69">
        <v>338.25828045209244</v>
      </c>
      <c r="AR28" s="69">
        <v>77.063093900680542</v>
      </c>
      <c r="AS28" s="69">
        <v>676.03379809061687</v>
      </c>
    </row>
    <row r="29" spans="1:45" x14ac:dyDescent="0.25">
      <c r="A29" s="11">
        <v>44491</v>
      </c>
      <c r="B29" s="59"/>
      <c r="C29" s="60">
        <v>0</v>
      </c>
      <c r="D29" s="60">
        <v>0</v>
      </c>
      <c r="E29" s="448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406">
        <v>0</v>
      </c>
      <c r="AE29" s="406">
        <v>0</v>
      </c>
      <c r="AF29" s="69">
        <v>0</v>
      </c>
      <c r="AG29" s="68">
        <v>0</v>
      </c>
      <c r="AH29" s="68">
        <v>0</v>
      </c>
      <c r="AI29" s="68">
        <v>0</v>
      </c>
      <c r="AJ29" s="69">
        <v>242.17017118930812</v>
      </c>
      <c r="AK29" s="69">
        <v>372.63087976773579</v>
      </c>
      <c r="AL29" s="69">
        <v>817.31930316289277</v>
      </c>
      <c r="AM29" s="69">
        <v>363.7001953125</v>
      </c>
      <c r="AN29" s="69">
        <v>1156.864013671875</v>
      </c>
      <c r="AO29" s="69">
        <v>1974.4067202250158</v>
      </c>
      <c r="AP29" s="69">
        <v>517.81719125111908</v>
      </c>
      <c r="AQ29" s="69">
        <v>331.99334818522135</v>
      </c>
      <c r="AR29" s="69">
        <v>81.883996307849884</v>
      </c>
      <c r="AS29" s="69">
        <v>718.67024434407551</v>
      </c>
    </row>
    <row r="30" spans="1:45" x14ac:dyDescent="0.25">
      <c r="A30" s="11">
        <v>44492</v>
      </c>
      <c r="B30" s="59"/>
      <c r="C30" s="60">
        <v>0</v>
      </c>
      <c r="D30" s="60">
        <v>0</v>
      </c>
      <c r="E30" s="448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406">
        <v>0</v>
      </c>
      <c r="AE30" s="406">
        <v>0</v>
      </c>
      <c r="AF30" s="69">
        <v>0</v>
      </c>
      <c r="AG30" s="68">
        <v>0</v>
      </c>
      <c r="AH30" s="68">
        <v>0</v>
      </c>
      <c r="AI30" s="68">
        <v>0</v>
      </c>
      <c r="AJ30" s="69">
        <v>228.37345451513926</v>
      </c>
      <c r="AK30" s="69">
        <v>355.8742200533548</v>
      </c>
      <c r="AL30" s="69">
        <v>831.37170912424722</v>
      </c>
      <c r="AM30" s="69">
        <v>363.7001953125</v>
      </c>
      <c r="AN30" s="69">
        <v>1156.864013671875</v>
      </c>
      <c r="AO30" s="69">
        <v>1969.2171913146972</v>
      </c>
      <c r="AP30" s="69">
        <v>535.8316281000773</v>
      </c>
      <c r="AQ30" s="69">
        <v>310.75412694613146</v>
      </c>
      <c r="AR30" s="69">
        <v>79.761066377162948</v>
      </c>
      <c r="AS30" s="69">
        <v>655.30921367009489</v>
      </c>
    </row>
    <row r="31" spans="1:45" x14ac:dyDescent="0.25">
      <c r="A31" s="11">
        <v>44493</v>
      </c>
      <c r="B31" s="59"/>
      <c r="C31" s="60">
        <v>0</v>
      </c>
      <c r="D31" s="60">
        <v>0</v>
      </c>
      <c r="E31" s="448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406">
        <v>0</v>
      </c>
      <c r="AE31" s="406">
        <v>0</v>
      </c>
      <c r="AF31" s="69">
        <v>0</v>
      </c>
      <c r="AG31" s="68">
        <v>0</v>
      </c>
      <c r="AH31" s="68">
        <v>0</v>
      </c>
      <c r="AI31" s="68">
        <v>0</v>
      </c>
      <c r="AJ31" s="69">
        <v>215.80713179906212</v>
      </c>
      <c r="AK31" s="69">
        <v>344.74820548693339</v>
      </c>
      <c r="AL31" s="69">
        <v>835.44048900604241</v>
      </c>
      <c r="AM31" s="69">
        <v>363.7001953125</v>
      </c>
      <c r="AN31" s="69">
        <v>1156.864013671875</v>
      </c>
      <c r="AO31" s="69">
        <v>1927.0261971791581</v>
      </c>
      <c r="AP31" s="69">
        <v>523.36314865748091</v>
      </c>
      <c r="AQ31" s="69">
        <v>321.25413516362511</v>
      </c>
      <c r="AR31" s="69">
        <v>78.10921485424042</v>
      </c>
      <c r="AS31" s="69">
        <v>552.53582690556834</v>
      </c>
    </row>
    <row r="32" spans="1:45" x14ac:dyDescent="0.25">
      <c r="A32" s="11">
        <v>44494</v>
      </c>
      <c r="B32" s="59"/>
      <c r="C32" s="60">
        <v>0</v>
      </c>
      <c r="D32" s="60">
        <v>0</v>
      </c>
      <c r="E32" s="448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406">
        <v>0</v>
      </c>
      <c r="AE32" s="406">
        <v>0</v>
      </c>
      <c r="AF32" s="69">
        <v>0</v>
      </c>
      <c r="AG32" s="68">
        <v>0</v>
      </c>
      <c r="AH32" s="68">
        <v>0</v>
      </c>
      <c r="AI32" s="68">
        <v>0</v>
      </c>
      <c r="AJ32" s="69">
        <v>240.26954429149629</v>
      </c>
      <c r="AK32" s="69">
        <v>371.1243699073791</v>
      </c>
      <c r="AL32" s="69">
        <v>865.17192907333379</v>
      </c>
      <c r="AM32" s="69">
        <v>363.7001953125</v>
      </c>
      <c r="AN32" s="69">
        <v>1156.864013671875</v>
      </c>
      <c r="AO32" s="69">
        <v>1989.2516005198163</v>
      </c>
      <c r="AP32" s="69">
        <v>508.15097738901778</v>
      </c>
      <c r="AQ32" s="69">
        <v>328.021162033081</v>
      </c>
      <c r="AR32" s="69">
        <v>73.529425593217212</v>
      </c>
      <c r="AS32" s="69">
        <v>739.721716785431</v>
      </c>
    </row>
    <row r="33" spans="1:45" x14ac:dyDescent="0.25">
      <c r="A33" s="11">
        <v>44495</v>
      </c>
      <c r="B33" s="59"/>
      <c r="C33" s="60">
        <v>0</v>
      </c>
      <c r="D33" s="60">
        <v>0</v>
      </c>
      <c r="E33" s="448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406">
        <v>0</v>
      </c>
      <c r="AE33" s="406">
        <v>0</v>
      </c>
      <c r="AF33" s="69">
        <v>0</v>
      </c>
      <c r="AG33" s="68">
        <v>0</v>
      </c>
      <c r="AH33" s="68">
        <v>0</v>
      </c>
      <c r="AI33" s="68">
        <v>0</v>
      </c>
      <c r="AJ33" s="69">
        <v>243.02655448118847</v>
      </c>
      <c r="AK33" s="69">
        <v>373.24580763181052</v>
      </c>
      <c r="AL33" s="69">
        <v>899.36769870122271</v>
      </c>
      <c r="AM33" s="69">
        <v>289.30328435897826</v>
      </c>
      <c r="AN33" s="69">
        <v>1250.3487986882528</v>
      </c>
      <c r="AO33" s="69">
        <v>1975.1445282618204</v>
      </c>
      <c r="AP33" s="69">
        <v>529.94010238647456</v>
      </c>
      <c r="AQ33" s="69">
        <v>310.8393390178681</v>
      </c>
      <c r="AR33" s="69">
        <v>64.682176160812375</v>
      </c>
      <c r="AS33" s="69">
        <v>705.75770123799634</v>
      </c>
    </row>
    <row r="34" spans="1:45" x14ac:dyDescent="0.25">
      <c r="A34" s="11">
        <v>44496</v>
      </c>
      <c r="B34" s="59"/>
      <c r="C34" s="60">
        <v>0</v>
      </c>
      <c r="D34" s="60">
        <v>0</v>
      </c>
      <c r="E34" s="448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406">
        <v>0</v>
      </c>
      <c r="AE34" s="406">
        <v>0</v>
      </c>
      <c r="AF34" s="69">
        <v>0</v>
      </c>
      <c r="AG34" s="68">
        <v>0</v>
      </c>
      <c r="AH34" s="68">
        <v>0</v>
      </c>
      <c r="AI34" s="68">
        <v>0</v>
      </c>
      <c r="AJ34" s="69">
        <v>238.02205619017283</v>
      </c>
      <c r="AK34" s="69">
        <v>363.41014846165973</v>
      </c>
      <c r="AL34" s="69">
        <v>754.59467201232917</v>
      </c>
      <c r="AM34" s="69">
        <v>291.57286834716797</v>
      </c>
      <c r="AN34" s="69">
        <v>1310.2193298339844</v>
      </c>
      <c r="AO34" s="69">
        <v>1915.2513769785567</v>
      </c>
      <c r="AP34" s="69">
        <v>546.89514630635585</v>
      </c>
      <c r="AQ34" s="69">
        <v>365.62222655614227</v>
      </c>
      <c r="AR34" s="69">
        <v>92.944206078847245</v>
      </c>
      <c r="AS34" s="69">
        <v>552.59355653127034</v>
      </c>
    </row>
    <row r="35" spans="1:45" x14ac:dyDescent="0.25">
      <c r="A35" s="11">
        <v>44497</v>
      </c>
      <c r="B35" s="59"/>
      <c r="C35" s="60">
        <v>0</v>
      </c>
      <c r="D35" s="60">
        <v>0</v>
      </c>
      <c r="E35" s="448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406">
        <v>0</v>
      </c>
      <c r="AE35" s="406">
        <v>0</v>
      </c>
      <c r="AF35" s="69">
        <v>0</v>
      </c>
      <c r="AG35" s="68">
        <v>0</v>
      </c>
      <c r="AH35" s="68">
        <v>0</v>
      </c>
      <c r="AI35" s="68">
        <v>0</v>
      </c>
      <c r="AJ35" s="69">
        <v>237.30192935466761</v>
      </c>
      <c r="AK35" s="69">
        <v>358.83040428161627</v>
      </c>
      <c r="AL35" s="69">
        <v>764.47739057540889</v>
      </c>
      <c r="AM35" s="69">
        <v>216.81569094657897</v>
      </c>
      <c r="AN35" s="69">
        <v>1310.2193298339844</v>
      </c>
      <c r="AO35" s="69">
        <v>1927.7565795898436</v>
      </c>
      <c r="AP35" s="69">
        <v>504.79887223243719</v>
      </c>
      <c r="AQ35" s="69">
        <v>370.80713305473324</v>
      </c>
      <c r="AR35" s="69">
        <v>93.216986215114588</v>
      </c>
      <c r="AS35" s="69">
        <v>549.56367848714194</v>
      </c>
    </row>
    <row r="36" spans="1:45" x14ac:dyDescent="0.25">
      <c r="A36" s="11">
        <v>44498</v>
      </c>
      <c r="B36" s="59"/>
      <c r="C36" s="60">
        <v>0</v>
      </c>
      <c r="D36" s="60">
        <v>0</v>
      </c>
      <c r="E36" s="448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406">
        <v>0</v>
      </c>
      <c r="AE36" s="406">
        <v>0</v>
      </c>
      <c r="AF36" s="69">
        <v>0</v>
      </c>
      <c r="AG36" s="68">
        <v>0</v>
      </c>
      <c r="AH36" s="68">
        <v>0</v>
      </c>
      <c r="AI36" s="68">
        <v>0</v>
      </c>
      <c r="AJ36" s="69">
        <v>222.58451750278473</v>
      </c>
      <c r="AK36" s="69">
        <v>339.86208442052208</v>
      </c>
      <c r="AL36" s="69">
        <v>913.51017287572211</v>
      </c>
      <c r="AM36" s="69">
        <v>133.49601745605469</v>
      </c>
      <c r="AN36" s="69">
        <v>1310.2193298339844</v>
      </c>
      <c r="AO36" s="69">
        <v>1950.527594884237</v>
      </c>
      <c r="AP36" s="69">
        <v>448.91673914591473</v>
      </c>
      <c r="AQ36" s="69">
        <v>347.52888248761491</v>
      </c>
      <c r="AR36" s="69">
        <v>73.380369114875791</v>
      </c>
      <c r="AS36" s="69">
        <v>700.65863288243622</v>
      </c>
    </row>
    <row r="37" spans="1:45" x14ac:dyDescent="0.25">
      <c r="A37" s="11">
        <v>44499</v>
      </c>
      <c r="B37" s="59"/>
      <c r="C37" s="60">
        <v>0</v>
      </c>
      <c r="D37" s="60">
        <v>0</v>
      </c>
      <c r="E37" s="448">
        <v>0</v>
      </c>
      <c r="F37" s="60">
        <v>0</v>
      </c>
      <c r="G37" s="60">
        <v>0</v>
      </c>
      <c r="H37" s="61">
        <v>0</v>
      </c>
      <c r="I37" s="59">
        <v>0</v>
      </c>
      <c r="J37" s="60">
        <v>0</v>
      </c>
      <c r="K37" s="60">
        <v>0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406">
        <v>0</v>
      </c>
      <c r="AE37" s="406">
        <v>0</v>
      </c>
      <c r="AF37" s="69">
        <v>0</v>
      </c>
      <c r="AG37" s="68">
        <v>0</v>
      </c>
      <c r="AH37" s="68">
        <v>0</v>
      </c>
      <c r="AI37" s="68">
        <v>0</v>
      </c>
      <c r="AJ37" s="69">
        <v>227.86134080886842</v>
      </c>
      <c r="AK37" s="69">
        <v>343.56769982973736</v>
      </c>
      <c r="AL37" s="69">
        <v>834.53064619700103</v>
      </c>
      <c r="AM37" s="69">
        <v>133.49601745605469</v>
      </c>
      <c r="AN37" s="69">
        <v>1310.2193298339844</v>
      </c>
      <c r="AO37" s="69">
        <v>1947.2863132476805</v>
      </c>
      <c r="AP37" s="69">
        <v>416.32333432833354</v>
      </c>
      <c r="AQ37" s="69">
        <v>321.49558506011965</v>
      </c>
      <c r="AR37" s="69">
        <v>63.948684811592095</v>
      </c>
      <c r="AS37" s="69">
        <v>636.90053993860886</v>
      </c>
    </row>
    <row r="38" spans="1:45" ht="15.75" thickBot="1" x14ac:dyDescent="0.3">
      <c r="A38" s="11">
        <v>44500</v>
      </c>
      <c r="B38" s="73"/>
      <c r="C38" s="74">
        <v>0</v>
      </c>
      <c r="D38" s="74">
        <v>0</v>
      </c>
      <c r="E38" s="448">
        <v>0</v>
      </c>
      <c r="F38" s="74">
        <v>0</v>
      </c>
      <c r="G38" s="74">
        <v>0</v>
      </c>
      <c r="H38" s="75">
        <v>0</v>
      </c>
      <c r="I38" s="76">
        <v>0</v>
      </c>
      <c r="J38" s="74">
        <v>0</v>
      </c>
      <c r="K38" s="74">
        <v>0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0</v>
      </c>
      <c r="V38" s="62">
        <v>0</v>
      </c>
      <c r="W38" s="81">
        <v>0</v>
      </c>
      <c r="X38" s="81">
        <v>0</v>
      </c>
      <c r="Y38" s="80">
        <v>0</v>
      </c>
      <c r="Z38" s="80">
        <v>0</v>
      </c>
      <c r="AA38" s="82">
        <v>0</v>
      </c>
      <c r="AB38" s="68">
        <v>0</v>
      </c>
      <c r="AC38" s="84">
        <v>0</v>
      </c>
      <c r="AD38" s="406">
        <v>0</v>
      </c>
      <c r="AE38" s="406">
        <v>0</v>
      </c>
      <c r="AF38" s="85">
        <v>0</v>
      </c>
      <c r="AG38" s="83">
        <v>0</v>
      </c>
      <c r="AH38" s="83">
        <v>0</v>
      </c>
      <c r="AI38" s="83">
        <v>0</v>
      </c>
      <c r="AJ38" s="84">
        <v>243.42701818943027</v>
      </c>
      <c r="AK38" s="84">
        <v>370.76636834144603</v>
      </c>
      <c r="AL38" s="84">
        <v>724.64076620737717</v>
      </c>
      <c r="AM38" s="84">
        <v>133.49601745605469</v>
      </c>
      <c r="AN38" s="84">
        <v>1310.2193298339844</v>
      </c>
      <c r="AO38" s="84">
        <v>1904.6694924672443</v>
      </c>
      <c r="AP38" s="84">
        <v>469.66594824790957</v>
      </c>
      <c r="AQ38" s="84">
        <v>355.91608549753823</v>
      </c>
      <c r="AR38" s="84">
        <v>79.072317922115332</v>
      </c>
      <c r="AS38" s="84">
        <v>499.63933025995891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72.392342621088062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6279.2960108971629</v>
      </c>
      <c r="J39" s="30">
        <f t="shared" si="0"/>
        <v>8207.306960988044</v>
      </c>
      <c r="K39" s="30">
        <f t="shared" si="0"/>
        <v>451.81455750425658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5739.3229611184406</v>
      </c>
      <c r="V39" s="261">
        <f t="shared" si="0"/>
        <v>0</v>
      </c>
      <c r="W39" s="261">
        <f t="shared" si="0"/>
        <v>964.59474756619215</v>
      </c>
      <c r="X39" s="261">
        <f t="shared" si="0"/>
        <v>0</v>
      </c>
      <c r="Y39" s="261">
        <f t="shared" si="0"/>
        <v>5841.103908482205</v>
      </c>
      <c r="Z39" s="261">
        <f t="shared" si="0"/>
        <v>-4.328500451060517</v>
      </c>
      <c r="AA39" s="269">
        <f t="shared" si="0"/>
        <v>0</v>
      </c>
      <c r="AB39" s="272">
        <f t="shared" si="0"/>
        <v>1147.3654879318347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7344.291284273465</v>
      </c>
      <c r="AK39" s="272">
        <f t="shared" si="1"/>
        <v>12743.378315919239</v>
      </c>
      <c r="AL39" s="272">
        <f t="shared" si="1"/>
        <v>26389.07571814855</v>
      </c>
      <c r="AM39" s="272">
        <f t="shared" si="1"/>
        <v>11528.629091952644</v>
      </c>
      <c r="AN39" s="272">
        <f t="shared" si="1"/>
        <v>36723.041775983176</v>
      </c>
      <c r="AO39" s="272">
        <f t="shared" si="1"/>
        <v>56947.637337417589</v>
      </c>
      <c r="AP39" s="272">
        <f t="shared" si="1"/>
        <v>14517.517734963099</v>
      </c>
      <c r="AQ39" s="272">
        <f t="shared" si="1"/>
        <v>36294.322053483324</v>
      </c>
      <c r="AR39" s="272">
        <f t="shared" si="1"/>
        <v>6776.8110827080409</v>
      </c>
      <c r="AS39" s="272">
        <f t="shared" si="1"/>
        <v>19994.935101865132</v>
      </c>
    </row>
    <row r="40" spans="1:45" ht="15.75" thickBot="1" x14ac:dyDescent="0.3">
      <c r="A40" s="47" t="s">
        <v>172</v>
      </c>
      <c r="B40" s="32">
        <f>Projection!$AD$30</f>
        <v>0.68740698599999983</v>
      </c>
      <c r="C40" s="33">
        <f>Projection!$AD$28</f>
        <v>1.7059803599999999</v>
      </c>
      <c r="D40" s="33">
        <f>Projection!$AD$31</f>
        <v>3.0975552300000002</v>
      </c>
      <c r="E40" s="33">
        <f>Projection!$AD$26</f>
        <v>4.4235360000000004</v>
      </c>
      <c r="F40" s="33">
        <f>Projection!$AD$23</f>
        <v>0</v>
      </c>
      <c r="G40" s="33">
        <f>Projection!$AD$24</f>
        <v>7.6444999999999999E-2</v>
      </c>
      <c r="H40" s="34">
        <f>Projection!$AD$29</f>
        <v>3.8336895000000006</v>
      </c>
      <c r="I40" s="32">
        <f>Projection!$AD$30</f>
        <v>0.68740698599999983</v>
      </c>
      <c r="J40" s="33">
        <f>Projection!$AD$28</f>
        <v>1.7059803599999999</v>
      </c>
      <c r="K40" s="33">
        <f>Projection!$AD$26</f>
        <v>4.4235360000000004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1.7059803599999999</v>
      </c>
      <c r="T40" s="265">
        <f>Projection!$AD$28</f>
        <v>1.7059803599999999</v>
      </c>
      <c r="U40" s="263">
        <f>Projection!$AD$27</f>
        <v>0.41249999999999998</v>
      </c>
      <c r="V40" s="264">
        <f>Projection!$AD$27</f>
        <v>0.41249999999999998</v>
      </c>
      <c r="W40" s="264">
        <f>Projection!$AD$22</f>
        <v>1.3964496</v>
      </c>
      <c r="X40" s="264">
        <f>Projection!$AD$22</f>
        <v>1.3964496</v>
      </c>
      <c r="Y40" s="264">
        <f>Projection!$AD$31</f>
        <v>3.0975552300000002</v>
      </c>
      <c r="Z40" s="264">
        <f>Projection!$AD$31</f>
        <v>3.0975552300000002</v>
      </c>
      <c r="AA40" s="270">
        <v>0</v>
      </c>
      <c r="AB40" s="273">
        <f>Projection!$AD$27</f>
        <v>0.41249999999999998</v>
      </c>
      <c r="AC40" s="273">
        <f>Projection!$AD$30</f>
        <v>0.68740698599999983</v>
      </c>
      <c r="AD40" s="397">
        <f>SUM(AD8:AD38)</f>
        <v>244.12034578117755</v>
      </c>
      <c r="AE40" s="397">
        <f>SUM(AE8:AE38)</f>
        <v>0</v>
      </c>
      <c r="AF40" s="276">
        <f>SUM(AF8:AF38)</f>
        <v>237.17784335394686</v>
      </c>
      <c r="AG40" s="276">
        <f>SUM(AG8:AG38)</f>
        <v>233.60448066358629</v>
      </c>
      <c r="AH40" s="276">
        <f>SUM(AH8:AH38)</f>
        <v>-0.15462908897049016</v>
      </c>
      <c r="AI40" s="276">
        <f>IF(SUM(AG40:AH40)&gt;0, AG40/(AG40+AH40),0)</f>
        <v>1.000662365334257</v>
      </c>
      <c r="AJ40" s="311">
        <v>0.08</v>
      </c>
      <c r="AK40" s="311">
        <f t="shared" ref="AK40:AS40" si="2">$AJ$40</f>
        <v>0.08</v>
      </c>
      <c r="AL40" s="311">
        <f t="shared" si="2"/>
        <v>0.08</v>
      </c>
      <c r="AM40" s="311">
        <f t="shared" si="2"/>
        <v>0.08</v>
      </c>
      <c r="AN40" s="311">
        <f t="shared" si="2"/>
        <v>0.08</v>
      </c>
      <c r="AO40" s="311">
        <f t="shared" si="2"/>
        <v>0.08</v>
      </c>
      <c r="AP40" s="311">
        <f t="shared" si="2"/>
        <v>0.08</v>
      </c>
      <c r="AQ40" s="311">
        <f t="shared" si="2"/>
        <v>0.08</v>
      </c>
      <c r="AR40" s="311">
        <f t="shared" si="2"/>
        <v>0.08</v>
      </c>
      <c r="AS40" s="311">
        <f t="shared" si="2"/>
        <v>0.08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123.49991472596714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4316.4319450526409</v>
      </c>
      <c r="J41" s="36">
        <f t="shared" si="3"/>
        <v>14001.504483936887</v>
      </c>
      <c r="K41" s="36">
        <f t="shared" si="3"/>
        <v>1998.6179604441493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2367.4707214613568</v>
      </c>
      <c r="V41" s="267">
        <f t="shared" si="3"/>
        <v>0</v>
      </c>
      <c r="W41" s="267">
        <f t="shared" si="3"/>
        <v>1347.0079494009099</v>
      </c>
      <c r="X41" s="267">
        <f t="shared" si="3"/>
        <v>0</v>
      </c>
      <c r="Y41" s="267">
        <f t="shared" si="3"/>
        <v>18093.141960692497</v>
      </c>
      <c r="Z41" s="267">
        <f t="shared" si="3"/>
        <v>-13.407769210239865</v>
      </c>
      <c r="AA41" s="271">
        <f t="shared" si="3"/>
        <v>0</v>
      </c>
      <c r="AB41" s="274">
        <f t="shared" si="3"/>
        <v>473.28826377188176</v>
      </c>
      <c r="AC41" s="274">
        <f t="shared" si="3"/>
        <v>0</v>
      </c>
      <c r="AJ41" s="277">
        <f t="shared" ref="AJ41:AS41" si="4">AJ40*AJ39</f>
        <v>587.54330274187726</v>
      </c>
      <c r="AK41" s="277">
        <f t="shared" si="4"/>
        <v>1019.4702652735391</v>
      </c>
      <c r="AL41" s="277">
        <f t="shared" si="4"/>
        <v>2111.1260574518842</v>
      </c>
      <c r="AM41" s="277">
        <f t="shared" si="4"/>
        <v>922.29032735621149</v>
      </c>
      <c r="AN41" s="277">
        <f t="shared" si="4"/>
        <v>2937.8433420786541</v>
      </c>
      <c r="AO41" s="277">
        <f t="shared" si="4"/>
        <v>4555.8109869934069</v>
      </c>
      <c r="AP41" s="277">
        <f t="shared" si="4"/>
        <v>1161.4014187970479</v>
      </c>
      <c r="AQ41" s="277">
        <f t="shared" si="4"/>
        <v>2903.545764278666</v>
      </c>
      <c r="AR41" s="277">
        <f t="shared" si="4"/>
        <v>542.14488661664325</v>
      </c>
      <c r="AS41" s="277">
        <f t="shared" si="4"/>
        <v>1599.5948081492106</v>
      </c>
    </row>
    <row r="42" spans="1:45" ht="49.5" customHeight="1" thickTop="1" thickBot="1" x14ac:dyDescent="0.3">
      <c r="A42" s="643">
        <f>SEPTEMBER!$A$42+30</f>
        <v>44471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847.22</v>
      </c>
      <c r="AK42" s="277" t="s">
        <v>197</v>
      </c>
      <c r="AL42" s="277">
        <v>766.28</v>
      </c>
      <c r="AM42" s="277">
        <v>50.2</v>
      </c>
      <c r="AN42" s="277">
        <v>3046.17</v>
      </c>
      <c r="AO42" s="277">
        <v>3726.35</v>
      </c>
      <c r="AP42" s="277">
        <v>19.54</v>
      </c>
      <c r="AQ42" s="277" t="s">
        <v>197</v>
      </c>
      <c r="AR42" s="277">
        <v>49.97</v>
      </c>
      <c r="AS42" s="277">
        <v>168.29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42707.555430276057</v>
      </c>
      <c r="C44" s="12"/>
      <c r="D44" s="281" t="s">
        <v>135</v>
      </c>
      <c r="E44" s="282">
        <f>SUM(B41:H41)+P41+R41+T41+V41+X41+Z41</f>
        <v>110.09214551572728</v>
      </c>
      <c r="F44" s="12"/>
      <c r="G44" s="281" t="s">
        <v>135</v>
      </c>
      <c r="H44" s="282">
        <f>SUM(I41:N41)+O41+Q41+S41+U41+W41+Y41</f>
        <v>42124.175020988441</v>
      </c>
      <c r="I44" s="12"/>
      <c r="J44" s="281" t="s">
        <v>198</v>
      </c>
      <c r="K44" s="282">
        <v>133253</v>
      </c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18340.771159737138</v>
      </c>
      <c r="C45" s="12"/>
      <c r="D45" s="283" t="s">
        <v>183</v>
      </c>
      <c r="E45" s="284">
        <f>AJ41*(1-$AI$40)+AK41+AL41*0.5+AN41+AO41*(1-$AI$40)+AP41*(1-$AI$40)+AQ41*(1-$AI$40)+AR41*0.5+AS41*0.5</f>
        <v>6077.6472237780854</v>
      </c>
      <c r="F45" s="24"/>
      <c r="G45" s="283" t="s">
        <v>183</v>
      </c>
      <c r="H45" s="284">
        <f>AJ41*AI40+AL41*0.5+AM41+AO41*AI40+AP41*AI40+AQ41*AI40+AR41*0.5+AS41*0.5</f>
        <v>12263.123935959056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964.59474756619215</v>
      </c>
      <c r="U45" s="255">
        <f>(T45*8.34*0.895)/27000</f>
        <v>0.26666757682438252</v>
      </c>
    </row>
    <row r="46" spans="1:45" ht="32.25" thickBot="1" x14ac:dyDescent="0.3">
      <c r="A46" s="285" t="s">
        <v>184</v>
      </c>
      <c r="B46" s="286">
        <f>SUM(AJ42:AS42)</f>
        <v>8674.02</v>
      </c>
      <c r="C46" s="12"/>
      <c r="D46" s="285" t="s">
        <v>184</v>
      </c>
      <c r="E46" s="286">
        <f>AJ42*(1-$AI$40)+AL42*0.5+AN42+AO42*(1-$AI$40)+AP42*(1-$AI$40)+AR42*0.5+AS42*0.5</f>
        <v>3535.397683159571</v>
      </c>
      <c r="F46" s="23"/>
      <c r="G46" s="285" t="s">
        <v>184</v>
      </c>
      <c r="H46" s="286">
        <f>AJ42*AI40+AL42*0.5+AM42+AO42*AI40+AP42*AI40+AR42*0.5+AS42*0.5</f>
        <v>5138.6223168404294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133253</v>
      </c>
      <c r="C47" s="12"/>
      <c r="D47" s="285" t="s">
        <v>187</v>
      </c>
      <c r="E47" s="286">
        <f>K44*0.5</f>
        <v>66626.5</v>
      </c>
      <c r="F47" s="24"/>
      <c r="G47" s="285" t="s">
        <v>185</v>
      </c>
      <c r="H47" s="286">
        <f>K44*0.5</f>
        <v>66626.5</v>
      </c>
      <c r="I47" s="12"/>
      <c r="J47" s="281" t="s">
        <v>198</v>
      </c>
      <c r="K47" s="282">
        <v>103022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103022</v>
      </c>
      <c r="C48" s="12"/>
      <c r="D48" s="285" t="s">
        <v>186</v>
      </c>
      <c r="E48" s="286">
        <f>K47*0.5</f>
        <v>51511</v>
      </c>
      <c r="F48" s="23"/>
      <c r="G48" s="285" t="s">
        <v>186</v>
      </c>
      <c r="H48" s="286">
        <f>K47*0.5</f>
        <v>51511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237.17784335394686</v>
      </c>
      <c r="C49" s="12"/>
      <c r="D49" s="290" t="s">
        <v>195</v>
      </c>
      <c r="E49" s="291">
        <f>AH40</f>
        <v>-0.15462908897049016</v>
      </c>
      <c r="F49" s="23"/>
      <c r="G49" s="290" t="s">
        <v>196</v>
      </c>
      <c r="H49" s="291">
        <f>AG40</f>
        <v>233.60448066358629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451.81455750425658</v>
      </c>
      <c r="U49" s="255">
        <f>(T49*8.34*1.04)/45000</f>
        <v>8.7085749910420451E-2</v>
      </c>
    </row>
    <row r="50" spans="1:25" ht="48" customHeight="1" thickTop="1" thickBot="1" x14ac:dyDescent="0.3">
      <c r="A50" s="290" t="s">
        <v>223</v>
      </c>
      <c r="B50" s="291">
        <f>SUM(E50+H50)</f>
        <v>244.12034578117755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244.12034578117755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1253.4692494016881</v>
      </c>
      <c r="C51" s="12"/>
      <c r="D51" s="290" t="s">
        <v>188</v>
      </c>
      <c r="E51" s="396" t="e">
        <f>SUM(E44:E48)/E50</f>
        <v>#DIV/0!</v>
      </c>
      <c r="F51" s="23"/>
      <c r="G51" s="290" t="s">
        <v>189</v>
      </c>
      <c r="H51" s="396">
        <f>SUM(H44:H48)/H50</f>
        <v>727.76982477749027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6886.6884490502753</v>
      </c>
      <c r="U51" s="255">
        <f>T51/2000/8</f>
        <v>0.43041802806564222</v>
      </c>
    </row>
    <row r="52" spans="1:25" ht="48" thickTop="1" thickBot="1" x14ac:dyDescent="0.3">
      <c r="A52" s="280" t="s">
        <v>191</v>
      </c>
      <c r="B52" s="293">
        <f>B51/1000</f>
        <v>1.2534692494016881</v>
      </c>
      <c r="C52" s="12"/>
      <c r="D52" s="280" t="s">
        <v>192</v>
      </c>
      <c r="E52" s="293" t="e">
        <f>E51/1000</f>
        <v>#DIV/0!</v>
      </c>
      <c r="F52" s="370">
        <f>E44/E49</f>
        <v>-711.97564603602859</v>
      </c>
      <c r="G52" s="280" t="s">
        <v>193</v>
      </c>
      <c r="H52" s="293">
        <f>H51/1000</f>
        <v>0.7277698247774903</v>
      </c>
      <c r="I52" s="370">
        <f>H44/H49</f>
        <v>180.3226329449196</v>
      </c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8279.6993036091317</v>
      </c>
      <c r="U52" s="255">
        <f>(T52*8.34*1.4)/45000</f>
        <v>2.1483059793097827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33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6279.2960108971629</v>
      </c>
      <c r="U54" s="255">
        <f>(T54*8.34*1.029*0.03)/3300</f>
        <v>0.48989126603707195</v>
      </c>
    </row>
    <row r="55" spans="1:25" ht="59.2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5836.7754080311443</v>
      </c>
      <c r="U55" s="258">
        <f>(T55*1.54*8.34)/45000</f>
        <v>1.6658935251241958</v>
      </c>
      <c r="V55" s="324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1"/>
      <c r="T56" s="678"/>
      <c r="U56" s="678"/>
      <c r="V56" s="322"/>
      <c r="W56" s="323"/>
      <c r="X56" s="321"/>
      <c r="Y56" s="321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1"/>
      <c r="T57" s="677"/>
      <c r="U57" s="677"/>
      <c r="V57" s="322"/>
      <c r="W57" s="323"/>
      <c r="X57" s="321"/>
      <c r="Y57" s="321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1"/>
      <c r="T58" s="677"/>
      <c r="U58" s="677"/>
      <c r="V58" s="322"/>
      <c r="W58" s="323"/>
      <c r="X58" s="321"/>
      <c r="Y58" s="321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1"/>
      <c r="T59" s="677"/>
      <c r="U59" s="677"/>
      <c r="V59" s="322"/>
      <c r="W59" s="323"/>
      <c r="X59" s="321"/>
      <c r="Y59" s="321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1"/>
      <c r="T60" s="677"/>
      <c r="U60" s="677"/>
      <c r="V60" s="322"/>
      <c r="W60" s="323"/>
      <c r="X60" s="321"/>
      <c r="Y60" s="321"/>
    </row>
    <row r="61" spans="1:25" x14ac:dyDescent="0.25">
      <c r="S61" s="321"/>
      <c r="T61" s="677"/>
      <c r="U61" s="677"/>
      <c r="V61" s="322"/>
      <c r="W61" s="323"/>
      <c r="X61" s="321"/>
      <c r="Y61" s="321"/>
    </row>
    <row r="62" spans="1:25" x14ac:dyDescent="0.25">
      <c r="S62" s="321"/>
      <c r="T62" s="677"/>
      <c r="U62" s="677"/>
      <c r="V62" s="322"/>
      <c r="W62" s="323"/>
      <c r="X62" s="321"/>
      <c r="Y62" s="321"/>
    </row>
    <row r="63" spans="1:25" x14ac:dyDescent="0.25">
      <c r="S63" s="321"/>
      <c r="T63" s="677"/>
      <c r="U63" s="677"/>
      <c r="V63" s="322"/>
      <c r="W63" s="323"/>
      <c r="X63" s="321"/>
      <c r="Y63" s="321"/>
    </row>
    <row r="64" spans="1:25" x14ac:dyDescent="0.25">
      <c r="S64" s="321"/>
      <c r="T64" s="321"/>
      <c r="U64" s="321"/>
      <c r="V64" s="321"/>
      <c r="W64" s="321"/>
      <c r="X64" s="321"/>
      <c r="Y64" s="321"/>
    </row>
    <row r="65" spans="19:25" x14ac:dyDescent="0.25">
      <c r="S65" s="321"/>
      <c r="T65" s="321"/>
      <c r="U65" s="321"/>
      <c r="V65" s="321"/>
      <c r="W65" s="321"/>
      <c r="X65" s="321"/>
      <c r="Y65" s="321"/>
    </row>
    <row r="66" spans="19:25" x14ac:dyDescent="0.25">
      <c r="S66" s="321"/>
      <c r="T66" s="321"/>
      <c r="U66" s="321"/>
      <c r="V66" s="321"/>
      <c r="W66" s="321"/>
      <c r="X66" s="321"/>
      <c r="Y66" s="321"/>
    </row>
    <row r="67" spans="19:25" x14ac:dyDescent="0.25">
      <c r="S67" s="321"/>
      <c r="T67" s="321"/>
      <c r="U67" s="321"/>
      <c r="V67" s="321"/>
      <c r="W67" s="321"/>
      <c r="X67" s="321"/>
      <c r="Y67" s="321"/>
    </row>
  </sheetData>
  <sheetProtection algorithmName="SHA-512" hashValue="JjhulRbRyl5cMlBKFllST154MtBScsHqFqcQ4Ulf5KQBpsQA71228vfbS2+DyFWRS/PziDoeL8VT15iGMx1C9w==" saltValue="SLj+y1hL7H0+YQZveL9slw==" spinCount="100000" sheet="1" selectLockedCells="1" selectUnlockedCells="1"/>
  <mergeCells count="40">
    <mergeCell ref="AR4:AR5"/>
    <mergeCell ref="AS4:AS5"/>
    <mergeCell ref="AJ4:AJ5"/>
    <mergeCell ref="AK4:AK5"/>
    <mergeCell ref="AL4:AL5"/>
    <mergeCell ref="AM4:AM5"/>
    <mergeCell ref="AN4:AN5"/>
    <mergeCell ref="AO4:AO5"/>
    <mergeCell ref="O4:T5"/>
    <mergeCell ref="U4:AA5"/>
    <mergeCell ref="R43:U43"/>
    <mergeCell ref="AP4:AP5"/>
    <mergeCell ref="AQ4:AQ5"/>
    <mergeCell ref="AI4:AI5"/>
    <mergeCell ref="AB4:AB5"/>
    <mergeCell ref="AC4:AC5"/>
    <mergeCell ref="AF4:AF5"/>
    <mergeCell ref="AG4:AG5"/>
    <mergeCell ref="AH4:AH5"/>
    <mergeCell ref="AD4:AD5"/>
    <mergeCell ref="AE4:AE5"/>
    <mergeCell ref="B4:H5"/>
    <mergeCell ref="I4:N5"/>
    <mergeCell ref="G43:H43"/>
    <mergeCell ref="D43:E43"/>
    <mergeCell ref="A43:B43"/>
    <mergeCell ref="A42:K42"/>
    <mergeCell ref="J43:K43"/>
    <mergeCell ref="J46:K46"/>
    <mergeCell ref="A54:E54"/>
    <mergeCell ref="A55:E55"/>
    <mergeCell ref="R55:S55"/>
    <mergeCell ref="T62:U62"/>
    <mergeCell ref="T56:U56"/>
    <mergeCell ref="T63:U63"/>
    <mergeCell ref="T57:U57"/>
    <mergeCell ref="T58:U58"/>
    <mergeCell ref="T59:U59"/>
    <mergeCell ref="T60:U60"/>
    <mergeCell ref="T61:U61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C70"/>
  <sheetViews>
    <sheetView topLeftCell="A43" zoomScale="80" zoomScaleNormal="80" workbookViewId="0">
      <selection activeCell="F52" sqref="F52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9" t="s">
        <v>206</v>
      </c>
    </row>
    <row r="4" spans="1:55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</row>
    <row r="5" spans="1:55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44501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1871.0394774291453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80.129102044635218</v>
      </c>
      <c r="AC8" s="57">
        <v>0</v>
      </c>
      <c r="AD8" s="440">
        <v>0</v>
      </c>
      <c r="AE8" s="405">
        <v>0</v>
      </c>
      <c r="AF8" s="57">
        <v>0</v>
      </c>
      <c r="AG8" s="58">
        <v>0</v>
      </c>
      <c r="AH8" s="58">
        <v>0</v>
      </c>
      <c r="AI8" s="58">
        <v>0</v>
      </c>
      <c r="AJ8" s="57">
        <v>267.48056406974786</v>
      </c>
      <c r="AK8" s="57">
        <v>413.46799963315323</v>
      </c>
      <c r="AL8" s="57">
        <v>762.95840374628699</v>
      </c>
      <c r="AM8" s="57">
        <v>133.49601745605469</v>
      </c>
      <c r="AN8" s="57">
        <v>1509.2838182449341</v>
      </c>
      <c r="AO8" s="57">
        <v>1930.3781865437825</v>
      </c>
      <c r="AP8" s="57">
        <v>531.08495680491126</v>
      </c>
      <c r="AQ8" s="57">
        <v>426.1053291320801</v>
      </c>
      <c r="AR8" s="57">
        <v>118.52737475236259</v>
      </c>
      <c r="AS8" s="57">
        <v>559.2580235481264</v>
      </c>
    </row>
    <row r="9" spans="1:55" x14ac:dyDescent="0.25">
      <c r="A9" s="11">
        <v>44502</v>
      </c>
      <c r="B9" s="59"/>
      <c r="C9" s="60">
        <v>0</v>
      </c>
      <c r="D9" s="60">
        <v>0</v>
      </c>
      <c r="E9" s="448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1569.9996311598366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60.63675191667339</v>
      </c>
      <c r="AC9" s="69">
        <v>0</v>
      </c>
      <c r="AD9" s="402">
        <v>0</v>
      </c>
      <c r="AE9" s="406">
        <v>0</v>
      </c>
      <c r="AF9" s="69">
        <v>0</v>
      </c>
      <c r="AG9" s="68">
        <v>0</v>
      </c>
      <c r="AH9" s="68">
        <v>0</v>
      </c>
      <c r="AI9" s="68">
        <v>0</v>
      </c>
      <c r="AJ9" s="69">
        <v>265.95736323992418</v>
      </c>
      <c r="AK9" s="69">
        <v>420.61450309753423</v>
      </c>
      <c r="AL9" s="69">
        <v>817.55837701161704</v>
      </c>
      <c r="AM9" s="69">
        <v>133.49601745605469</v>
      </c>
      <c r="AN9" s="69">
        <v>1698.1122436523438</v>
      </c>
      <c r="AO9" s="69">
        <v>1984.3632071177162</v>
      </c>
      <c r="AP9" s="69">
        <v>531.86916839281719</v>
      </c>
      <c r="AQ9" s="69">
        <v>418.25842672983805</v>
      </c>
      <c r="AR9" s="69">
        <v>115.1371984879176</v>
      </c>
      <c r="AS9" s="69">
        <v>537.36187060674024</v>
      </c>
    </row>
    <row r="10" spans="1:55" x14ac:dyDescent="0.25">
      <c r="A10" s="11">
        <v>44503</v>
      </c>
      <c r="B10" s="59"/>
      <c r="C10" s="60">
        <v>0</v>
      </c>
      <c r="D10" s="60">
        <v>0</v>
      </c>
      <c r="E10" s="448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1485.9383619838488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3.270353677537706</v>
      </c>
      <c r="AC10" s="69">
        <v>0</v>
      </c>
      <c r="AD10" s="402">
        <v>0</v>
      </c>
      <c r="AE10" s="406">
        <v>0</v>
      </c>
      <c r="AF10" s="69">
        <v>0</v>
      </c>
      <c r="AG10" s="68">
        <v>0</v>
      </c>
      <c r="AH10" s="68">
        <v>0</v>
      </c>
      <c r="AI10" s="68">
        <v>0</v>
      </c>
      <c r="AJ10" s="69">
        <v>246.1925438483556</v>
      </c>
      <c r="AK10" s="69">
        <v>378.05009628931685</v>
      </c>
      <c r="AL10" s="69">
        <v>737.78480199178068</v>
      </c>
      <c r="AM10" s="69">
        <v>133.49601745605469</v>
      </c>
      <c r="AN10" s="69">
        <v>1411.000056584676</v>
      </c>
      <c r="AO10" s="69">
        <v>1938.7612981796267</v>
      </c>
      <c r="AP10" s="69">
        <v>469.29689653714496</v>
      </c>
      <c r="AQ10" s="69">
        <v>395.3789959112803</v>
      </c>
      <c r="AR10" s="69">
        <v>92.723707632223778</v>
      </c>
      <c r="AS10" s="69">
        <v>576.62911574045813</v>
      </c>
    </row>
    <row r="11" spans="1:55" x14ac:dyDescent="0.25">
      <c r="A11" s="11">
        <v>44504</v>
      </c>
      <c r="B11" s="59"/>
      <c r="C11" s="60">
        <v>0</v>
      </c>
      <c r="D11" s="60">
        <v>0</v>
      </c>
      <c r="E11" s="448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1483.0313302781624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402">
        <v>0</v>
      </c>
      <c r="AE11" s="406">
        <v>0</v>
      </c>
      <c r="AF11" s="69">
        <v>0</v>
      </c>
      <c r="AG11" s="68">
        <v>0</v>
      </c>
      <c r="AH11" s="68">
        <v>0</v>
      </c>
      <c r="AI11" s="68">
        <v>0</v>
      </c>
      <c r="AJ11" s="69">
        <v>226.66321288744615</v>
      </c>
      <c r="AK11" s="69">
        <v>345.19468633333844</v>
      </c>
      <c r="AL11" s="69">
        <v>790.37676111857093</v>
      </c>
      <c r="AM11" s="69">
        <v>133.49601745605469</v>
      </c>
      <c r="AN11" s="69">
        <v>1361.4156188964844</v>
      </c>
      <c r="AO11" s="69">
        <v>1922.4036447525018</v>
      </c>
      <c r="AP11" s="69">
        <v>453.3115542888641</v>
      </c>
      <c r="AQ11" s="69">
        <v>360.32929371198026</v>
      </c>
      <c r="AR11" s="69">
        <v>80.331815397739419</v>
      </c>
      <c r="AS11" s="69">
        <v>677.19039897918697</v>
      </c>
    </row>
    <row r="12" spans="1:55" x14ac:dyDescent="0.25">
      <c r="A12" s="11">
        <v>44505</v>
      </c>
      <c r="B12" s="59"/>
      <c r="C12" s="60">
        <v>0</v>
      </c>
      <c r="D12" s="60">
        <v>0</v>
      </c>
      <c r="E12" s="448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1481.726413302918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402">
        <v>0</v>
      </c>
      <c r="AE12" s="406">
        <v>0</v>
      </c>
      <c r="AF12" s="69">
        <v>0</v>
      </c>
      <c r="AG12" s="68">
        <v>0</v>
      </c>
      <c r="AH12" s="68">
        <v>0</v>
      </c>
      <c r="AI12" s="68">
        <v>0</v>
      </c>
      <c r="AJ12" s="69">
        <v>249.48642083009085</v>
      </c>
      <c r="AK12" s="69">
        <v>361.331005748113</v>
      </c>
      <c r="AL12" s="69">
        <v>928.15850626627605</v>
      </c>
      <c r="AM12" s="69">
        <v>133.49601745605469</v>
      </c>
      <c r="AN12" s="69">
        <v>1361.4156188964844</v>
      </c>
      <c r="AO12" s="69">
        <v>1959.6879004160564</v>
      </c>
      <c r="AP12" s="69">
        <v>431.68404749234514</v>
      </c>
      <c r="AQ12" s="69">
        <v>329.4838760058085</v>
      </c>
      <c r="AR12" s="69">
        <v>86.271633478005725</v>
      </c>
      <c r="AS12" s="69">
        <v>617.69732182820621</v>
      </c>
    </row>
    <row r="13" spans="1:55" x14ac:dyDescent="0.25">
      <c r="A13" s="11">
        <v>44506</v>
      </c>
      <c r="B13" s="59"/>
      <c r="C13" s="60">
        <v>0</v>
      </c>
      <c r="D13" s="60">
        <v>0</v>
      </c>
      <c r="E13" s="448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1481.7282935248174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402">
        <v>0</v>
      </c>
      <c r="AE13" s="406">
        <v>0</v>
      </c>
      <c r="AF13" s="69">
        <v>0</v>
      </c>
      <c r="AG13" s="68">
        <v>0</v>
      </c>
      <c r="AH13" s="68">
        <v>0</v>
      </c>
      <c r="AI13" s="68">
        <v>0</v>
      </c>
      <c r="AJ13" s="69">
        <v>255.67284909089409</v>
      </c>
      <c r="AK13" s="69">
        <v>369.65587951342258</v>
      </c>
      <c r="AL13" s="69">
        <v>928.77427762349441</v>
      </c>
      <c r="AM13" s="69">
        <v>133.49601745605469</v>
      </c>
      <c r="AN13" s="69">
        <v>1361.4156188964844</v>
      </c>
      <c r="AO13" s="69">
        <v>1956.1134402592975</v>
      </c>
      <c r="AP13" s="69">
        <v>432.85327123006175</v>
      </c>
      <c r="AQ13" s="69">
        <v>326.06208570798242</v>
      </c>
      <c r="AR13" s="69">
        <v>63.347376362482713</v>
      </c>
      <c r="AS13" s="69">
        <v>456.05507558186849</v>
      </c>
    </row>
    <row r="14" spans="1:55" x14ac:dyDescent="0.25">
      <c r="A14" s="11">
        <v>44507</v>
      </c>
      <c r="B14" s="59"/>
      <c r="C14" s="60">
        <v>0</v>
      </c>
      <c r="D14" s="60">
        <v>0</v>
      </c>
      <c r="E14" s="448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1481.7208816528175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402">
        <v>0</v>
      </c>
      <c r="AE14" s="406">
        <v>0</v>
      </c>
      <c r="AF14" s="69">
        <v>0</v>
      </c>
      <c r="AG14" s="68">
        <v>0</v>
      </c>
      <c r="AH14" s="68">
        <v>0</v>
      </c>
      <c r="AI14" s="68">
        <v>0</v>
      </c>
      <c r="AJ14" s="69">
        <v>252.13526438872017</v>
      </c>
      <c r="AK14" s="69">
        <v>369.87862075169886</v>
      </c>
      <c r="AL14" s="69">
        <v>768.53833452860522</v>
      </c>
      <c r="AM14" s="69">
        <v>133.49601745605469</v>
      </c>
      <c r="AN14" s="69">
        <v>1361.4156188964844</v>
      </c>
      <c r="AO14" s="69">
        <v>1994.7738624572755</v>
      </c>
      <c r="AP14" s="69">
        <v>436.99126965204869</v>
      </c>
      <c r="AQ14" s="69">
        <v>320.88451191584267</v>
      </c>
      <c r="AR14" s="69">
        <v>63.651016863187159</v>
      </c>
      <c r="AS14" s="69">
        <v>452.87469429969798</v>
      </c>
    </row>
    <row r="15" spans="1:55" x14ac:dyDescent="0.25">
      <c r="A15" s="11">
        <v>44508</v>
      </c>
      <c r="B15" s="59"/>
      <c r="C15" s="60">
        <v>0</v>
      </c>
      <c r="D15" s="60">
        <v>5.6062070528666179E-2</v>
      </c>
      <c r="E15" s="448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1481.8788810729648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402">
        <v>0</v>
      </c>
      <c r="AE15" s="406">
        <v>0</v>
      </c>
      <c r="AF15" s="69">
        <v>0</v>
      </c>
      <c r="AG15" s="68">
        <v>0</v>
      </c>
      <c r="AH15" s="68">
        <v>0</v>
      </c>
      <c r="AI15" s="68">
        <v>0</v>
      </c>
      <c r="AJ15" s="69">
        <v>228.71405316988623</v>
      </c>
      <c r="AK15" s="69">
        <v>340.86349933942159</v>
      </c>
      <c r="AL15" s="69">
        <v>671.10174001057942</v>
      </c>
      <c r="AM15" s="69">
        <v>133.49601745605469</v>
      </c>
      <c r="AN15" s="69">
        <v>1361.4156188964844</v>
      </c>
      <c r="AO15" s="69">
        <v>1884.1530621846518</v>
      </c>
      <c r="AP15" s="69">
        <v>451.48216207822162</v>
      </c>
      <c r="AQ15" s="69">
        <v>334.30807816187541</v>
      </c>
      <c r="AR15" s="69">
        <v>68.621160209178925</v>
      </c>
      <c r="AS15" s="69">
        <v>479.21060806910202</v>
      </c>
    </row>
    <row r="16" spans="1:55" x14ac:dyDescent="0.25">
      <c r="A16" s="11">
        <v>44509</v>
      </c>
      <c r="B16" s="59"/>
      <c r="C16" s="60">
        <v>0</v>
      </c>
      <c r="D16" s="60">
        <v>0</v>
      </c>
      <c r="E16" s="448">
        <v>0</v>
      </c>
      <c r="F16" s="60">
        <v>0</v>
      </c>
      <c r="G16" s="60">
        <v>0</v>
      </c>
      <c r="H16" s="61">
        <v>0</v>
      </c>
      <c r="I16" s="59">
        <v>10.069362465540564</v>
      </c>
      <c r="J16" s="60">
        <v>5.0987348715464282</v>
      </c>
      <c r="K16" s="60">
        <v>0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691.47236372099746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2.9903670893775089</v>
      </c>
      <c r="AC16" s="69">
        <v>0</v>
      </c>
      <c r="AD16" s="402">
        <v>0</v>
      </c>
      <c r="AE16" s="406">
        <v>0</v>
      </c>
      <c r="AF16" s="69">
        <v>0</v>
      </c>
      <c r="AG16" s="68">
        <v>0</v>
      </c>
      <c r="AH16" s="68">
        <v>0</v>
      </c>
      <c r="AI16" s="68">
        <v>0</v>
      </c>
      <c r="AJ16" s="69">
        <v>238.87269349098204</v>
      </c>
      <c r="AK16" s="69">
        <v>366.95977581342072</v>
      </c>
      <c r="AL16" s="69">
        <v>833.78411986033132</v>
      </c>
      <c r="AM16" s="69">
        <v>133.49601745605469</v>
      </c>
      <c r="AN16" s="69">
        <v>1361.4156188964844</v>
      </c>
      <c r="AO16" s="69">
        <v>1965.4547337849933</v>
      </c>
      <c r="AP16" s="69">
        <v>487.12472281456002</v>
      </c>
      <c r="AQ16" s="69">
        <v>421.27708320617671</v>
      </c>
      <c r="AR16" s="69">
        <v>91.427384535471589</v>
      </c>
      <c r="AS16" s="69">
        <v>556.49540411631278</v>
      </c>
    </row>
    <row r="17" spans="1:45" x14ac:dyDescent="0.25">
      <c r="A17" s="11">
        <v>44510</v>
      </c>
      <c r="B17" s="49"/>
      <c r="C17" s="50">
        <v>0</v>
      </c>
      <c r="D17" s="50">
        <v>0</v>
      </c>
      <c r="E17" s="448">
        <v>0</v>
      </c>
      <c r="F17" s="50">
        <v>0</v>
      </c>
      <c r="G17" s="50">
        <v>0</v>
      </c>
      <c r="H17" s="51">
        <v>0</v>
      </c>
      <c r="I17" s="49">
        <v>145.87169849872589</v>
      </c>
      <c r="J17" s="50">
        <v>329.12897143363926</v>
      </c>
      <c r="K17" s="50">
        <v>18.251871306200833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131.74113275739847</v>
      </c>
      <c r="V17" s="66">
        <v>0</v>
      </c>
      <c r="W17" s="62">
        <v>13.861786182721454</v>
      </c>
      <c r="X17" s="62">
        <v>0</v>
      </c>
      <c r="Y17" s="66">
        <v>66.31908178329472</v>
      </c>
      <c r="Z17" s="66">
        <v>0</v>
      </c>
      <c r="AA17" s="67">
        <v>0</v>
      </c>
      <c r="AB17" s="68">
        <v>40.484364838070327</v>
      </c>
      <c r="AC17" s="69">
        <v>0</v>
      </c>
      <c r="AD17" s="402">
        <v>8.9957726663517761</v>
      </c>
      <c r="AE17" s="406">
        <v>0</v>
      </c>
      <c r="AF17" s="69">
        <v>2.0129097001420138</v>
      </c>
      <c r="AG17" s="68">
        <v>4.0056786895195788</v>
      </c>
      <c r="AH17" s="68">
        <v>0</v>
      </c>
      <c r="AI17" s="68">
        <v>1</v>
      </c>
      <c r="AJ17" s="69">
        <v>234.9262972036997</v>
      </c>
      <c r="AK17" s="69">
        <v>364.60838932991032</v>
      </c>
      <c r="AL17" s="69">
        <v>818.89228700002025</v>
      </c>
      <c r="AM17" s="69">
        <v>133.49601745605469</v>
      </c>
      <c r="AN17" s="69">
        <v>1361.4156188964844</v>
      </c>
      <c r="AO17" s="69">
        <v>1946.5576302846273</v>
      </c>
      <c r="AP17" s="69">
        <v>502.56565459569305</v>
      </c>
      <c r="AQ17" s="69">
        <v>1031.2822979927062</v>
      </c>
      <c r="AR17" s="69">
        <v>188.41770338614782</v>
      </c>
      <c r="AS17" s="69">
        <v>555.49774443308524</v>
      </c>
    </row>
    <row r="18" spans="1:45" x14ac:dyDescent="0.25">
      <c r="A18" s="11">
        <v>44511</v>
      </c>
      <c r="B18" s="59"/>
      <c r="C18" s="60">
        <v>0</v>
      </c>
      <c r="D18" s="60">
        <v>0</v>
      </c>
      <c r="E18" s="448">
        <v>0</v>
      </c>
      <c r="F18" s="60">
        <v>0</v>
      </c>
      <c r="G18" s="60">
        <v>0</v>
      </c>
      <c r="H18" s="61">
        <v>0</v>
      </c>
      <c r="I18" s="59">
        <v>226.58569830258659</v>
      </c>
      <c r="J18" s="60">
        <v>519.86715408961004</v>
      </c>
      <c r="K18" s="60">
        <v>28.649985312422142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337.30075346628911</v>
      </c>
      <c r="V18" s="62">
        <v>0</v>
      </c>
      <c r="W18" s="62">
        <v>53.963617257277122</v>
      </c>
      <c r="X18" s="62">
        <v>0</v>
      </c>
      <c r="Y18" s="66">
        <v>183.86452682812987</v>
      </c>
      <c r="Z18" s="66">
        <v>0</v>
      </c>
      <c r="AA18" s="67">
        <v>0</v>
      </c>
      <c r="AB18" s="68">
        <v>65.631263126267129</v>
      </c>
      <c r="AC18" s="69">
        <v>0</v>
      </c>
      <c r="AD18" s="402">
        <v>14.006955976278103</v>
      </c>
      <c r="AE18" s="406">
        <v>0</v>
      </c>
      <c r="AF18" s="69">
        <v>12.76626498268711</v>
      </c>
      <c r="AG18" s="68">
        <v>12.499287626244497</v>
      </c>
      <c r="AH18" s="68">
        <v>0</v>
      </c>
      <c r="AI18" s="68">
        <v>1</v>
      </c>
      <c r="AJ18" s="69">
        <v>250.70390156904858</v>
      </c>
      <c r="AK18" s="69">
        <v>389.91480078697219</v>
      </c>
      <c r="AL18" s="69">
        <v>745.52994906107585</v>
      </c>
      <c r="AM18" s="69">
        <v>133.49601745605469</v>
      </c>
      <c r="AN18" s="69">
        <v>1361.4156188964844</v>
      </c>
      <c r="AO18" s="69">
        <v>1999.9845952351886</v>
      </c>
      <c r="AP18" s="69">
        <v>518.55228851636252</v>
      </c>
      <c r="AQ18" s="69">
        <v>1954.1040262222289</v>
      </c>
      <c r="AR18" s="69">
        <v>233.04739259878795</v>
      </c>
      <c r="AS18" s="69">
        <v>559.09555406570439</v>
      </c>
    </row>
    <row r="19" spans="1:45" x14ac:dyDescent="0.25">
      <c r="A19" s="11">
        <v>44512</v>
      </c>
      <c r="B19" s="59"/>
      <c r="C19" s="60">
        <v>0</v>
      </c>
      <c r="D19" s="60">
        <v>0</v>
      </c>
      <c r="E19" s="448">
        <v>0</v>
      </c>
      <c r="F19" s="60">
        <v>0</v>
      </c>
      <c r="G19" s="60">
        <v>0</v>
      </c>
      <c r="H19" s="61">
        <v>0</v>
      </c>
      <c r="I19" s="59">
        <v>225.81973875363701</v>
      </c>
      <c r="J19" s="60">
        <v>518.00413767496764</v>
      </c>
      <c r="K19" s="60">
        <v>28.511877655983007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353.4356182071885</v>
      </c>
      <c r="V19" s="62">
        <v>0</v>
      </c>
      <c r="W19" s="62">
        <v>56.656806441148085</v>
      </c>
      <c r="X19" s="62">
        <v>0</v>
      </c>
      <c r="Y19" s="66">
        <v>183.49392344156902</v>
      </c>
      <c r="Z19" s="66">
        <v>0</v>
      </c>
      <c r="AA19" s="67">
        <v>0</v>
      </c>
      <c r="AB19" s="68">
        <v>65.270147217644762</v>
      </c>
      <c r="AC19" s="69">
        <v>0</v>
      </c>
      <c r="AD19" s="402">
        <v>13.95544573316392</v>
      </c>
      <c r="AE19" s="406">
        <v>0</v>
      </c>
      <c r="AF19" s="69">
        <v>13.243080811368076</v>
      </c>
      <c r="AG19" s="68">
        <v>12.988076930195387</v>
      </c>
      <c r="AH19" s="68">
        <v>0</v>
      </c>
      <c r="AI19" s="68">
        <v>1</v>
      </c>
      <c r="AJ19" s="69">
        <v>241.93157780965171</v>
      </c>
      <c r="AK19" s="69">
        <v>383.05208012262977</v>
      </c>
      <c r="AL19" s="69">
        <v>725.4749249776205</v>
      </c>
      <c r="AM19" s="69">
        <v>133.49601745605469</v>
      </c>
      <c r="AN19" s="69">
        <v>1361.4156188964844</v>
      </c>
      <c r="AO19" s="69">
        <v>1961.7225856781008</v>
      </c>
      <c r="AP19" s="69">
        <v>540.39545701344809</v>
      </c>
      <c r="AQ19" s="69">
        <v>1953.8309790929156</v>
      </c>
      <c r="AR19" s="69">
        <v>228.19251443545025</v>
      </c>
      <c r="AS19" s="69">
        <v>555.863708782196</v>
      </c>
    </row>
    <row r="20" spans="1:45" x14ac:dyDescent="0.25">
      <c r="A20" s="11">
        <v>44513</v>
      </c>
      <c r="B20" s="59"/>
      <c r="C20" s="60">
        <v>0</v>
      </c>
      <c r="D20" s="60">
        <v>0</v>
      </c>
      <c r="E20" s="448">
        <v>0</v>
      </c>
      <c r="F20" s="60">
        <v>0</v>
      </c>
      <c r="G20" s="60">
        <v>0</v>
      </c>
      <c r="H20" s="61">
        <v>0</v>
      </c>
      <c r="I20" s="59">
        <v>225.87898154258744</v>
      </c>
      <c r="J20" s="60">
        <v>517.95290095011433</v>
      </c>
      <c r="K20" s="60">
        <v>28.47873031099639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342.34427509307733</v>
      </c>
      <c r="V20" s="62">
        <v>0</v>
      </c>
      <c r="W20" s="62">
        <v>57.576072879632285</v>
      </c>
      <c r="X20" s="62">
        <v>0</v>
      </c>
      <c r="Y20" s="66">
        <v>186.78703541755661</v>
      </c>
      <c r="Z20" s="66">
        <v>0</v>
      </c>
      <c r="AA20" s="67">
        <v>0</v>
      </c>
      <c r="AB20" s="68">
        <v>65.083610990312238</v>
      </c>
      <c r="AC20" s="69">
        <v>0</v>
      </c>
      <c r="AD20" s="402">
        <v>13.955685107048753</v>
      </c>
      <c r="AE20" s="406">
        <v>0</v>
      </c>
      <c r="AF20" s="69">
        <v>13.633789293302433</v>
      </c>
      <c r="AG20" s="68">
        <v>13.365613106289382</v>
      </c>
      <c r="AH20" s="68">
        <v>0</v>
      </c>
      <c r="AI20" s="68">
        <v>1</v>
      </c>
      <c r="AJ20" s="69">
        <v>227.78974243005115</v>
      </c>
      <c r="AK20" s="69">
        <v>359.5737763404847</v>
      </c>
      <c r="AL20" s="69">
        <v>756.64081096649181</v>
      </c>
      <c r="AM20" s="69">
        <v>133.49601745605469</v>
      </c>
      <c r="AN20" s="69">
        <v>1361.4156188964844</v>
      </c>
      <c r="AO20" s="69">
        <v>1979.456148211161</v>
      </c>
      <c r="AP20" s="69">
        <v>488.56657333374022</v>
      </c>
      <c r="AQ20" s="69">
        <v>1890.3252539952596</v>
      </c>
      <c r="AR20" s="69">
        <v>207.96943988005322</v>
      </c>
      <c r="AS20" s="69">
        <v>593.86217606862385</v>
      </c>
    </row>
    <row r="21" spans="1:45" x14ac:dyDescent="0.25">
      <c r="A21" s="11">
        <v>44514</v>
      </c>
      <c r="B21" s="59"/>
      <c r="C21" s="60">
        <v>0</v>
      </c>
      <c r="D21" s="60">
        <v>0</v>
      </c>
      <c r="E21" s="448">
        <v>0</v>
      </c>
      <c r="F21" s="60">
        <v>0</v>
      </c>
      <c r="G21" s="60">
        <v>0</v>
      </c>
      <c r="H21" s="61">
        <v>0</v>
      </c>
      <c r="I21" s="59">
        <v>225.87470148404455</v>
      </c>
      <c r="J21" s="60">
        <v>518.0769934018457</v>
      </c>
      <c r="K21" s="60">
        <v>28.469152730703385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339.30442909664549</v>
      </c>
      <c r="V21" s="62">
        <v>0</v>
      </c>
      <c r="W21" s="62">
        <v>56.655973124504165</v>
      </c>
      <c r="X21" s="62">
        <v>0</v>
      </c>
      <c r="Y21" s="66">
        <v>184.64573892752335</v>
      </c>
      <c r="Z21" s="66">
        <v>0</v>
      </c>
      <c r="AA21" s="67">
        <v>0</v>
      </c>
      <c r="AB21" s="68">
        <v>65.083365948995137</v>
      </c>
      <c r="AC21" s="69">
        <v>0</v>
      </c>
      <c r="AD21" s="402">
        <v>13.955535288114204</v>
      </c>
      <c r="AE21" s="406">
        <v>0</v>
      </c>
      <c r="AF21" s="69">
        <v>13.513335449496875</v>
      </c>
      <c r="AG21" s="68">
        <v>13.254525447137885</v>
      </c>
      <c r="AH21" s="68">
        <v>0</v>
      </c>
      <c r="AI21" s="68">
        <v>1</v>
      </c>
      <c r="AJ21" s="69">
        <v>228.58877180417375</v>
      </c>
      <c r="AK21" s="69">
        <v>362.27460026741028</v>
      </c>
      <c r="AL21" s="69">
        <v>813.6312571843464</v>
      </c>
      <c r="AM21" s="69">
        <v>133.49601745605469</v>
      </c>
      <c r="AN21" s="69">
        <v>1361.4156188964844</v>
      </c>
      <c r="AO21" s="69">
        <v>2086.0475248972575</v>
      </c>
      <c r="AP21" s="69">
        <v>505.11015415191639</v>
      </c>
      <c r="AQ21" s="69">
        <v>1889.7022477467856</v>
      </c>
      <c r="AR21" s="69">
        <v>209.3286646604538</v>
      </c>
      <c r="AS21" s="69">
        <v>606.35157572428386</v>
      </c>
    </row>
    <row r="22" spans="1:45" x14ac:dyDescent="0.25">
      <c r="A22" s="11">
        <v>44515</v>
      </c>
      <c r="B22" s="59"/>
      <c r="C22" s="60">
        <v>0</v>
      </c>
      <c r="D22" s="60">
        <v>0</v>
      </c>
      <c r="E22" s="448">
        <v>0</v>
      </c>
      <c r="F22" s="60">
        <v>0</v>
      </c>
      <c r="G22" s="60">
        <v>0</v>
      </c>
      <c r="H22" s="61">
        <v>0</v>
      </c>
      <c r="I22" s="59">
        <v>225.70399430592852</v>
      </c>
      <c r="J22" s="60">
        <v>518.23293263117534</v>
      </c>
      <c r="K22" s="60">
        <v>28.515872793396362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363.72233419882082</v>
      </c>
      <c r="V22" s="62">
        <v>0</v>
      </c>
      <c r="W22" s="62">
        <v>57.997724946339893</v>
      </c>
      <c r="X22" s="62">
        <v>0</v>
      </c>
      <c r="Y22" s="66">
        <v>187.58846480051682</v>
      </c>
      <c r="Z22" s="66">
        <v>0</v>
      </c>
      <c r="AA22" s="67">
        <v>0</v>
      </c>
      <c r="AB22" s="68">
        <v>65.087013451258741</v>
      </c>
      <c r="AC22" s="69">
        <v>0</v>
      </c>
      <c r="AD22" s="402">
        <v>13.949732500969459</v>
      </c>
      <c r="AE22" s="406">
        <v>0</v>
      </c>
      <c r="AF22" s="69">
        <v>13.632567184832366</v>
      </c>
      <c r="AG22" s="68">
        <v>13.3690731920983</v>
      </c>
      <c r="AH22" s="68">
        <v>0</v>
      </c>
      <c r="AI22" s="68">
        <v>1</v>
      </c>
      <c r="AJ22" s="69">
        <v>206.5215791543325</v>
      </c>
      <c r="AK22" s="69">
        <v>331.70037560462947</v>
      </c>
      <c r="AL22" s="69">
        <v>865.73724123636896</v>
      </c>
      <c r="AM22" s="69">
        <v>133.49601745605469</v>
      </c>
      <c r="AN22" s="69">
        <v>1361.4156188964844</v>
      </c>
      <c r="AO22" s="69">
        <v>2044.47367960612</v>
      </c>
      <c r="AP22" s="69">
        <v>532.82095543543494</v>
      </c>
      <c r="AQ22" s="69">
        <v>1855.0882007598877</v>
      </c>
      <c r="AR22" s="69">
        <v>193.79963823954262</v>
      </c>
      <c r="AS22" s="69">
        <v>696.60943841934204</v>
      </c>
    </row>
    <row r="23" spans="1:45" x14ac:dyDescent="0.25">
      <c r="A23" s="11">
        <v>44516</v>
      </c>
      <c r="B23" s="59"/>
      <c r="C23" s="60">
        <v>0</v>
      </c>
      <c r="D23" s="60">
        <v>0</v>
      </c>
      <c r="E23" s="448">
        <v>0</v>
      </c>
      <c r="F23" s="60">
        <v>0</v>
      </c>
      <c r="G23" s="60">
        <v>0</v>
      </c>
      <c r="H23" s="61">
        <v>0</v>
      </c>
      <c r="I23" s="59">
        <v>223.3980734348302</v>
      </c>
      <c r="J23" s="60">
        <v>517.74503889083906</v>
      </c>
      <c r="K23" s="60">
        <v>28.504656045635564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312.08491763008698</v>
      </c>
      <c r="V23" s="62">
        <v>0</v>
      </c>
      <c r="W23" s="62">
        <v>56.476741381486185</v>
      </c>
      <c r="X23" s="62">
        <v>0</v>
      </c>
      <c r="Y23" s="66">
        <v>186.4310214360554</v>
      </c>
      <c r="Z23" s="66">
        <v>0</v>
      </c>
      <c r="AA23" s="67">
        <v>0</v>
      </c>
      <c r="AB23" s="68">
        <v>65.086017974218208</v>
      </c>
      <c r="AC23" s="69">
        <v>0</v>
      </c>
      <c r="AD23" s="402">
        <v>13.9478987656762</v>
      </c>
      <c r="AE23" s="406">
        <v>0</v>
      </c>
      <c r="AF23" s="69">
        <v>13.632008865144524</v>
      </c>
      <c r="AG23" s="68">
        <v>13.368066137784632</v>
      </c>
      <c r="AH23" s="68">
        <v>0</v>
      </c>
      <c r="AI23" s="68">
        <v>1</v>
      </c>
      <c r="AJ23" s="69">
        <v>199.97553393046064</v>
      </c>
      <c r="AK23" s="69">
        <v>329.9948750654857</v>
      </c>
      <c r="AL23" s="69">
        <v>821.83932418823247</v>
      </c>
      <c r="AM23" s="69">
        <v>133.49601745605469</v>
      </c>
      <c r="AN23" s="69">
        <v>1361.4156188964844</v>
      </c>
      <c r="AO23" s="69">
        <v>2027.4054761250816</v>
      </c>
      <c r="AP23" s="69">
        <v>459.48304999669404</v>
      </c>
      <c r="AQ23" s="69">
        <v>1833.4397469838461</v>
      </c>
      <c r="AR23" s="69">
        <v>202.2782853126526</v>
      </c>
      <c r="AS23" s="69">
        <v>705.46385231018087</v>
      </c>
    </row>
    <row r="24" spans="1:45" x14ac:dyDescent="0.25">
      <c r="A24" s="11">
        <v>44517</v>
      </c>
      <c r="B24" s="59"/>
      <c r="C24" s="60">
        <v>0</v>
      </c>
      <c r="D24" s="60">
        <v>0</v>
      </c>
      <c r="E24" s="448">
        <v>0</v>
      </c>
      <c r="F24" s="60">
        <v>0</v>
      </c>
      <c r="G24" s="60">
        <v>0</v>
      </c>
      <c r="H24" s="61">
        <v>0</v>
      </c>
      <c r="I24" s="59">
        <v>194.16959504286442</v>
      </c>
      <c r="J24" s="60">
        <v>517.87897640864151</v>
      </c>
      <c r="K24" s="60">
        <v>28.500056314468388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298.55660989549278</v>
      </c>
      <c r="V24" s="62">
        <v>0</v>
      </c>
      <c r="W24" s="62">
        <v>55.002407574653724</v>
      </c>
      <c r="X24" s="62">
        <v>0</v>
      </c>
      <c r="Y24" s="66">
        <v>177.65353500048337</v>
      </c>
      <c r="Z24" s="66">
        <v>0</v>
      </c>
      <c r="AA24" s="67">
        <v>0</v>
      </c>
      <c r="AB24" s="68">
        <v>65.595137903424899</v>
      </c>
      <c r="AC24" s="69">
        <v>0</v>
      </c>
      <c r="AD24" s="402">
        <v>13.951068615675849</v>
      </c>
      <c r="AE24" s="406">
        <v>0</v>
      </c>
      <c r="AF24" s="69">
        <v>13.078422693411522</v>
      </c>
      <c r="AG24" s="68">
        <v>12.817728338253264</v>
      </c>
      <c r="AH24" s="68">
        <v>0</v>
      </c>
      <c r="AI24" s="68">
        <v>1</v>
      </c>
      <c r="AJ24" s="69">
        <v>245.04026950200404</v>
      </c>
      <c r="AK24" s="69">
        <v>387.92264332771299</v>
      </c>
      <c r="AL24" s="69">
        <v>685.08190937042241</v>
      </c>
      <c r="AM24" s="69">
        <v>133.49601745605469</v>
      </c>
      <c r="AN24" s="69">
        <v>1361.4156188964844</v>
      </c>
      <c r="AO24" s="69">
        <v>2052.0662066141767</v>
      </c>
      <c r="AP24" s="69">
        <v>537.09054209391263</v>
      </c>
      <c r="AQ24" s="69">
        <v>1916.6184946695962</v>
      </c>
      <c r="AR24" s="69">
        <v>266.51011658509572</v>
      </c>
      <c r="AS24" s="69">
        <v>562.13761949539173</v>
      </c>
    </row>
    <row r="25" spans="1:45" x14ac:dyDescent="0.25">
      <c r="A25" s="11">
        <v>44518</v>
      </c>
      <c r="B25" s="59"/>
      <c r="C25" s="60">
        <v>0</v>
      </c>
      <c r="D25" s="60">
        <v>0</v>
      </c>
      <c r="E25" s="448">
        <v>0</v>
      </c>
      <c r="F25" s="60">
        <v>0</v>
      </c>
      <c r="G25" s="60">
        <v>0</v>
      </c>
      <c r="H25" s="61">
        <v>0</v>
      </c>
      <c r="I25" s="59">
        <v>193.99358050823199</v>
      </c>
      <c r="J25" s="60">
        <v>517.23766825993926</v>
      </c>
      <c r="K25" s="60">
        <v>28.416145435969081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309.77474384308056</v>
      </c>
      <c r="V25" s="62">
        <v>0</v>
      </c>
      <c r="W25" s="62">
        <v>56.051451098918882</v>
      </c>
      <c r="X25" s="62">
        <v>0</v>
      </c>
      <c r="Y25" s="66">
        <v>183.28913133144363</v>
      </c>
      <c r="Z25" s="66">
        <v>0</v>
      </c>
      <c r="AA25" s="67">
        <v>0</v>
      </c>
      <c r="AB25" s="68">
        <v>65.098027600181808</v>
      </c>
      <c r="AC25" s="69">
        <v>0</v>
      </c>
      <c r="AD25" s="402">
        <v>13.933588672487311</v>
      </c>
      <c r="AE25" s="406">
        <v>0</v>
      </c>
      <c r="AF25" s="69">
        <v>13.445866984460091</v>
      </c>
      <c r="AG25" s="68">
        <v>13.183477341328286</v>
      </c>
      <c r="AH25" s="68">
        <v>0</v>
      </c>
      <c r="AI25" s="68">
        <v>1</v>
      </c>
      <c r="AJ25" s="69">
        <v>252.72539154688516</v>
      </c>
      <c r="AK25" s="69">
        <v>414.23669492403656</v>
      </c>
      <c r="AL25" s="69">
        <v>783.16469777425129</v>
      </c>
      <c r="AM25" s="69">
        <v>133.49601745605469</v>
      </c>
      <c r="AN25" s="69">
        <v>1361.4156188964844</v>
      </c>
      <c r="AO25" s="69">
        <v>2077.8546496073409</v>
      </c>
      <c r="AP25" s="69">
        <v>592.62156050999965</v>
      </c>
      <c r="AQ25" s="69">
        <v>1952.3439754486083</v>
      </c>
      <c r="AR25" s="69">
        <v>278.8283664703369</v>
      </c>
      <c r="AS25" s="69">
        <v>554.81277170181272</v>
      </c>
    </row>
    <row r="26" spans="1:45" x14ac:dyDescent="0.25">
      <c r="A26" s="11">
        <v>44519</v>
      </c>
      <c r="B26" s="59"/>
      <c r="C26" s="60">
        <v>0</v>
      </c>
      <c r="D26" s="60">
        <v>0</v>
      </c>
      <c r="E26" s="448">
        <v>0</v>
      </c>
      <c r="F26" s="60">
        <v>0</v>
      </c>
      <c r="G26" s="60">
        <v>0</v>
      </c>
      <c r="H26" s="61">
        <v>0</v>
      </c>
      <c r="I26" s="59">
        <v>193.84183541933697</v>
      </c>
      <c r="J26" s="60">
        <v>516.82969096501654</v>
      </c>
      <c r="K26" s="60">
        <v>28.428350273768125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314.5450950834458</v>
      </c>
      <c r="V26" s="62">
        <v>0</v>
      </c>
      <c r="W26" s="62">
        <v>56.739603098233481</v>
      </c>
      <c r="X26" s="62">
        <v>0</v>
      </c>
      <c r="Y26" s="66">
        <v>188.26275307337457</v>
      </c>
      <c r="Z26" s="66">
        <v>0</v>
      </c>
      <c r="AA26" s="67">
        <v>0</v>
      </c>
      <c r="AB26" s="68">
        <v>65.084529733657746</v>
      </c>
      <c r="AC26" s="69">
        <v>0</v>
      </c>
      <c r="AD26" s="402">
        <v>13.916175315842452</v>
      </c>
      <c r="AE26" s="406">
        <v>0</v>
      </c>
      <c r="AF26" s="69">
        <v>13.399573297301936</v>
      </c>
      <c r="AG26" s="68">
        <v>13.129503391614586</v>
      </c>
      <c r="AH26" s="68">
        <v>0</v>
      </c>
      <c r="AI26" s="68">
        <v>1</v>
      </c>
      <c r="AJ26" s="69">
        <v>223.48712386290234</v>
      </c>
      <c r="AK26" s="69">
        <v>365.79659212430312</v>
      </c>
      <c r="AL26" s="69">
        <v>823.6329629898072</v>
      </c>
      <c r="AM26" s="69">
        <v>133.49601745605469</v>
      </c>
      <c r="AN26" s="69">
        <v>1361.4156188964844</v>
      </c>
      <c r="AO26" s="69">
        <v>2027.325480016073</v>
      </c>
      <c r="AP26" s="69">
        <v>507.49001143773393</v>
      </c>
      <c r="AQ26" s="69">
        <v>1897.7485336939492</v>
      </c>
      <c r="AR26" s="69">
        <v>426.05659667650855</v>
      </c>
      <c r="AS26" s="69">
        <v>604.94684842427569</v>
      </c>
    </row>
    <row r="27" spans="1:45" x14ac:dyDescent="0.25">
      <c r="A27" s="11">
        <v>44520</v>
      </c>
      <c r="B27" s="59"/>
      <c r="C27" s="60">
        <v>0</v>
      </c>
      <c r="D27" s="60">
        <v>0</v>
      </c>
      <c r="E27" s="448">
        <v>0</v>
      </c>
      <c r="F27" s="60">
        <v>0</v>
      </c>
      <c r="G27" s="60">
        <v>0</v>
      </c>
      <c r="H27" s="61">
        <v>0</v>
      </c>
      <c r="I27" s="59">
        <v>204.07495086193117</v>
      </c>
      <c r="J27" s="60">
        <v>516.78517386118654</v>
      </c>
      <c r="K27" s="60">
        <v>28.470930801828693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304.16740499072625</v>
      </c>
      <c r="V27" s="62">
        <v>0</v>
      </c>
      <c r="W27" s="62">
        <v>55.882555655638285</v>
      </c>
      <c r="X27" s="62">
        <v>0</v>
      </c>
      <c r="Y27" s="62">
        <v>187.61466461022709</v>
      </c>
      <c r="Z27" s="62">
        <v>0</v>
      </c>
      <c r="AA27" s="72">
        <v>0</v>
      </c>
      <c r="AB27" s="69">
        <v>65.083967590331966</v>
      </c>
      <c r="AC27" s="69">
        <v>0</v>
      </c>
      <c r="AD27" s="402">
        <v>13.911306729823105</v>
      </c>
      <c r="AE27" s="406">
        <v>0</v>
      </c>
      <c r="AF27" s="69">
        <v>13.423396604590957</v>
      </c>
      <c r="AG27" s="69">
        <v>13.171503448344854</v>
      </c>
      <c r="AH27" s="69">
        <v>0</v>
      </c>
      <c r="AI27" s="69">
        <v>1</v>
      </c>
      <c r="AJ27" s="69">
        <v>229.82391033172607</v>
      </c>
      <c r="AK27" s="69">
        <v>373.74652441342676</v>
      </c>
      <c r="AL27" s="69">
        <v>718.59494241078698</v>
      </c>
      <c r="AM27" s="69">
        <v>133.49601745605469</v>
      </c>
      <c r="AN27" s="69">
        <v>1361.4156188964844</v>
      </c>
      <c r="AO27" s="69">
        <v>1971.4567216237385</v>
      </c>
      <c r="AP27" s="69">
        <v>496.45674354235342</v>
      </c>
      <c r="AQ27" s="69">
        <v>1895.8437469482426</v>
      </c>
      <c r="AR27" s="69">
        <v>488.99447816212967</v>
      </c>
      <c r="AS27" s="69">
        <v>530.49984693527222</v>
      </c>
    </row>
    <row r="28" spans="1:45" x14ac:dyDescent="0.25">
      <c r="A28" s="11">
        <v>44521</v>
      </c>
      <c r="B28" s="59"/>
      <c r="C28" s="60">
        <v>0</v>
      </c>
      <c r="D28" s="60">
        <v>0</v>
      </c>
      <c r="E28" s="448">
        <v>0</v>
      </c>
      <c r="F28" s="60">
        <v>0</v>
      </c>
      <c r="G28" s="60">
        <v>0</v>
      </c>
      <c r="H28" s="61">
        <v>0</v>
      </c>
      <c r="I28" s="59">
        <v>205.98646359443708</v>
      </c>
      <c r="J28" s="60">
        <v>513.50885718663585</v>
      </c>
      <c r="K28" s="60">
        <v>28.237868572274884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304.39179549746996</v>
      </c>
      <c r="V28" s="62">
        <v>0</v>
      </c>
      <c r="W28" s="62">
        <v>56.714881916840881</v>
      </c>
      <c r="X28" s="62">
        <v>0</v>
      </c>
      <c r="Y28" s="66">
        <v>194.49645533561693</v>
      </c>
      <c r="Z28" s="66">
        <v>0</v>
      </c>
      <c r="AA28" s="67">
        <v>0</v>
      </c>
      <c r="AB28" s="68">
        <v>64.776681823201471</v>
      </c>
      <c r="AC28" s="69">
        <v>0</v>
      </c>
      <c r="AD28" s="402">
        <v>13.821232258832048</v>
      </c>
      <c r="AE28" s="406">
        <v>0</v>
      </c>
      <c r="AF28" s="69">
        <v>13.293682571583309</v>
      </c>
      <c r="AG28" s="68">
        <v>13.125036755715719</v>
      </c>
      <c r="AH28" s="68">
        <v>0</v>
      </c>
      <c r="AI28" s="68">
        <v>1</v>
      </c>
      <c r="AJ28" s="69">
        <v>238.96535603205359</v>
      </c>
      <c r="AK28" s="69">
        <v>390.68335639635711</v>
      </c>
      <c r="AL28" s="69">
        <v>732.3836793581645</v>
      </c>
      <c r="AM28" s="69">
        <v>133.49601745605469</v>
      </c>
      <c r="AN28" s="69">
        <v>1361.4156188964844</v>
      </c>
      <c r="AO28" s="69">
        <v>1991.5847145080565</v>
      </c>
      <c r="AP28" s="69">
        <v>519.80742945671079</v>
      </c>
      <c r="AQ28" s="69">
        <v>1924.0381981531777</v>
      </c>
      <c r="AR28" s="69">
        <v>495.15056543350215</v>
      </c>
      <c r="AS28" s="69">
        <v>547.58667033513393</v>
      </c>
    </row>
    <row r="29" spans="1:45" x14ac:dyDescent="0.25">
      <c r="A29" s="11">
        <v>44522</v>
      </c>
      <c r="B29" s="59"/>
      <c r="C29" s="60">
        <v>0</v>
      </c>
      <c r="D29" s="60">
        <v>0</v>
      </c>
      <c r="E29" s="448">
        <v>0</v>
      </c>
      <c r="F29" s="60">
        <v>0</v>
      </c>
      <c r="G29" s="60">
        <v>0</v>
      </c>
      <c r="H29" s="61">
        <v>0</v>
      </c>
      <c r="I29" s="59">
        <v>205.92311196327239</v>
      </c>
      <c r="J29" s="60">
        <v>513.35591608683308</v>
      </c>
      <c r="K29" s="60">
        <v>28.246820101141964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309.73855637444183</v>
      </c>
      <c r="V29" s="62">
        <v>0</v>
      </c>
      <c r="W29" s="62">
        <v>57.989001210530567</v>
      </c>
      <c r="X29" s="62">
        <v>0</v>
      </c>
      <c r="Y29" s="66">
        <v>196.05302206675199</v>
      </c>
      <c r="Z29" s="66">
        <v>0</v>
      </c>
      <c r="AA29" s="67">
        <v>0</v>
      </c>
      <c r="AB29" s="68">
        <v>64.426467259726181</v>
      </c>
      <c r="AC29" s="69">
        <v>0</v>
      </c>
      <c r="AD29" s="402">
        <v>13.819429985638271</v>
      </c>
      <c r="AE29" s="406">
        <v>0</v>
      </c>
      <c r="AF29" s="69">
        <v>13.664344360431041</v>
      </c>
      <c r="AG29" s="68">
        <v>13.499808130587217</v>
      </c>
      <c r="AH29" s="68">
        <v>0</v>
      </c>
      <c r="AI29" s="68">
        <v>1</v>
      </c>
      <c r="AJ29" s="69">
        <v>219.42760885556544</v>
      </c>
      <c r="AK29" s="69">
        <v>362.56503777503968</v>
      </c>
      <c r="AL29" s="69">
        <v>785.06366828282671</v>
      </c>
      <c r="AM29" s="69">
        <v>133.49601745605469</v>
      </c>
      <c r="AN29" s="69">
        <v>1361.4156188964844</v>
      </c>
      <c r="AO29" s="69">
        <v>1999.1277300516765</v>
      </c>
      <c r="AP29" s="69">
        <v>480.29478847185766</v>
      </c>
      <c r="AQ29" s="69">
        <v>1905.5694071451819</v>
      </c>
      <c r="AR29" s="69">
        <v>477.7001987457275</v>
      </c>
      <c r="AS29" s="69">
        <v>666.18530575434363</v>
      </c>
    </row>
    <row r="30" spans="1:45" x14ac:dyDescent="0.25">
      <c r="A30" s="11">
        <v>44523</v>
      </c>
      <c r="B30" s="59"/>
      <c r="C30" s="60">
        <v>0</v>
      </c>
      <c r="D30" s="60">
        <v>0</v>
      </c>
      <c r="E30" s="448">
        <v>0</v>
      </c>
      <c r="F30" s="60">
        <v>0</v>
      </c>
      <c r="G30" s="60">
        <v>0</v>
      </c>
      <c r="H30" s="61">
        <v>0</v>
      </c>
      <c r="I30" s="59">
        <v>205.99588143030803</v>
      </c>
      <c r="J30" s="60">
        <v>513.39932095209758</v>
      </c>
      <c r="K30" s="60">
        <v>28.173036421338743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311.19278371598961</v>
      </c>
      <c r="V30" s="62">
        <v>0</v>
      </c>
      <c r="W30" s="62">
        <v>57.653356281916302</v>
      </c>
      <c r="X30" s="62">
        <v>0</v>
      </c>
      <c r="Y30" s="66">
        <v>194.36676243941011</v>
      </c>
      <c r="Z30" s="66">
        <v>0</v>
      </c>
      <c r="AA30" s="67">
        <v>0</v>
      </c>
      <c r="AB30" s="68">
        <v>64.426846249899413</v>
      </c>
      <c r="AC30" s="69">
        <v>0</v>
      </c>
      <c r="AD30" s="402">
        <v>13.82099010653662</v>
      </c>
      <c r="AE30" s="406">
        <v>0</v>
      </c>
      <c r="AF30" s="69">
        <v>13.665761051575361</v>
      </c>
      <c r="AG30" s="68">
        <v>13.500417844782596</v>
      </c>
      <c r="AH30" s="68">
        <v>0</v>
      </c>
      <c r="AI30" s="68">
        <v>1</v>
      </c>
      <c r="AJ30" s="69">
        <v>213.49138794740037</v>
      </c>
      <c r="AK30" s="69">
        <v>344.57727862993875</v>
      </c>
      <c r="AL30" s="69">
        <v>758.6570561091105</v>
      </c>
      <c r="AM30" s="69">
        <v>133.49601745605469</v>
      </c>
      <c r="AN30" s="69">
        <v>1361.4156188964844</v>
      </c>
      <c r="AO30" s="69">
        <v>1991.5054925282798</v>
      </c>
      <c r="AP30" s="69">
        <v>462.01961286862689</v>
      </c>
      <c r="AQ30" s="69">
        <v>1883.6756538391116</v>
      </c>
      <c r="AR30" s="69">
        <v>469.53803771336874</v>
      </c>
      <c r="AS30" s="69">
        <v>650.59706506729117</v>
      </c>
    </row>
    <row r="31" spans="1:45" x14ac:dyDescent="0.25">
      <c r="A31" s="11">
        <v>44524</v>
      </c>
      <c r="B31" s="59"/>
      <c r="C31" s="60">
        <v>0</v>
      </c>
      <c r="D31" s="60">
        <v>0</v>
      </c>
      <c r="E31" s="448">
        <v>0</v>
      </c>
      <c r="F31" s="60">
        <v>0</v>
      </c>
      <c r="G31" s="60">
        <v>0</v>
      </c>
      <c r="H31" s="61">
        <v>0</v>
      </c>
      <c r="I31" s="59">
        <v>205.98333845138586</v>
      </c>
      <c r="J31" s="60">
        <v>513.46952126820884</v>
      </c>
      <c r="K31" s="60">
        <v>28.177199238538815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305.28466827604132</v>
      </c>
      <c r="V31" s="62">
        <v>0</v>
      </c>
      <c r="W31" s="62">
        <v>55.476536182562484</v>
      </c>
      <c r="X31" s="62">
        <v>0</v>
      </c>
      <c r="Y31" s="66">
        <v>183.36232221921318</v>
      </c>
      <c r="Z31" s="66">
        <v>0</v>
      </c>
      <c r="AA31" s="67">
        <v>0</v>
      </c>
      <c r="AB31" s="68">
        <v>64.429187938902842</v>
      </c>
      <c r="AC31" s="69">
        <v>0</v>
      </c>
      <c r="AD31" s="402">
        <v>13.822893814659681</v>
      </c>
      <c r="AE31" s="406">
        <v>0</v>
      </c>
      <c r="AF31" s="69">
        <v>13.077536568707876</v>
      </c>
      <c r="AG31" s="68">
        <v>12.899238505184469</v>
      </c>
      <c r="AH31" s="68">
        <v>0</v>
      </c>
      <c r="AI31" s="68">
        <v>1</v>
      </c>
      <c r="AJ31" s="69">
        <v>242.36683629353846</v>
      </c>
      <c r="AK31" s="69">
        <v>398.24517583847046</v>
      </c>
      <c r="AL31" s="69">
        <v>719.53486391703279</v>
      </c>
      <c r="AM31" s="69">
        <v>133.49601745605469</v>
      </c>
      <c r="AN31" s="69">
        <v>1361.4156188964844</v>
      </c>
      <c r="AO31" s="69">
        <v>2035.569994608561</v>
      </c>
      <c r="AP31" s="69">
        <v>524.39205349286397</v>
      </c>
      <c r="AQ31" s="69">
        <v>1918.7973718643195</v>
      </c>
      <c r="AR31" s="69">
        <v>507.54624449412029</v>
      </c>
      <c r="AS31" s="69">
        <v>563.40899209976203</v>
      </c>
    </row>
    <row r="32" spans="1:45" x14ac:dyDescent="0.25">
      <c r="A32" s="11">
        <v>44525</v>
      </c>
      <c r="B32" s="59"/>
      <c r="C32" s="60">
        <v>0</v>
      </c>
      <c r="D32" s="60">
        <v>0</v>
      </c>
      <c r="E32" s="448">
        <v>0</v>
      </c>
      <c r="F32" s="60">
        <v>0</v>
      </c>
      <c r="G32" s="60">
        <v>0</v>
      </c>
      <c r="H32" s="61">
        <v>0</v>
      </c>
      <c r="I32" s="59">
        <v>205.90003913243632</v>
      </c>
      <c r="J32" s="60">
        <v>513.37830117543604</v>
      </c>
      <c r="K32" s="60">
        <v>28.20017314155902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317.92944441901517</v>
      </c>
      <c r="V32" s="62">
        <v>0</v>
      </c>
      <c r="W32" s="62">
        <v>58.350217858950266</v>
      </c>
      <c r="X32" s="62">
        <v>0</v>
      </c>
      <c r="Y32" s="66">
        <v>193.68922204176633</v>
      </c>
      <c r="Z32" s="66">
        <v>0</v>
      </c>
      <c r="AA32" s="67">
        <v>0</v>
      </c>
      <c r="AB32" s="68">
        <v>64.430763694976037</v>
      </c>
      <c r="AC32" s="69">
        <v>0</v>
      </c>
      <c r="AD32" s="402">
        <v>13.82205654763035</v>
      </c>
      <c r="AE32" s="406">
        <v>0</v>
      </c>
      <c r="AF32" s="69">
        <v>13.664005110661195</v>
      </c>
      <c r="AG32" s="68">
        <v>13.501423565398646</v>
      </c>
      <c r="AH32" s="68">
        <v>0</v>
      </c>
      <c r="AI32" s="68">
        <v>1</v>
      </c>
      <c r="AJ32" s="69">
        <v>254.49548660914107</v>
      </c>
      <c r="AK32" s="69">
        <v>431.5117938359578</v>
      </c>
      <c r="AL32" s="69">
        <v>915.2304667154948</v>
      </c>
      <c r="AM32" s="69">
        <v>133.49601745605469</v>
      </c>
      <c r="AN32" s="69">
        <v>1361.4156188964844</v>
      </c>
      <c r="AO32" s="69">
        <v>2043.8310866038003</v>
      </c>
      <c r="AP32" s="69">
        <v>572.38667799631764</v>
      </c>
      <c r="AQ32" s="69">
        <v>1956.9979403177902</v>
      </c>
      <c r="AR32" s="69">
        <v>518.46739660898845</v>
      </c>
      <c r="AS32" s="69">
        <v>556.80930258433023</v>
      </c>
    </row>
    <row r="33" spans="1:45" x14ac:dyDescent="0.25">
      <c r="A33" s="11">
        <v>44526</v>
      </c>
      <c r="B33" s="59"/>
      <c r="C33" s="60">
        <v>0</v>
      </c>
      <c r="D33" s="60">
        <v>0</v>
      </c>
      <c r="E33" s="448">
        <v>0</v>
      </c>
      <c r="F33" s="60">
        <v>0</v>
      </c>
      <c r="G33" s="60">
        <v>0</v>
      </c>
      <c r="H33" s="61">
        <v>0</v>
      </c>
      <c r="I33" s="59">
        <v>203.84170347849559</v>
      </c>
      <c r="J33" s="60">
        <v>513.32834796905581</v>
      </c>
      <c r="K33" s="60">
        <v>28.217350596189547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313.76821113162237</v>
      </c>
      <c r="V33" s="62">
        <v>0</v>
      </c>
      <c r="W33" s="62">
        <v>56.719270344575314</v>
      </c>
      <c r="X33" s="62">
        <v>0</v>
      </c>
      <c r="Y33" s="66">
        <v>191.3757784048716</v>
      </c>
      <c r="Z33" s="66">
        <v>0</v>
      </c>
      <c r="AA33" s="67">
        <v>0</v>
      </c>
      <c r="AB33" s="68">
        <v>64.167565735181668</v>
      </c>
      <c r="AC33" s="69">
        <v>0</v>
      </c>
      <c r="AD33" s="402">
        <v>13.822922633309055</v>
      </c>
      <c r="AE33" s="406">
        <v>0</v>
      </c>
      <c r="AF33" s="69">
        <v>13.533701671825483</v>
      </c>
      <c r="AG33" s="68">
        <v>13.368690464926544</v>
      </c>
      <c r="AH33" s="68">
        <v>0</v>
      </c>
      <c r="AI33" s="68">
        <v>1</v>
      </c>
      <c r="AJ33" s="69">
        <v>220.34609301090236</v>
      </c>
      <c r="AK33" s="69">
        <v>369.30770301818859</v>
      </c>
      <c r="AL33" s="69">
        <v>806.30374870300295</v>
      </c>
      <c r="AM33" s="69">
        <v>133.49601745605469</v>
      </c>
      <c r="AN33" s="69">
        <v>1361.4156188964844</v>
      </c>
      <c r="AO33" s="69">
        <v>1950.9342834472657</v>
      </c>
      <c r="AP33" s="69">
        <v>527.1400915622711</v>
      </c>
      <c r="AQ33" s="69">
        <v>1930.4702929178875</v>
      </c>
      <c r="AR33" s="69">
        <v>395.31602320671084</v>
      </c>
      <c r="AS33" s="69">
        <v>631.86439917882274</v>
      </c>
    </row>
    <row r="34" spans="1:45" x14ac:dyDescent="0.25">
      <c r="A34" s="11">
        <v>44527</v>
      </c>
      <c r="B34" s="59"/>
      <c r="C34" s="60">
        <v>0</v>
      </c>
      <c r="D34" s="60">
        <v>0</v>
      </c>
      <c r="E34" s="448">
        <v>0</v>
      </c>
      <c r="F34" s="60">
        <v>0</v>
      </c>
      <c r="G34" s="60">
        <v>0</v>
      </c>
      <c r="H34" s="61">
        <v>0</v>
      </c>
      <c r="I34" s="59">
        <v>201.32167091369647</v>
      </c>
      <c r="J34" s="60">
        <v>512.80338519414317</v>
      </c>
      <c r="K34" s="60">
        <v>28.236117131511406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309.15111153920833</v>
      </c>
      <c r="V34" s="62">
        <v>0</v>
      </c>
      <c r="W34" s="62">
        <v>56.857497374216798</v>
      </c>
      <c r="X34" s="62">
        <v>0</v>
      </c>
      <c r="Y34" s="66">
        <v>193.33480662504809</v>
      </c>
      <c r="Z34" s="66">
        <v>0</v>
      </c>
      <c r="AA34" s="67">
        <v>0</v>
      </c>
      <c r="AB34" s="68">
        <v>64.362490953340554</v>
      </c>
      <c r="AC34" s="69">
        <v>0</v>
      </c>
      <c r="AD34" s="402">
        <v>13.814989080555101</v>
      </c>
      <c r="AE34" s="406">
        <v>0</v>
      </c>
      <c r="AF34" s="69">
        <v>13.485772229234389</v>
      </c>
      <c r="AG34" s="68">
        <v>13.314067250461445</v>
      </c>
      <c r="AH34" s="68">
        <v>0</v>
      </c>
      <c r="AI34" s="68">
        <v>1</v>
      </c>
      <c r="AJ34" s="69">
        <v>217.91421580314642</v>
      </c>
      <c r="AK34" s="69">
        <v>364.46055816014609</v>
      </c>
      <c r="AL34" s="69">
        <v>714.03309510548911</v>
      </c>
      <c r="AM34" s="69">
        <v>133.49601745605469</v>
      </c>
      <c r="AN34" s="69">
        <v>1361.4156188964844</v>
      </c>
      <c r="AO34" s="69">
        <v>1880.1479635874427</v>
      </c>
      <c r="AP34" s="69">
        <v>467.03116361300135</v>
      </c>
      <c r="AQ34" s="69">
        <v>1920.2333139419554</v>
      </c>
      <c r="AR34" s="69">
        <v>271.4287847201029</v>
      </c>
      <c r="AS34" s="69">
        <v>542.43897037506099</v>
      </c>
    </row>
    <row r="35" spans="1:45" x14ac:dyDescent="0.25">
      <c r="A35" s="11">
        <v>44528</v>
      </c>
      <c r="B35" s="59"/>
      <c r="C35" s="60">
        <v>0</v>
      </c>
      <c r="D35" s="60">
        <v>0</v>
      </c>
      <c r="E35" s="448">
        <v>0</v>
      </c>
      <c r="F35" s="60">
        <v>0</v>
      </c>
      <c r="G35" s="60">
        <v>0</v>
      </c>
      <c r="H35" s="61">
        <v>0</v>
      </c>
      <c r="I35" s="59">
        <v>200.96035025914543</v>
      </c>
      <c r="J35" s="60">
        <v>511.70876747767181</v>
      </c>
      <c r="K35" s="60">
        <v>28.190639993548487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304.25073484844535</v>
      </c>
      <c r="V35" s="62">
        <v>0</v>
      </c>
      <c r="W35" s="62">
        <v>57.545535532633501</v>
      </c>
      <c r="X35" s="62">
        <v>0</v>
      </c>
      <c r="Y35" s="66">
        <v>194.37409427165966</v>
      </c>
      <c r="Z35" s="66">
        <v>0</v>
      </c>
      <c r="AA35" s="67">
        <v>0</v>
      </c>
      <c r="AB35" s="68">
        <v>64.243148782519256</v>
      </c>
      <c r="AC35" s="69">
        <v>0</v>
      </c>
      <c r="AD35" s="402">
        <v>13.783607378791551</v>
      </c>
      <c r="AE35" s="406">
        <v>0</v>
      </c>
      <c r="AF35" s="69">
        <v>13.248179312547041</v>
      </c>
      <c r="AG35" s="68">
        <v>13.091208105783709</v>
      </c>
      <c r="AH35" s="68">
        <v>0</v>
      </c>
      <c r="AI35" s="68">
        <v>1</v>
      </c>
      <c r="AJ35" s="69">
        <v>226.24705665906274</v>
      </c>
      <c r="AK35" s="69">
        <v>378.03608187039686</v>
      </c>
      <c r="AL35" s="69">
        <v>666.86690657933559</v>
      </c>
      <c r="AM35" s="69">
        <v>133.49601745605469</v>
      </c>
      <c r="AN35" s="69">
        <v>1361.4156188964844</v>
      </c>
      <c r="AO35" s="69">
        <v>1924.7597099304196</v>
      </c>
      <c r="AP35" s="69">
        <v>495.05890747706093</v>
      </c>
      <c r="AQ35" s="69">
        <v>1914.0146022796628</v>
      </c>
      <c r="AR35" s="69">
        <v>252.28041686216991</v>
      </c>
      <c r="AS35" s="69">
        <v>539.9292095820108</v>
      </c>
    </row>
    <row r="36" spans="1:45" x14ac:dyDescent="0.25">
      <c r="A36" s="11">
        <v>44529</v>
      </c>
      <c r="B36" s="59"/>
      <c r="C36" s="60">
        <v>0</v>
      </c>
      <c r="D36" s="60">
        <v>0</v>
      </c>
      <c r="E36" s="448">
        <v>0</v>
      </c>
      <c r="F36" s="60">
        <v>0</v>
      </c>
      <c r="G36" s="60">
        <v>0</v>
      </c>
      <c r="H36" s="61">
        <v>0</v>
      </c>
      <c r="I36" s="59">
        <v>200.82679812113457</v>
      </c>
      <c r="J36" s="60">
        <v>511.76287345886249</v>
      </c>
      <c r="K36" s="60">
        <v>28.20208507974948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299.72327193154342</v>
      </c>
      <c r="V36" s="62">
        <v>0</v>
      </c>
      <c r="W36" s="62">
        <v>55.470329324404382</v>
      </c>
      <c r="X36" s="62">
        <v>0</v>
      </c>
      <c r="Y36" s="66">
        <v>190.07510209083566</v>
      </c>
      <c r="Z36" s="66">
        <v>0</v>
      </c>
      <c r="AA36" s="67">
        <v>0</v>
      </c>
      <c r="AB36" s="68">
        <v>64.03864688078572</v>
      </c>
      <c r="AC36" s="69">
        <v>0</v>
      </c>
      <c r="AD36" s="402">
        <v>13.780517119658883</v>
      </c>
      <c r="AE36" s="406">
        <v>0</v>
      </c>
      <c r="AF36" s="69">
        <v>13.032936630646395</v>
      </c>
      <c r="AG36" s="68">
        <v>12.88460536781932</v>
      </c>
      <c r="AH36" s="68">
        <v>0</v>
      </c>
      <c r="AI36" s="68">
        <v>1</v>
      </c>
      <c r="AJ36" s="69">
        <v>233.83890182971953</v>
      </c>
      <c r="AK36" s="69">
        <v>400.16310192743936</v>
      </c>
      <c r="AL36" s="69">
        <v>1673.7548045158385</v>
      </c>
      <c r="AM36" s="69">
        <v>133.49601745605469</v>
      </c>
      <c r="AN36" s="69">
        <v>1361.4156188964844</v>
      </c>
      <c r="AO36" s="69">
        <v>1957.0676255544024</v>
      </c>
      <c r="AP36" s="69">
        <v>464.57969733874006</v>
      </c>
      <c r="AQ36" s="69">
        <v>1907.0420237223307</v>
      </c>
      <c r="AR36" s="69">
        <v>405.74093995094296</v>
      </c>
      <c r="AS36" s="69">
        <v>591.0178479194642</v>
      </c>
    </row>
    <row r="37" spans="1:45" x14ac:dyDescent="0.25">
      <c r="A37" s="11">
        <v>44530</v>
      </c>
      <c r="B37" s="59"/>
      <c r="C37" s="60">
        <v>20.581781599919001</v>
      </c>
      <c r="D37" s="60">
        <v>5.4563999176025391E-2</v>
      </c>
      <c r="E37" s="60">
        <v>2.0306066840887058</v>
      </c>
      <c r="F37" s="60">
        <v>0</v>
      </c>
      <c r="G37" s="60">
        <v>0</v>
      </c>
      <c r="H37" s="61">
        <v>0</v>
      </c>
      <c r="I37" s="59">
        <v>200.81404240926156</v>
      </c>
      <c r="J37" s="60">
        <v>511.71142142613741</v>
      </c>
      <c r="K37" s="60">
        <v>28.188273345430755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305.85664801067395</v>
      </c>
      <c r="V37" s="62">
        <v>0</v>
      </c>
      <c r="W37" s="62">
        <v>57.340292533238795</v>
      </c>
      <c r="X37" s="62">
        <v>0</v>
      </c>
      <c r="Y37" s="66">
        <v>193.50808181762721</v>
      </c>
      <c r="Z37" s="66">
        <v>0</v>
      </c>
      <c r="AA37" s="67">
        <v>0</v>
      </c>
      <c r="AB37" s="68">
        <v>63.919826923476776</v>
      </c>
      <c r="AC37" s="69">
        <v>0</v>
      </c>
      <c r="AD37" s="402">
        <v>13.779746055306802</v>
      </c>
      <c r="AE37" s="441">
        <v>0</v>
      </c>
      <c r="AF37" s="69">
        <v>13.346654897928259</v>
      </c>
      <c r="AG37" s="68">
        <v>13.217693360375181</v>
      </c>
      <c r="AH37" s="68">
        <v>0</v>
      </c>
      <c r="AI37" s="68">
        <v>1</v>
      </c>
      <c r="AJ37" s="69">
        <v>216.62716932296749</v>
      </c>
      <c r="AK37" s="69">
        <v>364.64939751625059</v>
      </c>
      <c r="AL37" s="69">
        <v>2680.6173201243082</v>
      </c>
      <c r="AM37" s="69">
        <v>133.49601745605469</v>
      </c>
      <c r="AN37" s="69">
        <v>1361.4156188964844</v>
      </c>
      <c r="AO37" s="69">
        <v>1918.0027253468829</v>
      </c>
      <c r="AP37" s="69">
        <v>479.88554251988728</v>
      </c>
      <c r="AQ37" s="69">
        <v>1898.5337488810217</v>
      </c>
      <c r="AR37" s="69">
        <v>468.55479224522907</v>
      </c>
      <c r="AS37" s="69">
        <v>634.52473497390736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2"/>
      <c r="AE38" s="441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20.581781599919001</v>
      </c>
      <c r="D39" s="30">
        <f t="shared" si="0"/>
        <v>0.11062606970469158</v>
      </c>
      <c r="E39" s="30">
        <f t="shared" si="0"/>
        <v>2.0306066840887058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4332.8356103738188</v>
      </c>
      <c r="J39" s="30">
        <f t="shared" si="0"/>
        <v>10641.265085633604</v>
      </c>
      <c r="K39" s="30">
        <f t="shared" si="0"/>
        <v>585.26719260265509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6488.2645400067031</v>
      </c>
      <c r="V39" s="261">
        <f t="shared" si="0"/>
        <v>13028.535634125506</v>
      </c>
      <c r="W39" s="261">
        <f t="shared" si="0"/>
        <v>1146.9816582004232</v>
      </c>
      <c r="X39" s="261">
        <f t="shared" si="0"/>
        <v>0</v>
      </c>
      <c r="Y39" s="261">
        <f t="shared" si="0"/>
        <v>3840.5855239629745</v>
      </c>
      <c r="Z39" s="261">
        <f t="shared" si="0"/>
        <v>0</v>
      </c>
      <c r="AA39" s="269">
        <f t="shared" si="0"/>
        <v>0</v>
      </c>
      <c r="AB39" s="272">
        <f t="shared" si="0"/>
        <v>1482.835647344597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7056.4091765244793</v>
      </c>
      <c r="AK39" s="272">
        <f t="shared" si="1"/>
        <v>11233.036903794607</v>
      </c>
      <c r="AL39" s="272">
        <f t="shared" si="1"/>
        <v>26249.701238727568</v>
      </c>
      <c r="AM39" s="272">
        <f t="shared" si="1"/>
        <v>4004.8805236816406</v>
      </c>
      <c r="AN39" s="272">
        <f t="shared" si="1"/>
        <v>41376.617828687027</v>
      </c>
      <c r="AO39" s="272">
        <f t="shared" si="1"/>
        <v>59402.971359761541</v>
      </c>
      <c r="AP39" s="272">
        <f t="shared" si="1"/>
        <v>14899.447004715603</v>
      </c>
      <c r="AQ39" s="272">
        <f t="shared" si="1"/>
        <v>42561.78773709933</v>
      </c>
      <c r="AR39" s="272">
        <f t="shared" si="1"/>
        <v>7965.1852641065925</v>
      </c>
      <c r="AS39" s="272">
        <f t="shared" si="1"/>
        <v>17362.276146999993</v>
      </c>
    </row>
    <row r="40" spans="1:45" ht="15.75" thickBot="1" x14ac:dyDescent="0.3">
      <c r="A40" s="47" t="s">
        <v>172</v>
      </c>
      <c r="B40" s="32">
        <f>Projection!$AD$30</f>
        <v>0.68740698599999983</v>
      </c>
      <c r="C40" s="33">
        <f>Projection!$AD$28</f>
        <v>1.7059803599999999</v>
      </c>
      <c r="D40" s="33">
        <f>Projection!$AD$31</f>
        <v>3.0975552300000002</v>
      </c>
      <c r="E40" s="33">
        <f>Projection!$AD$26</f>
        <v>4.4235360000000004</v>
      </c>
      <c r="F40" s="33">
        <f>Projection!$AD$23</f>
        <v>0</v>
      </c>
      <c r="G40" s="33">
        <f>Projection!$AD$24</f>
        <v>7.6444999999999999E-2</v>
      </c>
      <c r="H40" s="34">
        <f>Projection!$AD$29</f>
        <v>3.8336895000000006</v>
      </c>
      <c r="I40" s="32">
        <f>Projection!$AD$30</f>
        <v>0.68740698599999983</v>
      </c>
      <c r="J40" s="33">
        <f>Projection!$AD$28</f>
        <v>1.7059803599999999</v>
      </c>
      <c r="K40" s="33">
        <f>Projection!$AD$26</f>
        <v>4.4235360000000004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1.7059803599999999</v>
      </c>
      <c r="T40" s="265">
        <f>Projection!$AD$28</f>
        <v>1.7059803599999999</v>
      </c>
      <c r="U40" s="263">
        <f>Projection!$AD$27</f>
        <v>0.41249999999999998</v>
      </c>
      <c r="V40" s="264">
        <f>Projection!$AD$27</f>
        <v>0.41249999999999998</v>
      </c>
      <c r="W40" s="264">
        <f>Projection!$AD$22</f>
        <v>1.3964496</v>
      </c>
      <c r="X40" s="264">
        <f>Projection!$AD$22</f>
        <v>1.3964496</v>
      </c>
      <c r="Y40" s="264">
        <f>Projection!$AD$31</f>
        <v>3.0975552300000002</v>
      </c>
      <c r="Z40" s="264">
        <f>Projection!$AD$31</f>
        <v>3.0975552300000002</v>
      </c>
      <c r="AA40" s="270">
        <v>0</v>
      </c>
      <c r="AB40" s="273">
        <f>Projection!$AD$27</f>
        <v>0.41249999999999998</v>
      </c>
      <c r="AC40" s="273">
        <f>Projection!$AD$30</f>
        <v>0.68740698599999983</v>
      </c>
      <c r="AD40" s="397">
        <f>SUM(AD8:AD38)</f>
        <v>286.56755035234954</v>
      </c>
      <c r="AE40" s="397">
        <f>SUM(AE8:AE38)</f>
        <v>0</v>
      </c>
      <c r="AF40" s="276">
        <f>SUM(AF8:AF38)</f>
        <v>269.79379027187832</v>
      </c>
      <c r="AG40" s="276">
        <f>SUM(AG8:AG38)</f>
        <v>267.55472299984552</v>
      </c>
      <c r="AH40" s="276">
        <f>SUM(AH8:AH38)</f>
        <v>0</v>
      </c>
      <c r="AI40" s="276">
        <f>IF(SUM(AG40:AH40)&gt;0, AG40/(AG40+AH40),0)</f>
        <v>1</v>
      </c>
      <c r="AJ40" s="311">
        <v>7.6999999999999999E-2</v>
      </c>
      <c r="AK40" s="311">
        <f t="shared" ref="AK40:AS40" si="2">$AJ$40</f>
        <v>7.6999999999999999E-2</v>
      </c>
      <c r="AL40" s="311">
        <f t="shared" si="2"/>
        <v>7.6999999999999999E-2</v>
      </c>
      <c r="AM40" s="311">
        <f t="shared" si="2"/>
        <v>7.6999999999999999E-2</v>
      </c>
      <c r="AN40" s="311">
        <f t="shared" si="2"/>
        <v>7.6999999999999999E-2</v>
      </c>
      <c r="AO40" s="311">
        <f t="shared" si="2"/>
        <v>7.6999999999999999E-2</v>
      </c>
      <c r="AP40" s="311">
        <f t="shared" si="2"/>
        <v>7.6999999999999999E-2</v>
      </c>
      <c r="AQ40" s="311">
        <f t="shared" si="2"/>
        <v>7.6999999999999999E-2</v>
      </c>
      <c r="AR40" s="311">
        <f t="shared" si="2"/>
        <v>7.6999999999999999E-2</v>
      </c>
      <c r="AS40" s="311">
        <f t="shared" si="2"/>
        <v>7.6999999999999999E-2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35.112115183271193</v>
      </c>
      <c r="D41" s="36">
        <f t="shared" si="3"/>
        <v>0.34267036078811197</v>
      </c>
      <c r="E41" s="36">
        <f t="shared" si="3"/>
        <v>8.9824617689070188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2978.4214677605364</v>
      </c>
      <c r="J41" s="36">
        <f t="shared" si="3"/>
        <v>18153.789241644645</v>
      </c>
      <c r="K41" s="36">
        <f t="shared" si="3"/>
        <v>2588.9504960967788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2676.4091227527647</v>
      </c>
      <c r="V41" s="267">
        <f t="shared" si="3"/>
        <v>5374.2709490767711</v>
      </c>
      <c r="W41" s="267">
        <f t="shared" si="3"/>
        <v>1601.7020778013177</v>
      </c>
      <c r="X41" s="267">
        <f t="shared" si="3"/>
        <v>0</v>
      </c>
      <c r="Y41" s="267">
        <f t="shared" si="3"/>
        <v>11896.425776013803</v>
      </c>
      <c r="Z41" s="267">
        <f t="shared" si="3"/>
        <v>0</v>
      </c>
      <c r="AA41" s="271">
        <f t="shared" si="3"/>
        <v>0</v>
      </c>
      <c r="AB41" s="274">
        <f t="shared" si="3"/>
        <v>611.6697045296462</v>
      </c>
      <c r="AC41" s="274">
        <f t="shared" si="3"/>
        <v>0</v>
      </c>
      <c r="AJ41" s="277">
        <f t="shared" ref="AJ41:AS41" si="4">AJ40*AJ39</f>
        <v>543.34350659238487</v>
      </c>
      <c r="AK41" s="277">
        <f t="shared" si="4"/>
        <v>864.94384159218475</v>
      </c>
      <c r="AL41" s="277">
        <f t="shared" si="4"/>
        <v>2021.2269953820228</v>
      </c>
      <c r="AM41" s="277">
        <f t="shared" si="4"/>
        <v>308.37580032348632</v>
      </c>
      <c r="AN41" s="277">
        <f t="shared" si="4"/>
        <v>3185.9995728089011</v>
      </c>
      <c r="AO41" s="277">
        <f t="shared" si="4"/>
        <v>4574.0287947016386</v>
      </c>
      <c r="AP41" s="277">
        <f t="shared" si="4"/>
        <v>1147.2574193631015</v>
      </c>
      <c r="AQ41" s="277">
        <f t="shared" si="4"/>
        <v>3277.2576557566485</v>
      </c>
      <c r="AR41" s="277">
        <f t="shared" si="4"/>
        <v>613.31926533620765</v>
      </c>
      <c r="AS41" s="277">
        <f t="shared" si="4"/>
        <v>1336.8952633189995</v>
      </c>
    </row>
    <row r="42" spans="1:45" ht="49.5" customHeight="1" thickTop="1" thickBot="1" x14ac:dyDescent="0.3">
      <c r="A42" s="643">
        <f>OCTOBER!$A$42+31</f>
        <v>44502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1257.53</v>
      </c>
      <c r="AK42" s="277" t="s">
        <v>197</v>
      </c>
      <c r="AL42" s="277">
        <v>1175.96</v>
      </c>
      <c r="AM42" s="277">
        <v>822.13</v>
      </c>
      <c r="AN42" s="277">
        <v>63.24</v>
      </c>
      <c r="AO42" s="277">
        <v>5719.06</v>
      </c>
      <c r="AP42" s="277">
        <v>1181.32</v>
      </c>
      <c r="AQ42" s="277" t="s">
        <v>197</v>
      </c>
      <c r="AR42" s="277">
        <v>117.51</v>
      </c>
      <c r="AS42" s="277">
        <v>475.93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45926.076082989224</v>
      </c>
      <c r="C44" s="12"/>
      <c r="D44" s="281" t="s">
        <v>135</v>
      </c>
      <c r="E44" s="282">
        <f>SUM(B41:H41)+P41+R41+T41+V41+X41+Z41</f>
        <v>5418.7081963897372</v>
      </c>
      <c r="F44" s="12"/>
      <c r="G44" s="281" t="s">
        <v>135</v>
      </c>
      <c r="H44" s="282">
        <f>SUM(I41:N41)+O41+Q41+S41+U41+W41+Y41</f>
        <v>39895.698182069842</v>
      </c>
      <c r="I44" s="12"/>
      <c r="J44" s="281" t="s">
        <v>198</v>
      </c>
      <c r="K44" s="282">
        <v>143809</v>
      </c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17872.648115175572</v>
      </c>
      <c r="C45" s="12"/>
      <c r="D45" s="283" t="s">
        <v>183</v>
      </c>
      <c r="E45" s="284">
        <f>AJ41*(1-$AI$40)+AK41+AL41*0.5+AN41+AO41*(1-$AI$40)+AP41*(1-$AI$40)+AQ41*(1-$AI$40)+AR41*0.5+AS41*0.5</f>
        <v>6036.6641764197011</v>
      </c>
      <c r="F45" s="24"/>
      <c r="G45" s="283" t="s">
        <v>183</v>
      </c>
      <c r="H45" s="284">
        <f>AJ41*AI40+AL41*0.5+AM41+AO41*AI40+AP41*AI40+AQ41*AI40+AR41*0.5+AS41*0.5</f>
        <v>11835.983938755875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1146.9816582004232</v>
      </c>
      <c r="U45" s="255">
        <f>(T45*8.34*0.895)/27000</f>
        <v>0.31708945152983037</v>
      </c>
    </row>
    <row r="46" spans="1:45" ht="32.25" thickBot="1" x14ac:dyDescent="0.3">
      <c r="A46" s="285" t="s">
        <v>184</v>
      </c>
      <c r="B46" s="286">
        <f>SUM(AJ42:AS42)</f>
        <v>10812.68</v>
      </c>
      <c r="C46" s="12"/>
      <c r="D46" s="285" t="s">
        <v>184</v>
      </c>
      <c r="E46" s="286">
        <f>AJ42*(1-$AI$40)+AL42*0.5+AN42+AO42*(1-$AI$40)+AP42*(1-$AI$40)+AR42*0.5+AS42*0.5</f>
        <v>947.94</v>
      </c>
      <c r="F46" s="23"/>
      <c r="G46" s="285" t="s">
        <v>184</v>
      </c>
      <c r="H46" s="286">
        <f>AJ42*AI40+AL42*0.5+AM42+AO42*AI40+AP42*AI40+AR42*0.5+AS42*0.5</f>
        <v>9864.74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143809</v>
      </c>
      <c r="C47" s="12"/>
      <c r="D47" s="285" t="s">
        <v>187</v>
      </c>
      <c r="E47" s="286">
        <f>K44*0.5</f>
        <v>71904.5</v>
      </c>
      <c r="F47" s="24"/>
      <c r="G47" s="285" t="s">
        <v>185</v>
      </c>
      <c r="H47" s="286">
        <f>K44*0.5</f>
        <v>71904.5</v>
      </c>
      <c r="I47" s="12"/>
      <c r="J47" s="281" t="s">
        <v>198</v>
      </c>
      <c r="K47" s="282">
        <v>121727.15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121727.15</v>
      </c>
      <c r="C48" s="12"/>
      <c r="D48" s="285" t="s">
        <v>186</v>
      </c>
      <c r="E48" s="286">
        <f>K47*0.5</f>
        <v>60863.574999999997</v>
      </c>
      <c r="F48" s="23"/>
      <c r="G48" s="285" t="s">
        <v>186</v>
      </c>
      <c r="H48" s="286">
        <f>K47*0.5</f>
        <v>60863.574999999997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269.79379027187832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267.55472299984552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587.29779928674384</v>
      </c>
      <c r="U49" s="255">
        <f>(T49*8.34*1.04)/45000</f>
        <v>0.11319969315318891</v>
      </c>
    </row>
    <row r="50" spans="1:25" ht="48" customHeight="1" thickTop="1" thickBot="1" x14ac:dyDescent="0.3">
      <c r="A50" s="290" t="s">
        <v>223</v>
      </c>
      <c r="B50" s="291">
        <f>SUM(E50+H50)</f>
        <v>286.56755035234954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286.56755035234954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1186.9716364603594</v>
      </c>
      <c r="C51" s="12"/>
      <c r="D51" s="290" t="s">
        <v>188</v>
      </c>
      <c r="E51" s="396" t="e">
        <f>SUM(E44:E48)/E50</f>
        <v>#DIV/0!</v>
      </c>
      <c r="F51" s="456" t="e">
        <f>E44/E50</f>
        <v>#DIV/0!</v>
      </c>
      <c r="G51" s="290" t="s">
        <v>189</v>
      </c>
      <c r="H51" s="396">
        <f>SUM(H44:H48)/H50</f>
        <v>678.25019574562623</v>
      </c>
      <c r="I51" s="370">
        <f>H44/H50</f>
        <v>139.21917583835304</v>
      </c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20999.635821476804</v>
      </c>
      <c r="U51" s="255">
        <f>T51/2000/8</f>
        <v>1.3124772388423003</v>
      </c>
    </row>
    <row r="52" spans="1:25" ht="48" thickTop="1" thickBot="1" x14ac:dyDescent="0.3">
      <c r="A52" s="280" t="s">
        <v>191</v>
      </c>
      <c r="B52" s="293">
        <f>B51/1000</f>
        <v>1.1869716364603593</v>
      </c>
      <c r="C52" s="12"/>
      <c r="D52" s="280" t="s">
        <v>192</v>
      </c>
      <c r="E52" s="293" t="e">
        <f>E51/1000</f>
        <v>#DIV/0!</v>
      </c>
      <c r="F52" s="12"/>
      <c r="G52" s="280" t="s">
        <v>193</v>
      </c>
      <c r="H52" s="293">
        <f>H51/1000</f>
        <v>0.67825019574562628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10661.846867233524</v>
      </c>
      <c r="U52" s="255">
        <f>(T52*8.34*1.4)/45000</f>
        <v>2.7663938671515247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33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4332.8356103738188</v>
      </c>
      <c r="U54" s="255">
        <f>(T54*8.34*1.029*0.03)/3300</f>
        <v>0.33803444192038773</v>
      </c>
    </row>
    <row r="55" spans="1:25" ht="66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3840.6961500326793</v>
      </c>
      <c r="U55" s="258">
        <f>(T55*1.54*8.34)/45000</f>
        <v>1.0961858905013271</v>
      </c>
      <c r="V55" s="324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1"/>
      <c r="T56" s="677"/>
      <c r="U56" s="677"/>
      <c r="V56" s="322"/>
      <c r="W56" s="323"/>
      <c r="X56" s="321"/>
      <c r="Y56" s="321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1"/>
      <c r="T57" s="677"/>
      <c r="U57" s="677"/>
      <c r="V57" s="322"/>
      <c r="W57" s="323"/>
      <c r="X57" s="321"/>
      <c r="Y57" s="321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1"/>
      <c r="T58" s="677"/>
      <c r="U58" s="677"/>
      <c r="V58" s="322"/>
      <c r="W58" s="323"/>
      <c r="X58" s="321"/>
      <c r="Y58" s="321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1"/>
      <c r="T59" s="677"/>
      <c r="U59" s="677"/>
      <c r="V59" s="322"/>
      <c r="W59" s="323"/>
      <c r="X59" s="321"/>
      <c r="Y59" s="321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1"/>
      <c r="T60" s="677"/>
      <c r="U60" s="677"/>
      <c r="V60" s="322"/>
      <c r="W60" s="323"/>
      <c r="X60" s="321"/>
      <c r="Y60" s="321"/>
    </row>
    <row r="61" spans="1:25" x14ac:dyDescent="0.25">
      <c r="S61" s="321"/>
      <c r="T61" s="677"/>
      <c r="U61" s="677"/>
      <c r="V61" s="322"/>
      <c r="W61" s="323"/>
      <c r="X61" s="321"/>
      <c r="Y61" s="327"/>
    </row>
    <row r="62" spans="1:25" x14ac:dyDescent="0.25">
      <c r="S62" s="321"/>
      <c r="T62" s="677"/>
      <c r="U62" s="677"/>
      <c r="V62" s="322"/>
      <c r="W62" s="323"/>
      <c r="X62" s="321"/>
      <c r="Y62" s="327"/>
    </row>
    <row r="63" spans="1:25" x14ac:dyDescent="0.25">
      <c r="S63" s="321"/>
      <c r="T63" s="677"/>
      <c r="U63" s="677"/>
      <c r="V63" s="322"/>
      <c r="W63" s="323"/>
      <c r="X63" s="321"/>
      <c r="Y63" s="327"/>
    </row>
    <row r="64" spans="1:25" x14ac:dyDescent="0.25">
      <c r="S64" s="321"/>
      <c r="T64" s="321"/>
      <c r="U64" s="321"/>
      <c r="V64" s="321"/>
      <c r="W64" s="321"/>
      <c r="X64" s="321"/>
      <c r="Y64" s="327"/>
    </row>
    <row r="65" spans="19:25" x14ac:dyDescent="0.25">
      <c r="S65" s="321"/>
      <c r="T65" s="321"/>
      <c r="U65" s="321"/>
      <c r="V65" s="321"/>
      <c r="W65" s="321"/>
      <c r="X65" s="321"/>
      <c r="Y65" s="327"/>
    </row>
    <row r="66" spans="19:25" x14ac:dyDescent="0.25">
      <c r="S66" s="12"/>
      <c r="T66" s="12"/>
      <c r="U66" s="12"/>
      <c r="V66" s="12"/>
      <c r="W66" s="12"/>
      <c r="X66" s="12"/>
    </row>
    <row r="67" spans="19:25" x14ac:dyDescent="0.25">
      <c r="S67" s="12"/>
      <c r="T67" s="12"/>
      <c r="U67" s="12"/>
      <c r="V67" s="12"/>
      <c r="W67" s="12"/>
      <c r="X67" s="12"/>
    </row>
    <row r="68" spans="19:25" x14ac:dyDescent="0.25">
      <c r="S68" s="12"/>
      <c r="T68" s="12"/>
      <c r="U68" s="12"/>
      <c r="V68" s="12"/>
      <c r="W68" s="12"/>
      <c r="X68" s="12"/>
    </row>
    <row r="69" spans="19:25" x14ac:dyDescent="0.25">
      <c r="S69" s="12"/>
      <c r="T69" s="12"/>
      <c r="U69" s="12"/>
      <c r="V69" s="12"/>
      <c r="W69" s="12"/>
      <c r="X69" s="12"/>
    </row>
    <row r="70" spans="19:25" x14ac:dyDescent="0.25">
      <c r="S70" s="12"/>
      <c r="T70" s="12"/>
      <c r="U70" s="12"/>
      <c r="V70" s="12"/>
      <c r="W70" s="12"/>
      <c r="X70" s="12"/>
    </row>
  </sheetData>
  <sheetProtection algorithmName="SHA-512" hashValue="GXglfVaqYyaT2OKyrMPvB1icEdYeRQDdSB/ahkicsR0+63UcLvz2LriBsoilnGprhlIWPZHZd67wfNFwsi9Ukw==" saltValue="Vb1CUeM1MlTiK+KK9Zw8/A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C66"/>
  <sheetViews>
    <sheetView topLeftCell="B45" zoomScale="80" zoomScaleNormal="80" workbookViewId="0">
      <selection activeCell="F52" sqref="F52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9" t="s">
        <v>206</v>
      </c>
    </row>
    <row r="4" spans="1:55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</row>
    <row r="5" spans="1:55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s="368" customFormat="1" ht="15" customHeight="1" x14ac:dyDescent="0.25">
      <c r="A8" s="442">
        <v>44531</v>
      </c>
      <c r="B8" s="362"/>
      <c r="C8" s="363">
        <v>21.177384305000324</v>
      </c>
      <c r="D8" s="363">
        <v>253.75621916453039</v>
      </c>
      <c r="E8" s="363">
        <v>5.3318343351284661</v>
      </c>
      <c r="F8" s="363">
        <v>0</v>
      </c>
      <c r="G8" s="363">
        <v>885.62044957478849</v>
      </c>
      <c r="H8" s="364">
        <v>0</v>
      </c>
      <c r="I8" s="362">
        <v>200.88762381871578</v>
      </c>
      <c r="J8" s="363">
        <v>511.90348873138498</v>
      </c>
      <c r="K8" s="363">
        <v>28.16541175544269</v>
      </c>
      <c r="L8" s="365">
        <v>0</v>
      </c>
      <c r="M8" s="363">
        <v>0</v>
      </c>
      <c r="N8" s="364">
        <v>0</v>
      </c>
      <c r="O8" s="362">
        <v>0</v>
      </c>
      <c r="P8" s="363">
        <v>0</v>
      </c>
      <c r="Q8" s="363">
        <v>0</v>
      </c>
      <c r="R8" s="363">
        <v>0</v>
      </c>
      <c r="S8" s="363">
        <v>0</v>
      </c>
      <c r="T8" s="364">
        <v>0</v>
      </c>
      <c r="U8" s="362">
        <v>294.84233298831521</v>
      </c>
      <c r="V8" s="363">
        <v>0</v>
      </c>
      <c r="W8" s="363">
        <v>55.602977220217397</v>
      </c>
      <c r="X8" s="363">
        <v>0</v>
      </c>
      <c r="Y8" s="363">
        <v>190.20875145594283</v>
      </c>
      <c r="Z8" s="363">
        <v>0</v>
      </c>
      <c r="AA8" s="364">
        <v>0</v>
      </c>
      <c r="AB8" s="366">
        <v>73.724473757214128</v>
      </c>
      <c r="AC8" s="367">
        <v>0</v>
      </c>
      <c r="AD8" s="406">
        <v>13.787650638621551</v>
      </c>
      <c r="AE8" s="406">
        <v>2.0702502791372672</v>
      </c>
      <c r="AF8" s="367">
        <v>12.988774094978973</v>
      </c>
      <c r="AG8" s="367">
        <v>12.941019686762601</v>
      </c>
      <c r="AH8" s="367">
        <v>0</v>
      </c>
      <c r="AI8" s="367">
        <v>1</v>
      </c>
      <c r="AJ8" s="367">
        <v>248.85727043946576</v>
      </c>
      <c r="AK8" s="367">
        <v>519.54533400535581</v>
      </c>
      <c r="AL8" s="367">
        <v>2624.5883028666176</v>
      </c>
      <c r="AM8" s="367">
        <v>313.95200297037763</v>
      </c>
      <c r="AN8" s="367">
        <v>1424.3925453186034</v>
      </c>
      <c r="AO8" s="367">
        <v>2001.737037404378</v>
      </c>
      <c r="AP8" s="367">
        <v>478.423101870219</v>
      </c>
      <c r="AQ8" s="367">
        <v>1901.7526612599693</v>
      </c>
      <c r="AR8" s="367">
        <v>455.67003380457561</v>
      </c>
      <c r="AS8" s="367">
        <v>635.44908447265618</v>
      </c>
    </row>
    <row r="9" spans="1:55" x14ac:dyDescent="0.25">
      <c r="A9" s="443">
        <v>44532</v>
      </c>
      <c r="B9" s="59"/>
      <c r="C9" s="60">
        <v>68.684304002920726</v>
      </c>
      <c r="D9" s="60">
        <v>780.28345104853167</v>
      </c>
      <c r="E9" s="60">
        <v>15.218623476227096</v>
      </c>
      <c r="F9" s="60">
        <v>0</v>
      </c>
      <c r="G9" s="60">
        <v>3768.8273228963226</v>
      </c>
      <c r="H9" s="61">
        <v>7.9888413339853166</v>
      </c>
      <c r="I9" s="59">
        <v>198.85865374406171</v>
      </c>
      <c r="J9" s="60">
        <v>506.69143180847169</v>
      </c>
      <c r="K9" s="60">
        <v>27.841027866303932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332.28974344059861</v>
      </c>
      <c r="V9" s="62">
        <v>43.189923989854741</v>
      </c>
      <c r="W9" s="62">
        <v>53.965659551425098</v>
      </c>
      <c r="X9" s="62">
        <v>7.0142782920565425</v>
      </c>
      <c r="Y9" s="66">
        <v>214.74962927142874</v>
      </c>
      <c r="Z9" s="66">
        <v>27.912447940905317</v>
      </c>
      <c r="AA9" s="67">
        <v>0</v>
      </c>
      <c r="AB9" s="68">
        <v>92.133287175496392</v>
      </c>
      <c r="AC9" s="69">
        <v>0</v>
      </c>
      <c r="AD9" s="406">
        <v>13.653253063252215</v>
      </c>
      <c r="AE9" s="406">
        <v>6.4749455798471152</v>
      </c>
      <c r="AF9" s="69">
        <v>14.448964076240879</v>
      </c>
      <c r="AG9" s="68">
        <v>12.622823383121441</v>
      </c>
      <c r="AH9" s="68">
        <v>1.6406729163815876</v>
      </c>
      <c r="AI9" s="68">
        <v>0.88497400062853093</v>
      </c>
      <c r="AJ9" s="69">
        <v>262.54897384643556</v>
      </c>
      <c r="AK9" s="69">
        <v>814.07502539952588</v>
      </c>
      <c r="AL9" s="69">
        <v>2667.0804804484046</v>
      </c>
      <c r="AM9" s="69">
        <v>445.82368469238281</v>
      </c>
      <c r="AN9" s="69">
        <v>1470.4104309082031</v>
      </c>
      <c r="AO9" s="69">
        <v>2275.0534269968666</v>
      </c>
      <c r="AP9" s="69">
        <v>463.99912467002878</v>
      </c>
      <c r="AQ9" s="69">
        <v>2064.0844916661581</v>
      </c>
      <c r="AR9" s="69">
        <v>390.29695944786079</v>
      </c>
      <c r="AS9" s="69">
        <v>610.2845331509908</v>
      </c>
    </row>
    <row r="10" spans="1:55" x14ac:dyDescent="0.25">
      <c r="A10" s="443">
        <v>44533</v>
      </c>
      <c r="B10" s="59"/>
      <c r="C10" s="60">
        <v>70.177281594276224</v>
      </c>
      <c r="D10" s="60">
        <v>770.81282494862944</v>
      </c>
      <c r="E10" s="60">
        <v>15.518916886051475</v>
      </c>
      <c r="F10" s="60">
        <v>0</v>
      </c>
      <c r="G10" s="60">
        <v>2134.7489229838043</v>
      </c>
      <c r="H10" s="61">
        <v>28.580899557471319</v>
      </c>
      <c r="I10" s="59">
        <v>179.2263982772825</v>
      </c>
      <c r="J10" s="60">
        <v>456.55821940104147</v>
      </c>
      <c r="K10" s="60">
        <v>25.060897476474445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287.85199972183227</v>
      </c>
      <c r="V10" s="62">
        <v>155.87848299419571</v>
      </c>
      <c r="W10" s="62">
        <v>52.054602189830085</v>
      </c>
      <c r="X10" s="62">
        <v>28.188765164245016</v>
      </c>
      <c r="Y10" s="66">
        <v>217.01940369447357</v>
      </c>
      <c r="Z10" s="66">
        <v>117.52100197632825</v>
      </c>
      <c r="AA10" s="67">
        <v>0</v>
      </c>
      <c r="AB10" s="68">
        <v>84.478365410698899</v>
      </c>
      <c r="AC10" s="69">
        <v>0</v>
      </c>
      <c r="AD10" s="406">
        <v>12.304364516895218</v>
      </c>
      <c r="AE10" s="406">
        <v>6.4509100845081138</v>
      </c>
      <c r="AF10" s="69">
        <v>18.640976057449979</v>
      </c>
      <c r="AG10" s="68">
        <v>12.002372023938904</v>
      </c>
      <c r="AH10" s="68">
        <v>6.4995606951889826</v>
      </c>
      <c r="AI10" s="68">
        <v>0.6487090946736862</v>
      </c>
      <c r="AJ10" s="69">
        <v>234.42285051345826</v>
      </c>
      <c r="AK10" s="69">
        <v>797.91888990402231</v>
      </c>
      <c r="AL10" s="69">
        <v>2627.962222162882</v>
      </c>
      <c r="AM10" s="69">
        <v>445.82368469238281</v>
      </c>
      <c r="AN10" s="69">
        <v>1470.4104309082031</v>
      </c>
      <c r="AO10" s="69">
        <v>2610.252777735393</v>
      </c>
      <c r="AP10" s="69">
        <v>472.61941313743597</v>
      </c>
      <c r="AQ10" s="69">
        <v>2336.8819834391275</v>
      </c>
      <c r="AR10" s="69">
        <v>413.61597032546996</v>
      </c>
      <c r="AS10" s="69">
        <v>606.56577707926431</v>
      </c>
    </row>
    <row r="11" spans="1:55" x14ac:dyDescent="0.25">
      <c r="A11" s="443">
        <v>44534</v>
      </c>
      <c r="B11" s="59"/>
      <c r="C11" s="60">
        <v>70.13269321521129</v>
      </c>
      <c r="D11" s="60">
        <v>772.79252297083451</v>
      </c>
      <c r="E11" s="60">
        <v>15.176959654688806</v>
      </c>
      <c r="F11" s="60">
        <v>0</v>
      </c>
      <c r="G11" s="60">
        <v>2074.7093938191692</v>
      </c>
      <c r="H11" s="61">
        <v>26.791905536254312</v>
      </c>
      <c r="I11" s="59">
        <v>182.40233461062115</v>
      </c>
      <c r="J11" s="60">
        <v>456.60992879867501</v>
      </c>
      <c r="K11" s="60">
        <v>25.061334414780116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280.08406759356023</v>
      </c>
      <c r="V11" s="62">
        <v>151.69211826866237</v>
      </c>
      <c r="W11" s="62">
        <v>50.307987071216466</v>
      </c>
      <c r="X11" s="62">
        <v>27.246552045007387</v>
      </c>
      <c r="Y11" s="66">
        <v>147.61039245772039</v>
      </c>
      <c r="Z11" s="66">
        <v>79.945044010404175</v>
      </c>
      <c r="AA11" s="67">
        <v>0</v>
      </c>
      <c r="AB11" s="68">
        <v>84.459102906121373</v>
      </c>
      <c r="AC11" s="69">
        <v>0</v>
      </c>
      <c r="AD11" s="406">
        <v>12.304526551085026</v>
      </c>
      <c r="AE11" s="406">
        <v>6.4569466311122108</v>
      </c>
      <c r="AF11" s="69">
        <v>18.583083402448228</v>
      </c>
      <c r="AG11" s="68">
        <v>11.926505321822242</v>
      </c>
      <c r="AH11" s="68">
        <v>6.4593351251775637</v>
      </c>
      <c r="AI11" s="68">
        <v>0.64867882195553395</v>
      </c>
      <c r="AJ11" s="69">
        <v>268.19883970419562</v>
      </c>
      <c r="AK11" s="69">
        <v>831.194101969401</v>
      </c>
      <c r="AL11" s="69">
        <v>2779.1277479807536</v>
      </c>
      <c r="AM11" s="69">
        <v>445.82368469238281</v>
      </c>
      <c r="AN11" s="69">
        <v>1470.4104309082031</v>
      </c>
      <c r="AO11" s="69">
        <v>2604.6612717946364</v>
      </c>
      <c r="AP11" s="69">
        <v>485.23702468872068</v>
      </c>
      <c r="AQ11" s="69">
        <v>2353.1407123565673</v>
      </c>
      <c r="AR11" s="69">
        <v>446.30202099482216</v>
      </c>
      <c r="AS11" s="69">
        <v>582.6572317441304</v>
      </c>
    </row>
    <row r="12" spans="1:55" x14ac:dyDescent="0.25">
      <c r="A12" s="443">
        <v>44535</v>
      </c>
      <c r="B12" s="59"/>
      <c r="C12" s="60">
        <v>69.630087208747938</v>
      </c>
      <c r="D12" s="60">
        <v>773.30445893605372</v>
      </c>
      <c r="E12" s="60">
        <v>15.953984427452063</v>
      </c>
      <c r="F12" s="60">
        <v>0</v>
      </c>
      <c r="G12" s="60">
        <v>1907.6191658020009</v>
      </c>
      <c r="H12" s="61">
        <v>26.820139112075193</v>
      </c>
      <c r="I12" s="59">
        <v>186.72292831738801</v>
      </c>
      <c r="J12" s="60">
        <v>456.60885922113994</v>
      </c>
      <c r="K12" s="60">
        <v>25.126286123692978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275.53361770280731</v>
      </c>
      <c r="V12" s="62">
        <v>149.23194272284368</v>
      </c>
      <c r="W12" s="62">
        <v>50.852435178660045</v>
      </c>
      <c r="X12" s="62">
        <v>27.542220645047617</v>
      </c>
      <c r="Y12" s="66">
        <v>145.03722452487486</v>
      </c>
      <c r="Z12" s="66">
        <v>78.553705944956349</v>
      </c>
      <c r="AA12" s="67">
        <v>0</v>
      </c>
      <c r="AB12" s="68">
        <v>84.474084149466734</v>
      </c>
      <c r="AC12" s="69">
        <v>0</v>
      </c>
      <c r="AD12" s="406">
        <v>12.30145499537962</v>
      </c>
      <c r="AE12" s="406">
        <v>6.4611494681190376</v>
      </c>
      <c r="AF12" s="69">
        <v>18.577249960104652</v>
      </c>
      <c r="AG12" s="68">
        <v>11.926064333309172</v>
      </c>
      <c r="AH12" s="68">
        <v>6.4592834962773775</v>
      </c>
      <c r="AI12" s="68">
        <v>0.64867221680283904</v>
      </c>
      <c r="AJ12" s="69">
        <v>235.22322428226471</v>
      </c>
      <c r="AK12" s="69">
        <v>800.92105197906471</v>
      </c>
      <c r="AL12" s="69">
        <v>2791.3425376892092</v>
      </c>
      <c r="AM12" s="69">
        <v>445.82368469238281</v>
      </c>
      <c r="AN12" s="69">
        <v>1470.4104309082031</v>
      </c>
      <c r="AO12" s="69">
        <v>2647.1462579091394</v>
      </c>
      <c r="AP12" s="69">
        <v>498.45575666427612</v>
      </c>
      <c r="AQ12" s="69">
        <v>2324.2895685831704</v>
      </c>
      <c r="AR12" s="69">
        <v>468.54909464518227</v>
      </c>
      <c r="AS12" s="69">
        <v>617.03639879226682</v>
      </c>
    </row>
    <row r="13" spans="1:55" x14ac:dyDescent="0.25">
      <c r="A13" s="443">
        <v>44536</v>
      </c>
      <c r="B13" s="59"/>
      <c r="C13" s="60">
        <v>70.770026131471099</v>
      </c>
      <c r="D13" s="60">
        <v>772.76301482518465</v>
      </c>
      <c r="E13" s="60">
        <v>15.653066849708562</v>
      </c>
      <c r="F13" s="60">
        <v>0</v>
      </c>
      <c r="G13" s="60">
        <v>2081.6624608357765</v>
      </c>
      <c r="H13" s="61">
        <v>26.858611243963281</v>
      </c>
      <c r="I13" s="59">
        <v>187.24956254959102</v>
      </c>
      <c r="J13" s="60">
        <v>456.69862321217749</v>
      </c>
      <c r="K13" s="60">
        <v>25.090656093259678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279.18784887873403</v>
      </c>
      <c r="V13" s="62">
        <v>151.23151952608049</v>
      </c>
      <c r="W13" s="62">
        <v>49.748869629817747</v>
      </c>
      <c r="X13" s="62">
        <v>26.948154008271715</v>
      </c>
      <c r="Y13" s="66">
        <v>153.64293921524745</v>
      </c>
      <c r="Z13" s="66">
        <v>83.225882699742982</v>
      </c>
      <c r="AA13" s="67">
        <v>0</v>
      </c>
      <c r="AB13" s="68">
        <v>84.500531435013059</v>
      </c>
      <c r="AC13" s="69">
        <v>0</v>
      </c>
      <c r="AD13" s="406">
        <v>12.306981917254088</v>
      </c>
      <c r="AE13" s="406">
        <v>6.4581534839968242</v>
      </c>
      <c r="AF13" s="69">
        <v>18.501958465576177</v>
      </c>
      <c r="AG13" s="68">
        <v>11.880905469964176</v>
      </c>
      <c r="AH13" s="68">
        <v>6.435693368405996</v>
      </c>
      <c r="AI13" s="68">
        <v>0.64864146312336612</v>
      </c>
      <c r="AJ13" s="69">
        <v>284.87347068786625</v>
      </c>
      <c r="AK13" s="69">
        <v>878.39156271616628</v>
      </c>
      <c r="AL13" s="69">
        <v>2691.9156674702963</v>
      </c>
      <c r="AM13" s="69">
        <v>450.97939783732096</v>
      </c>
      <c r="AN13" s="69">
        <v>1470.4104309082031</v>
      </c>
      <c r="AO13" s="69">
        <v>2779.7025065104167</v>
      </c>
      <c r="AP13" s="69">
        <v>620.03252196311939</v>
      </c>
      <c r="AQ13" s="69">
        <v>2394.5281364440912</v>
      </c>
      <c r="AR13" s="69">
        <v>518.25281438827517</v>
      </c>
      <c r="AS13" s="69">
        <v>716.36185687383033</v>
      </c>
    </row>
    <row r="14" spans="1:55" x14ac:dyDescent="0.25">
      <c r="A14" s="443">
        <v>44537</v>
      </c>
      <c r="B14" s="59"/>
      <c r="C14" s="60">
        <v>69.548294111092829</v>
      </c>
      <c r="D14" s="60">
        <v>779.78650827407807</v>
      </c>
      <c r="E14" s="60">
        <v>15.435769422848994</v>
      </c>
      <c r="F14" s="60">
        <v>0</v>
      </c>
      <c r="G14" s="60">
        <v>2171.9529205322287</v>
      </c>
      <c r="H14" s="61">
        <v>26.874056488275581</v>
      </c>
      <c r="I14" s="59">
        <v>188.43899283409144</v>
      </c>
      <c r="J14" s="60">
        <v>459.81942911147951</v>
      </c>
      <c r="K14" s="60">
        <v>25.329609399537226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270.66574992336757</v>
      </c>
      <c r="V14" s="62">
        <v>147.35627810957106</v>
      </c>
      <c r="W14" s="62">
        <v>49.919448430384108</v>
      </c>
      <c r="X14" s="62">
        <v>27.177225519175323</v>
      </c>
      <c r="Y14" s="66">
        <v>163.58557494316517</v>
      </c>
      <c r="Z14" s="66">
        <v>89.059518919050433</v>
      </c>
      <c r="AA14" s="67">
        <v>0</v>
      </c>
      <c r="AB14" s="68">
        <v>84.889154937532794</v>
      </c>
      <c r="AC14" s="69">
        <v>0</v>
      </c>
      <c r="AD14" s="406">
        <v>12.393181332640744</v>
      </c>
      <c r="AE14" s="406">
        <v>6.4644727955440011</v>
      </c>
      <c r="AF14" s="69">
        <v>18.240459585189853</v>
      </c>
      <c r="AG14" s="68">
        <v>11.642177292550601</v>
      </c>
      <c r="AH14" s="68">
        <v>6.3382526803178241</v>
      </c>
      <c r="AI14" s="68">
        <v>0.64749159559132152</v>
      </c>
      <c r="AJ14" s="69">
        <v>256.44144506454472</v>
      </c>
      <c r="AK14" s="69">
        <v>836.68458099365228</v>
      </c>
      <c r="AL14" s="69">
        <v>2830.1132619222008</v>
      </c>
      <c r="AM14" s="69">
        <v>501.39887326558431</v>
      </c>
      <c r="AN14" s="69">
        <v>3089.0897133509316</v>
      </c>
      <c r="AO14" s="69">
        <v>2686.8548815409349</v>
      </c>
      <c r="AP14" s="69">
        <v>548.58636749585469</v>
      </c>
      <c r="AQ14" s="69">
        <v>2398.7223850250243</v>
      </c>
      <c r="AR14" s="69">
        <v>507.65131692886348</v>
      </c>
      <c r="AS14" s="69">
        <v>627.84840202331554</v>
      </c>
    </row>
    <row r="15" spans="1:55" x14ac:dyDescent="0.25">
      <c r="A15" s="443">
        <v>44538</v>
      </c>
      <c r="B15" s="59"/>
      <c r="C15" s="60">
        <v>69.383136475086317</v>
      </c>
      <c r="D15" s="60">
        <v>782.90782581965186</v>
      </c>
      <c r="E15" s="60">
        <v>15.776215849320101</v>
      </c>
      <c r="F15" s="60">
        <v>0</v>
      </c>
      <c r="G15" s="60">
        <v>2069.4141549428296</v>
      </c>
      <c r="H15" s="61">
        <v>26.883527384201724</v>
      </c>
      <c r="I15" s="59">
        <v>188.53736005624143</v>
      </c>
      <c r="J15" s="60">
        <v>460.13807115554772</v>
      </c>
      <c r="K15" s="60">
        <v>25.388398918509452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266.13487401743157</v>
      </c>
      <c r="V15" s="62">
        <v>144.89524929053937</v>
      </c>
      <c r="W15" s="62">
        <v>50.005017534227548</v>
      </c>
      <c r="X15" s="62">
        <v>27.224878017771996</v>
      </c>
      <c r="Y15" s="66">
        <v>168.87002586862656</v>
      </c>
      <c r="Z15" s="66">
        <v>91.940090851572563</v>
      </c>
      <c r="AA15" s="67">
        <v>0</v>
      </c>
      <c r="AB15" s="68">
        <v>85.010495509042315</v>
      </c>
      <c r="AC15" s="69">
        <v>0</v>
      </c>
      <c r="AD15" s="406">
        <v>12.402875774340343</v>
      </c>
      <c r="AE15" s="406">
        <v>6.4637641856238046</v>
      </c>
      <c r="AF15" s="69">
        <v>18.382748697201375</v>
      </c>
      <c r="AG15" s="68">
        <v>11.723292168817427</v>
      </c>
      <c r="AH15" s="68">
        <v>6.3826634806055846</v>
      </c>
      <c r="AI15" s="68">
        <v>0.64748265133362437</v>
      </c>
      <c r="AJ15" s="69">
        <v>249.05498855908715</v>
      </c>
      <c r="AK15" s="69">
        <v>824.34742889404288</v>
      </c>
      <c r="AL15" s="69">
        <v>2833.5751745859779</v>
      </c>
      <c r="AM15" s="69">
        <v>499.66969299316406</v>
      </c>
      <c r="AN15" s="69">
        <v>4055.521728515625</v>
      </c>
      <c r="AO15" s="69">
        <v>2645.2878859202065</v>
      </c>
      <c r="AP15" s="69">
        <v>537.25983511606853</v>
      </c>
      <c r="AQ15" s="69">
        <v>2391.9302401224772</v>
      </c>
      <c r="AR15" s="69">
        <v>490.43656129837029</v>
      </c>
      <c r="AS15" s="69">
        <v>603.82209250132246</v>
      </c>
    </row>
    <row r="16" spans="1:55" x14ac:dyDescent="0.25">
      <c r="A16" s="443">
        <v>44539</v>
      </c>
      <c r="B16" s="49"/>
      <c r="C16" s="50">
        <v>70.195333484808742</v>
      </c>
      <c r="D16" s="50">
        <v>812.63151804606184</v>
      </c>
      <c r="E16" s="50">
        <v>15.743969203035029</v>
      </c>
      <c r="F16" s="50">
        <v>0</v>
      </c>
      <c r="G16" s="50">
        <v>1901.1219645182236</v>
      </c>
      <c r="H16" s="51">
        <v>26.883937885363988</v>
      </c>
      <c r="I16" s="49">
        <v>188.65456084410334</v>
      </c>
      <c r="J16" s="50">
        <v>460.2931110699966</v>
      </c>
      <c r="K16" s="50">
        <v>25.319487627844033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269.5461568332376</v>
      </c>
      <c r="V16" s="66">
        <v>140.89645570880953</v>
      </c>
      <c r="W16" s="62">
        <v>51.066304069828831</v>
      </c>
      <c r="X16" s="62">
        <v>26.693243688273643</v>
      </c>
      <c r="Y16" s="66">
        <v>170.47470342286442</v>
      </c>
      <c r="Z16" s="66">
        <v>89.110087053299253</v>
      </c>
      <c r="AA16" s="67">
        <v>0</v>
      </c>
      <c r="AB16" s="68">
        <v>85.038222153981977</v>
      </c>
      <c r="AC16" s="69">
        <v>0</v>
      </c>
      <c r="AD16" s="406">
        <v>12.40490101793301</v>
      </c>
      <c r="AE16" s="406">
        <v>6.4674513103189071</v>
      </c>
      <c r="AF16" s="69">
        <v>18.30081940723791</v>
      </c>
      <c r="AG16" s="68">
        <v>11.82258924450622</v>
      </c>
      <c r="AH16" s="68">
        <v>6.1798726474983248</v>
      </c>
      <c r="AI16" s="68">
        <v>0.6567206927268654</v>
      </c>
      <c r="AJ16" s="69">
        <v>249.09165317217509</v>
      </c>
      <c r="AK16" s="69">
        <v>814.61541989644377</v>
      </c>
      <c r="AL16" s="69">
        <v>2863.1315878550208</v>
      </c>
      <c r="AM16" s="69">
        <v>499.66969299316406</v>
      </c>
      <c r="AN16" s="69">
        <v>4055.521728515625</v>
      </c>
      <c r="AO16" s="69">
        <v>2643.4570802052813</v>
      </c>
      <c r="AP16" s="69">
        <v>543.53328595161452</v>
      </c>
      <c r="AQ16" s="69">
        <v>2386.2519863128664</v>
      </c>
      <c r="AR16" s="69">
        <v>468.38270432154343</v>
      </c>
      <c r="AS16" s="69">
        <v>601.47076975504581</v>
      </c>
    </row>
    <row r="17" spans="1:45" x14ac:dyDescent="0.25">
      <c r="A17" s="443">
        <v>44540</v>
      </c>
      <c r="B17" s="59"/>
      <c r="C17" s="60">
        <v>68.379672745863687</v>
      </c>
      <c r="D17" s="60">
        <v>835.7485108693445</v>
      </c>
      <c r="E17" s="60">
        <v>16.068338872989013</v>
      </c>
      <c r="F17" s="60">
        <v>0</v>
      </c>
      <c r="G17" s="60">
        <v>1930.9355158487992</v>
      </c>
      <c r="H17" s="61">
        <v>26.82613147099817</v>
      </c>
      <c r="I17" s="59">
        <v>179.60864875316591</v>
      </c>
      <c r="J17" s="60">
        <v>460.25454250971421</v>
      </c>
      <c r="K17" s="60">
        <v>25.244883357981855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268.65848919119497</v>
      </c>
      <c r="V17" s="62">
        <v>145.55573505196801</v>
      </c>
      <c r="W17" s="62">
        <v>50.937388739630428</v>
      </c>
      <c r="X17" s="62">
        <v>27.5972260617765</v>
      </c>
      <c r="Y17" s="66">
        <v>168.49038293208631</v>
      </c>
      <c r="Z17" s="66">
        <v>91.28593557828718</v>
      </c>
      <c r="AA17" s="67">
        <v>0</v>
      </c>
      <c r="AB17" s="68">
        <v>84.906141312917427</v>
      </c>
      <c r="AC17" s="69">
        <v>0</v>
      </c>
      <c r="AD17" s="406">
        <v>12.405336505886535</v>
      </c>
      <c r="AE17" s="406">
        <v>6.4583797788674318</v>
      </c>
      <c r="AF17" s="69">
        <v>18.668033983972325</v>
      </c>
      <c r="AG17" s="68">
        <v>11.924597434303623</v>
      </c>
      <c r="AH17" s="68">
        <v>6.4605944519908389</v>
      </c>
      <c r="AI17" s="68">
        <v>0.64859793186020565</v>
      </c>
      <c r="AJ17" s="69">
        <v>285.44468785921737</v>
      </c>
      <c r="AK17" s="69">
        <v>868.52190589904797</v>
      </c>
      <c r="AL17" s="69">
        <v>2823.4060695648195</v>
      </c>
      <c r="AM17" s="69">
        <v>499.66969299316406</v>
      </c>
      <c r="AN17" s="69">
        <v>4055.521728515625</v>
      </c>
      <c r="AO17" s="69">
        <v>2697.6013916015622</v>
      </c>
      <c r="AP17" s="69">
        <v>614.25618020693457</v>
      </c>
      <c r="AQ17" s="69">
        <v>2390.6453683217364</v>
      </c>
      <c r="AR17" s="69">
        <v>504.23486045201616</v>
      </c>
      <c r="AS17" s="69">
        <v>612.49325771331792</v>
      </c>
    </row>
    <row r="18" spans="1:45" x14ac:dyDescent="0.25">
      <c r="A18" s="443">
        <v>44541</v>
      </c>
      <c r="B18" s="59"/>
      <c r="C18" s="60">
        <v>69.141464348634116</v>
      </c>
      <c r="D18" s="60">
        <v>852.03229230245165</v>
      </c>
      <c r="E18" s="60">
        <v>15.706016977628055</v>
      </c>
      <c r="F18" s="60">
        <v>0</v>
      </c>
      <c r="G18" s="60">
        <v>1875.0233467102073</v>
      </c>
      <c r="H18" s="61">
        <v>26.607236277063706</v>
      </c>
      <c r="I18" s="59">
        <v>177.7741012334823</v>
      </c>
      <c r="J18" s="60">
        <v>463.15563001632609</v>
      </c>
      <c r="K18" s="60">
        <v>25.496268236140381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264.96425302063869</v>
      </c>
      <c r="V18" s="62">
        <v>143.49431305161809</v>
      </c>
      <c r="W18" s="62">
        <v>49.810923392883872</v>
      </c>
      <c r="X18" s="62">
        <v>26.975654841152867</v>
      </c>
      <c r="Y18" s="66">
        <v>162.31053265271782</v>
      </c>
      <c r="Z18" s="66">
        <v>87.901058797655281</v>
      </c>
      <c r="AA18" s="67">
        <v>0</v>
      </c>
      <c r="AB18" s="68">
        <v>85.242570596271165</v>
      </c>
      <c r="AC18" s="69">
        <v>0</v>
      </c>
      <c r="AD18" s="406">
        <v>12.479934347457963</v>
      </c>
      <c r="AE18" s="406">
        <v>6.4494895506706751</v>
      </c>
      <c r="AF18" s="69">
        <v>18.444865263170634</v>
      </c>
      <c r="AG18" s="68">
        <v>11.78196394087151</v>
      </c>
      <c r="AH18" s="68">
        <v>6.38065249489562</v>
      </c>
      <c r="AI18" s="68">
        <v>0.6486930989562506</v>
      </c>
      <c r="AJ18" s="69">
        <v>283.74903744856516</v>
      </c>
      <c r="AK18" s="69">
        <v>878.28118702570589</v>
      </c>
      <c r="AL18" s="69">
        <v>2697.3447190602619</v>
      </c>
      <c r="AM18" s="69">
        <v>499.66969299316406</v>
      </c>
      <c r="AN18" s="69">
        <v>4055.521728515625</v>
      </c>
      <c r="AO18" s="69">
        <v>2710.195316823324</v>
      </c>
      <c r="AP18" s="69">
        <v>632.58926417032876</v>
      </c>
      <c r="AQ18" s="69">
        <v>2407.1878681182861</v>
      </c>
      <c r="AR18" s="69">
        <v>485.27056808471679</v>
      </c>
      <c r="AS18" s="69">
        <v>575.56324036916089</v>
      </c>
    </row>
    <row r="19" spans="1:45" x14ac:dyDescent="0.25">
      <c r="A19" s="443">
        <v>44542</v>
      </c>
      <c r="B19" s="59"/>
      <c r="C19" s="60">
        <v>69.030491248766609</v>
      </c>
      <c r="D19" s="60">
        <v>895.94768702189162</v>
      </c>
      <c r="E19" s="60">
        <v>15.677706600228928</v>
      </c>
      <c r="F19" s="60">
        <v>0</v>
      </c>
      <c r="G19" s="60">
        <v>2080.8925991058345</v>
      </c>
      <c r="H19" s="61">
        <v>26.540692657232348</v>
      </c>
      <c r="I19" s="59">
        <v>176.12506926854428</v>
      </c>
      <c r="J19" s="60">
        <v>458.98523645400957</v>
      </c>
      <c r="K19" s="60">
        <v>25.251500460008778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269.39742519504847</v>
      </c>
      <c r="V19" s="62">
        <v>145.9360114318082</v>
      </c>
      <c r="W19" s="62">
        <v>50.829733446066307</v>
      </c>
      <c r="X19" s="62">
        <v>27.535113061641976</v>
      </c>
      <c r="Y19" s="66">
        <v>162.74079030976765</v>
      </c>
      <c r="Z19" s="66">
        <v>88.158755852519832</v>
      </c>
      <c r="AA19" s="67">
        <v>0</v>
      </c>
      <c r="AB19" s="68">
        <v>84.72392871114954</v>
      </c>
      <c r="AC19" s="69">
        <v>0</v>
      </c>
      <c r="AD19" s="406">
        <v>12.372553217996527</v>
      </c>
      <c r="AE19" s="406">
        <v>6.4470903323799291</v>
      </c>
      <c r="AF19" s="69">
        <v>18.778261441654603</v>
      </c>
      <c r="AG19" s="68">
        <v>11.999257090403059</v>
      </c>
      <c r="AH19" s="68">
        <v>6.5001501727435667</v>
      </c>
      <c r="AI19" s="68">
        <v>0.6486292733447323</v>
      </c>
      <c r="AJ19" s="69">
        <v>244.21501709620159</v>
      </c>
      <c r="AK19" s="69">
        <v>809.21899499893209</v>
      </c>
      <c r="AL19" s="69">
        <v>2889.4679256439208</v>
      </c>
      <c r="AM19" s="69">
        <v>499.66969299316406</v>
      </c>
      <c r="AN19" s="69">
        <v>4055.521728515625</v>
      </c>
      <c r="AO19" s="69">
        <v>2543.2189783732097</v>
      </c>
      <c r="AP19" s="69">
        <v>543.73952145576482</v>
      </c>
      <c r="AQ19" s="69">
        <v>2402.2534674326575</v>
      </c>
      <c r="AR19" s="69">
        <v>268.57918248176577</v>
      </c>
      <c r="AS19" s="69">
        <v>564.76010424296055</v>
      </c>
    </row>
    <row r="20" spans="1:45" x14ac:dyDescent="0.25">
      <c r="A20" s="443">
        <v>44543</v>
      </c>
      <c r="B20" s="59"/>
      <c r="C20" s="60">
        <v>69.803520099322213</v>
      </c>
      <c r="D20" s="60">
        <v>910.54121176401986</v>
      </c>
      <c r="E20" s="60">
        <v>15.228279621402422</v>
      </c>
      <c r="F20" s="60">
        <v>0</v>
      </c>
      <c r="G20" s="60">
        <v>2692.8315694173139</v>
      </c>
      <c r="H20" s="61">
        <v>27.642358089486802</v>
      </c>
      <c r="I20" s="59">
        <v>174.98037025928465</v>
      </c>
      <c r="J20" s="60">
        <v>460.59176483154192</v>
      </c>
      <c r="K20" s="60">
        <v>25.302991696198767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269.47723733859539</v>
      </c>
      <c r="V20" s="62">
        <v>145.945417025257</v>
      </c>
      <c r="W20" s="62">
        <v>51.229330747279938</v>
      </c>
      <c r="X20" s="62">
        <v>27.74514876906732</v>
      </c>
      <c r="Y20" s="66">
        <v>160.5145239161869</v>
      </c>
      <c r="Z20" s="66">
        <v>86.932608345407317</v>
      </c>
      <c r="AA20" s="67">
        <v>0</v>
      </c>
      <c r="AB20" s="68">
        <v>84.793110307058484</v>
      </c>
      <c r="AC20" s="69">
        <v>0</v>
      </c>
      <c r="AD20" s="406">
        <v>12.397228512120556</v>
      </c>
      <c r="AE20" s="406">
        <v>6.4424631507677024</v>
      </c>
      <c r="AF20" s="69">
        <v>18.773365718788543</v>
      </c>
      <c r="AG20" s="68">
        <v>12.000269208543354</v>
      </c>
      <c r="AH20" s="68">
        <v>6.4991919590433325</v>
      </c>
      <c r="AI20" s="68">
        <v>0.64868209402602983</v>
      </c>
      <c r="AJ20" s="69">
        <v>241.29062971274053</v>
      </c>
      <c r="AK20" s="69">
        <v>804.66184418996181</v>
      </c>
      <c r="AL20" s="69">
        <v>3065.4338244120272</v>
      </c>
      <c r="AM20" s="69">
        <v>513.65115474065146</v>
      </c>
      <c r="AN20" s="69">
        <v>4055.521728515625</v>
      </c>
      <c r="AO20" s="69">
        <v>2464.3659259796132</v>
      </c>
      <c r="AP20" s="69">
        <v>534.98567778269455</v>
      </c>
      <c r="AQ20" s="69">
        <v>2379.237975438436</v>
      </c>
      <c r="AR20" s="69">
        <v>260.50499375661218</v>
      </c>
      <c r="AS20" s="69">
        <v>573.39800898234046</v>
      </c>
    </row>
    <row r="21" spans="1:45" x14ac:dyDescent="0.25">
      <c r="A21" s="443">
        <v>44544</v>
      </c>
      <c r="B21" s="59"/>
      <c r="C21" s="60">
        <v>70.588819015026132</v>
      </c>
      <c r="D21" s="60">
        <v>936.85218283335371</v>
      </c>
      <c r="E21" s="60">
        <v>15.862960826357186</v>
      </c>
      <c r="F21" s="60">
        <v>0</v>
      </c>
      <c r="G21" s="60">
        <v>2177.7746321360264</v>
      </c>
      <c r="H21" s="61">
        <v>26.730854266881984</v>
      </c>
      <c r="I21" s="59">
        <v>183.57605575720464</v>
      </c>
      <c r="J21" s="60">
        <v>459.982429345448</v>
      </c>
      <c r="K21" s="60">
        <v>25.24326938341062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263.46385744605186</v>
      </c>
      <c r="V21" s="62">
        <v>142.69444202124777</v>
      </c>
      <c r="W21" s="62">
        <v>49.769535316439963</v>
      </c>
      <c r="X21" s="62">
        <v>26.955636877405063</v>
      </c>
      <c r="Y21" s="66">
        <v>159.99076189026917</v>
      </c>
      <c r="Z21" s="66">
        <v>86.652464280270451</v>
      </c>
      <c r="AA21" s="67">
        <v>0</v>
      </c>
      <c r="AB21" s="68">
        <v>84.845390902625923</v>
      </c>
      <c r="AC21" s="69">
        <v>0</v>
      </c>
      <c r="AD21" s="406">
        <v>12.397035902268225</v>
      </c>
      <c r="AE21" s="406">
        <v>6.4522306156371139</v>
      </c>
      <c r="AF21" s="69">
        <v>18.650362947914356</v>
      </c>
      <c r="AG21" s="68">
        <v>11.915603658276039</v>
      </c>
      <c r="AH21" s="68">
        <v>6.4536002465241298</v>
      </c>
      <c r="AI21" s="68">
        <v>0.64867283960859623</v>
      </c>
      <c r="AJ21" s="69">
        <v>224.1483058134715</v>
      </c>
      <c r="AK21" s="69">
        <v>782.70213025410953</v>
      </c>
      <c r="AL21" s="69">
        <v>2906.7526608784997</v>
      </c>
      <c r="AM21" s="69">
        <v>633.00283813476563</v>
      </c>
      <c r="AN21" s="69">
        <v>4055.521728515625</v>
      </c>
      <c r="AO21" s="69">
        <v>2499.1285846710207</v>
      </c>
      <c r="AP21" s="69">
        <v>513.1574366410573</v>
      </c>
      <c r="AQ21" s="69">
        <v>2375.6249457041422</v>
      </c>
      <c r="AR21" s="69">
        <v>249.73117833137516</v>
      </c>
      <c r="AS21" s="69">
        <v>639.71268974939983</v>
      </c>
    </row>
    <row r="22" spans="1:45" x14ac:dyDescent="0.25">
      <c r="A22" s="443">
        <v>44545</v>
      </c>
      <c r="B22" s="59"/>
      <c r="C22" s="60">
        <v>69.658873697122061</v>
      </c>
      <c r="D22" s="60">
        <v>905.70251394907712</v>
      </c>
      <c r="E22" s="60">
        <v>16.107323730985307</v>
      </c>
      <c r="F22" s="60">
        <v>0</v>
      </c>
      <c r="G22" s="60">
        <v>2175.9293261210069</v>
      </c>
      <c r="H22" s="61">
        <v>26.68344679474836</v>
      </c>
      <c r="I22" s="59">
        <v>183.66735967795026</v>
      </c>
      <c r="J22" s="60">
        <v>459.96997375488195</v>
      </c>
      <c r="K22" s="60">
        <v>25.253688877324258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259.28597688628048</v>
      </c>
      <c r="V22" s="62">
        <v>140.42936468171186</v>
      </c>
      <c r="W22" s="62">
        <v>48.695059877949575</v>
      </c>
      <c r="X22" s="62">
        <v>26.373259379150809</v>
      </c>
      <c r="Y22" s="66">
        <v>158.63430073736805</v>
      </c>
      <c r="Z22" s="66">
        <v>85.916385979665165</v>
      </c>
      <c r="AA22" s="67">
        <v>0</v>
      </c>
      <c r="AB22" s="68">
        <v>84.802206659317051</v>
      </c>
      <c r="AC22" s="69">
        <v>0</v>
      </c>
      <c r="AD22" s="406">
        <v>12.396363207559158</v>
      </c>
      <c r="AE22" s="406">
        <v>6.4439338429172519</v>
      </c>
      <c r="AF22" s="69">
        <v>18.53565340108338</v>
      </c>
      <c r="AG22" s="68">
        <v>11.850343727095741</v>
      </c>
      <c r="AH22" s="68">
        <v>6.4181498006189255</v>
      </c>
      <c r="AI22" s="68">
        <v>0.64867657035419402</v>
      </c>
      <c r="AJ22" s="69">
        <v>243.1898865938187</v>
      </c>
      <c r="AK22" s="69">
        <v>806.79760376612353</v>
      </c>
      <c r="AL22" s="69">
        <v>2826.0096499125161</v>
      </c>
      <c r="AM22" s="69">
        <v>633.00283813476563</v>
      </c>
      <c r="AN22" s="69">
        <v>4055.521728515625</v>
      </c>
      <c r="AO22" s="69">
        <v>2497.9210515340174</v>
      </c>
      <c r="AP22" s="69">
        <v>530.17966024080908</v>
      </c>
      <c r="AQ22" s="69">
        <v>2367.7048437754311</v>
      </c>
      <c r="AR22" s="69">
        <v>263.96851701736443</v>
      </c>
      <c r="AS22" s="69">
        <v>648.97879327138264</v>
      </c>
    </row>
    <row r="23" spans="1:45" x14ac:dyDescent="0.25">
      <c r="A23" s="443">
        <v>44546</v>
      </c>
      <c r="B23" s="59"/>
      <c r="C23" s="60">
        <v>69.949521946907169</v>
      </c>
      <c r="D23" s="60">
        <v>891.38780676523857</v>
      </c>
      <c r="E23" s="60">
        <v>15.7107844074567</v>
      </c>
      <c r="F23" s="60">
        <v>0</v>
      </c>
      <c r="G23" s="60">
        <v>2173.7854208628264</v>
      </c>
      <c r="H23" s="61">
        <v>26.555031883716655</v>
      </c>
      <c r="I23" s="59">
        <v>180.59077196121206</v>
      </c>
      <c r="J23" s="60">
        <v>460.16567904154346</v>
      </c>
      <c r="K23" s="60">
        <v>25.312760115663266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252.37482919735731</v>
      </c>
      <c r="V23" s="62">
        <v>130.26531226857031</v>
      </c>
      <c r="W23" s="62">
        <v>47.962116911972231</v>
      </c>
      <c r="X23" s="62">
        <v>24.756035126284146</v>
      </c>
      <c r="Y23" s="66">
        <v>154.42943355736557</v>
      </c>
      <c r="Z23" s="66">
        <v>79.710002973701094</v>
      </c>
      <c r="AA23" s="67">
        <v>0</v>
      </c>
      <c r="AB23" s="68">
        <v>84.768822367986616</v>
      </c>
      <c r="AC23" s="69">
        <v>0</v>
      </c>
      <c r="AD23" s="406">
        <v>12.400227225455756</v>
      </c>
      <c r="AE23" s="406">
        <v>6.4297984961736478</v>
      </c>
      <c r="AF23" s="69">
        <v>17.766035650173844</v>
      </c>
      <c r="AG23" s="68">
        <v>11.530837037156587</v>
      </c>
      <c r="AH23" s="68">
        <v>5.9517349338692593</v>
      </c>
      <c r="AI23" s="68">
        <v>0.6595618228408745</v>
      </c>
      <c r="AJ23" s="69">
        <v>259.29001066684719</v>
      </c>
      <c r="AK23" s="69">
        <v>840.37208401362091</v>
      </c>
      <c r="AL23" s="69">
        <v>3180.0104008992512</v>
      </c>
      <c r="AM23" s="69">
        <v>633.00283813476563</v>
      </c>
      <c r="AN23" s="69">
        <v>4055.521728515625</v>
      </c>
      <c r="AO23" s="69">
        <v>2558.0342250823978</v>
      </c>
      <c r="AP23" s="69">
        <v>562.12742695808413</v>
      </c>
      <c r="AQ23" s="69">
        <v>2390.8704129536945</v>
      </c>
      <c r="AR23" s="69">
        <v>281.52250037193301</v>
      </c>
      <c r="AS23" s="69">
        <v>617.96011854807546</v>
      </c>
    </row>
    <row r="24" spans="1:45" x14ac:dyDescent="0.25">
      <c r="A24" s="443">
        <v>44547</v>
      </c>
      <c r="B24" s="59"/>
      <c r="C24" s="60">
        <v>69.24426774978609</v>
      </c>
      <c r="D24" s="60">
        <v>892.98562177022313</v>
      </c>
      <c r="E24" s="60">
        <v>15.553721089164398</v>
      </c>
      <c r="F24" s="60">
        <v>0</v>
      </c>
      <c r="G24" s="60">
        <v>2175.2294667561828</v>
      </c>
      <c r="H24" s="61">
        <v>26.629228504498801</v>
      </c>
      <c r="I24" s="59">
        <v>105.70737453699115</v>
      </c>
      <c r="J24" s="60">
        <v>458.40085973739531</v>
      </c>
      <c r="K24" s="60">
        <v>25.168438548346316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254.1317841438939</v>
      </c>
      <c r="V24" s="62">
        <v>138.31416096007055</v>
      </c>
      <c r="W24" s="62">
        <v>48.818687931321719</v>
      </c>
      <c r="X24" s="62">
        <v>26.570135188477664</v>
      </c>
      <c r="Y24" s="66">
        <v>156.22453664474779</v>
      </c>
      <c r="Z24" s="66">
        <v>85.027009825576229</v>
      </c>
      <c r="AA24" s="67">
        <v>0</v>
      </c>
      <c r="AB24" s="68">
        <v>84.622703610525861</v>
      </c>
      <c r="AC24" s="69">
        <v>0</v>
      </c>
      <c r="AD24" s="406">
        <v>12.352806441129406</v>
      </c>
      <c r="AE24" s="406">
        <v>6.4383896086533774</v>
      </c>
      <c r="AF24" s="69">
        <v>18.211787189377713</v>
      </c>
      <c r="AG24" s="68">
        <v>11.645875943184949</v>
      </c>
      <c r="AH24" s="68">
        <v>6.3384025935718409</v>
      </c>
      <c r="AI24" s="68">
        <v>0.64755869518939946</v>
      </c>
      <c r="AJ24" s="69">
        <v>274.49712516466775</v>
      </c>
      <c r="AK24" s="69">
        <v>851.66496419906616</v>
      </c>
      <c r="AL24" s="69">
        <v>3032.2350479125976</v>
      </c>
      <c r="AM24" s="69">
        <v>633.00283813476563</v>
      </c>
      <c r="AN24" s="69">
        <v>4055.521728515625</v>
      </c>
      <c r="AO24" s="69">
        <v>2568.2640023549402</v>
      </c>
      <c r="AP24" s="69">
        <v>584.02168730100004</v>
      </c>
      <c r="AQ24" s="69">
        <v>2393.8055788675938</v>
      </c>
      <c r="AR24" s="69">
        <v>292.82956531842558</v>
      </c>
      <c r="AS24" s="69">
        <v>585.17571694056198</v>
      </c>
    </row>
    <row r="25" spans="1:45" x14ac:dyDescent="0.25">
      <c r="A25" s="443">
        <v>44548</v>
      </c>
      <c r="B25" s="59"/>
      <c r="C25" s="60">
        <v>69.314898443222091</v>
      </c>
      <c r="D25" s="60">
        <v>893.00285339355491</v>
      </c>
      <c r="E25" s="60">
        <v>15.596909902493174</v>
      </c>
      <c r="F25" s="60">
        <v>0</v>
      </c>
      <c r="G25" s="60">
        <v>2198.1170197804727</v>
      </c>
      <c r="H25" s="61">
        <v>26.621451107660956</v>
      </c>
      <c r="I25" s="59">
        <v>90.116660078366607</v>
      </c>
      <c r="J25" s="60">
        <v>465.39194800058925</v>
      </c>
      <c r="K25" s="60">
        <v>25.550213561455454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255.80525302423624</v>
      </c>
      <c r="V25" s="62">
        <v>139.22934541105965</v>
      </c>
      <c r="W25" s="62">
        <v>48.796211814420566</v>
      </c>
      <c r="X25" s="62">
        <v>26.558737747334323</v>
      </c>
      <c r="Y25" s="66">
        <v>156.82844530270762</v>
      </c>
      <c r="Z25" s="66">
        <v>85.358379170037551</v>
      </c>
      <c r="AA25" s="67">
        <v>0</v>
      </c>
      <c r="AB25" s="68">
        <v>85.462603033914306</v>
      </c>
      <c r="AC25" s="69">
        <v>0</v>
      </c>
      <c r="AD25" s="406">
        <v>12.539996332100767</v>
      </c>
      <c r="AE25" s="406">
        <v>6.4392048244409796</v>
      </c>
      <c r="AF25" s="69">
        <v>18.265790321429574</v>
      </c>
      <c r="AG25" s="68">
        <v>11.699940396171206</v>
      </c>
      <c r="AH25" s="68">
        <v>6.3680281129840335</v>
      </c>
      <c r="AI25" s="68">
        <v>0.64755151583548065</v>
      </c>
      <c r="AJ25" s="69">
        <v>278.77330185572299</v>
      </c>
      <c r="AK25" s="69">
        <v>869.98153378168729</v>
      </c>
      <c r="AL25" s="69">
        <v>2693.1559436798093</v>
      </c>
      <c r="AM25" s="69">
        <v>633.00283813476563</v>
      </c>
      <c r="AN25" s="69">
        <v>4055.521728515625</v>
      </c>
      <c r="AO25" s="69">
        <v>2620.3950613657635</v>
      </c>
      <c r="AP25" s="69">
        <v>770.56344413757313</v>
      </c>
      <c r="AQ25" s="69">
        <v>2409.0644290924074</v>
      </c>
      <c r="AR25" s="69">
        <v>306.39489843050637</v>
      </c>
      <c r="AS25" s="69">
        <v>603.59197072982795</v>
      </c>
    </row>
    <row r="26" spans="1:45" x14ac:dyDescent="0.25">
      <c r="A26" s="443">
        <v>44549</v>
      </c>
      <c r="B26" s="59"/>
      <c r="C26" s="60">
        <v>69.844970373312762</v>
      </c>
      <c r="D26" s="60">
        <v>885.15460554758556</v>
      </c>
      <c r="E26" s="60">
        <v>15.420088370641045</v>
      </c>
      <c r="F26" s="60">
        <v>0</v>
      </c>
      <c r="G26" s="60">
        <v>2005.0257783253958</v>
      </c>
      <c r="H26" s="61">
        <v>26.604935779174202</v>
      </c>
      <c r="I26" s="59">
        <v>86.808160150051137</v>
      </c>
      <c r="J26" s="60">
        <v>469.98247054417851</v>
      </c>
      <c r="K26" s="60">
        <v>25.843247760335604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260.6178752784657</v>
      </c>
      <c r="V26" s="62">
        <v>141.17407306120586</v>
      </c>
      <c r="W26" s="62">
        <v>48.960552301944261</v>
      </c>
      <c r="X26" s="62">
        <v>26.521437105595155</v>
      </c>
      <c r="Y26" s="62">
        <v>160.05410334687284</v>
      </c>
      <c r="Z26" s="62">
        <v>86.699692626587208</v>
      </c>
      <c r="AA26" s="72">
        <v>0</v>
      </c>
      <c r="AB26" s="69">
        <v>86.096917406719044</v>
      </c>
      <c r="AC26" s="69">
        <v>0</v>
      </c>
      <c r="AD26" s="406">
        <v>12.663261959983794</v>
      </c>
      <c r="AE26" s="406">
        <v>6.4401006891015724</v>
      </c>
      <c r="AF26" s="69">
        <v>18.561436158418669</v>
      </c>
      <c r="AG26" s="69">
        <v>11.915612565358858</v>
      </c>
      <c r="AH26" s="69">
        <v>6.45456708245211</v>
      </c>
      <c r="AI26" s="69">
        <v>0.64863886983156149</v>
      </c>
      <c r="AJ26" s="69">
        <v>256.21603121757511</v>
      </c>
      <c r="AK26" s="69">
        <v>825.08118200302124</v>
      </c>
      <c r="AL26" s="69">
        <v>3049.6705404917393</v>
      </c>
      <c r="AM26" s="69">
        <v>633.00283813476563</v>
      </c>
      <c r="AN26" s="69">
        <v>4055.521728515625</v>
      </c>
      <c r="AO26" s="69">
        <v>2519.6048721313473</v>
      </c>
      <c r="AP26" s="69">
        <v>545.99744291305547</v>
      </c>
      <c r="AQ26" s="69">
        <v>2394.2941149393714</v>
      </c>
      <c r="AR26" s="69">
        <v>274.25194980303445</v>
      </c>
      <c r="AS26" s="69">
        <v>631.31339495976772</v>
      </c>
    </row>
    <row r="27" spans="1:45" x14ac:dyDescent="0.25">
      <c r="A27" s="443">
        <v>44550</v>
      </c>
      <c r="B27" s="59"/>
      <c r="C27" s="60">
        <v>70.373791388670625</v>
      </c>
      <c r="D27" s="60">
        <v>891.76220817566025</v>
      </c>
      <c r="E27" s="60">
        <v>15.55771448413531</v>
      </c>
      <c r="F27" s="60">
        <v>0</v>
      </c>
      <c r="G27" s="60">
        <v>1993.0060648600218</v>
      </c>
      <c r="H27" s="61">
        <v>26.583194490273851</v>
      </c>
      <c r="I27" s="59">
        <v>118.19720331033071</v>
      </c>
      <c r="J27" s="60">
        <v>469.76917098363236</v>
      </c>
      <c r="K27" s="60">
        <v>25.813300130764624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264.16584867330147</v>
      </c>
      <c r="V27" s="62">
        <v>143.09694832207742</v>
      </c>
      <c r="W27" s="62">
        <v>50.600544562618893</v>
      </c>
      <c r="X27" s="62">
        <v>27.409990908025573</v>
      </c>
      <c r="Y27" s="66">
        <v>161.2080931513355</v>
      </c>
      <c r="Z27" s="66">
        <v>87.325391569848165</v>
      </c>
      <c r="AA27" s="67">
        <v>0</v>
      </c>
      <c r="AB27" s="68">
        <v>86.090764485466153</v>
      </c>
      <c r="AC27" s="69">
        <v>0</v>
      </c>
      <c r="AD27" s="406">
        <v>12.664819870720684</v>
      </c>
      <c r="AE27" s="406">
        <v>6.436370846362081</v>
      </c>
      <c r="AF27" s="69">
        <v>18.69476833343505</v>
      </c>
      <c r="AG27" s="68">
        <v>11.999737048435165</v>
      </c>
      <c r="AH27" s="68">
        <v>6.5001807043651736</v>
      </c>
      <c r="AI27" s="68">
        <v>0.64863731875882313</v>
      </c>
      <c r="AJ27" s="69">
        <v>243.69876495202385</v>
      </c>
      <c r="AK27" s="69">
        <v>794.53611602783201</v>
      </c>
      <c r="AL27" s="69">
        <v>2858.0699851989748</v>
      </c>
      <c r="AM27" s="69">
        <v>633.00283813476563</v>
      </c>
      <c r="AN27" s="69">
        <v>4055.521728515625</v>
      </c>
      <c r="AO27" s="69">
        <v>2529.1767613728839</v>
      </c>
      <c r="AP27" s="69">
        <v>526.23792858123784</v>
      </c>
      <c r="AQ27" s="69">
        <v>2381.730795288086</v>
      </c>
      <c r="AR27" s="69">
        <v>267.13198879559843</v>
      </c>
      <c r="AS27" s="69">
        <v>636.98106273015344</v>
      </c>
    </row>
    <row r="28" spans="1:45" x14ac:dyDescent="0.25">
      <c r="A28" s="443">
        <v>44551</v>
      </c>
      <c r="B28" s="59"/>
      <c r="C28" s="60">
        <v>70.540735542774328</v>
      </c>
      <c r="D28" s="60">
        <v>898.37189610799248</v>
      </c>
      <c r="E28" s="60">
        <v>15.868595399459204</v>
      </c>
      <c r="F28" s="60">
        <v>0</v>
      </c>
      <c r="G28" s="60">
        <v>2208.58806203206</v>
      </c>
      <c r="H28" s="61">
        <v>26.752417769034775</v>
      </c>
      <c r="I28" s="59">
        <v>123.67348126570397</v>
      </c>
      <c r="J28" s="60">
        <v>458.039453029632</v>
      </c>
      <c r="K28" s="60">
        <v>25.155796739459021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258.81758407156116</v>
      </c>
      <c r="V28" s="62">
        <v>140.15838094088315</v>
      </c>
      <c r="W28" s="62">
        <v>48.575431173375463</v>
      </c>
      <c r="X28" s="62">
        <v>26.305221150983218</v>
      </c>
      <c r="Y28" s="66">
        <v>159.97312641488551</v>
      </c>
      <c r="Z28" s="66">
        <v>86.630800116587821</v>
      </c>
      <c r="AA28" s="67">
        <v>0</v>
      </c>
      <c r="AB28" s="68">
        <v>84.714827770657323</v>
      </c>
      <c r="AC28" s="69">
        <v>0</v>
      </c>
      <c r="AD28" s="406">
        <v>12.345577711905552</v>
      </c>
      <c r="AE28" s="406">
        <v>6.4782250136991628</v>
      </c>
      <c r="AF28" s="69">
        <v>18.404451602035095</v>
      </c>
      <c r="AG28" s="68">
        <v>11.806201617790771</v>
      </c>
      <c r="AH28" s="68">
        <v>6.3934531718434808</v>
      </c>
      <c r="AI28" s="68">
        <v>0.64870470095482691</v>
      </c>
      <c r="AJ28" s="69">
        <v>241.99804858366647</v>
      </c>
      <c r="AK28" s="69">
        <v>801.14734601974487</v>
      </c>
      <c r="AL28" s="69">
        <v>2910.6722792307532</v>
      </c>
      <c r="AM28" s="69">
        <v>633.00283813476563</v>
      </c>
      <c r="AN28" s="69">
        <v>4055.521728515625</v>
      </c>
      <c r="AO28" s="69">
        <v>2544.4523456573488</v>
      </c>
      <c r="AP28" s="69">
        <v>527.01212128003442</v>
      </c>
      <c r="AQ28" s="69">
        <v>2383.0477926890053</v>
      </c>
      <c r="AR28" s="69">
        <v>256.96790347099301</v>
      </c>
      <c r="AS28" s="69">
        <v>572.5635286013287</v>
      </c>
    </row>
    <row r="29" spans="1:45" x14ac:dyDescent="0.25">
      <c r="A29" s="443">
        <v>44552</v>
      </c>
      <c r="B29" s="59"/>
      <c r="C29" s="60">
        <v>70.747377185026707</v>
      </c>
      <c r="D29" s="60">
        <v>900.53048216501907</v>
      </c>
      <c r="E29" s="60">
        <v>15.912231497963282</v>
      </c>
      <c r="F29" s="60">
        <v>0</v>
      </c>
      <c r="G29" s="60">
        <v>2028.4482002258294</v>
      </c>
      <c r="H29" s="61">
        <v>26.72782256801926</v>
      </c>
      <c r="I29" s="59">
        <v>143.76876423358922</v>
      </c>
      <c r="J29" s="60">
        <v>463.20485483805271</v>
      </c>
      <c r="K29" s="60">
        <v>25.478928475578599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258.17690009165409</v>
      </c>
      <c r="V29" s="62">
        <v>140.54582223738311</v>
      </c>
      <c r="W29" s="62">
        <v>49.015259324461745</v>
      </c>
      <c r="X29" s="62">
        <v>26.682828407535474</v>
      </c>
      <c r="Y29" s="66">
        <v>160.83139899907016</v>
      </c>
      <c r="Z29" s="66">
        <v>87.553073903545794</v>
      </c>
      <c r="AA29" s="67">
        <v>0</v>
      </c>
      <c r="AB29" s="68">
        <v>85.509698083665754</v>
      </c>
      <c r="AC29" s="69">
        <v>0</v>
      </c>
      <c r="AD29" s="406">
        <v>12.48392292932424</v>
      </c>
      <c r="AE29" s="406">
        <v>6.4965605778422324</v>
      </c>
      <c r="AF29" s="69">
        <v>18.342389827966688</v>
      </c>
      <c r="AG29" s="68">
        <v>11.747026378269274</v>
      </c>
      <c r="AH29" s="68">
        <v>6.3948226219773021</v>
      </c>
      <c r="AI29" s="68">
        <v>0.64750987499177248</v>
      </c>
      <c r="AJ29" s="69">
        <v>235.69652261734015</v>
      </c>
      <c r="AK29" s="69">
        <v>789.63077831268299</v>
      </c>
      <c r="AL29" s="69">
        <v>2910.5723775227857</v>
      </c>
      <c r="AM29" s="69">
        <v>593.62843561172485</v>
      </c>
      <c r="AN29" s="69">
        <v>4181.7977213541672</v>
      </c>
      <c r="AO29" s="69">
        <v>2520.2443332672119</v>
      </c>
      <c r="AP29" s="69">
        <v>518.10333086649575</v>
      </c>
      <c r="AQ29" s="69">
        <v>2358.6371716817221</v>
      </c>
      <c r="AR29" s="69">
        <v>264.18469098409014</v>
      </c>
      <c r="AS29" s="69">
        <v>569.22005580266307</v>
      </c>
    </row>
    <row r="30" spans="1:45" x14ac:dyDescent="0.25">
      <c r="A30" s="443">
        <v>44553</v>
      </c>
      <c r="B30" s="59"/>
      <c r="C30" s="60">
        <v>69.794603876272944</v>
      </c>
      <c r="D30" s="60">
        <v>880.03291403452613</v>
      </c>
      <c r="E30" s="60">
        <v>16.060694875816473</v>
      </c>
      <c r="F30" s="60">
        <v>0</v>
      </c>
      <c r="G30" s="60">
        <v>1983.5411801656082</v>
      </c>
      <c r="H30" s="61">
        <v>26.883990327517207</v>
      </c>
      <c r="I30" s="59">
        <v>147.93679877916972</v>
      </c>
      <c r="J30" s="60">
        <v>458.40462640126486</v>
      </c>
      <c r="K30" s="60">
        <v>25.200323232511685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257.75818482729352</v>
      </c>
      <c r="V30" s="62">
        <v>134.66766862644778</v>
      </c>
      <c r="W30" s="62">
        <v>48.816475940124612</v>
      </c>
      <c r="X30" s="62">
        <v>25.504528633379611</v>
      </c>
      <c r="Y30" s="66">
        <v>160.02121634695729</v>
      </c>
      <c r="Z30" s="66">
        <v>83.604267118237772</v>
      </c>
      <c r="AA30" s="67">
        <v>0</v>
      </c>
      <c r="AB30" s="68">
        <v>85.15124782986166</v>
      </c>
      <c r="AC30" s="69">
        <v>0</v>
      </c>
      <c r="AD30" s="406">
        <v>12.353699660685246</v>
      </c>
      <c r="AE30" s="406">
        <v>6.5538981420091531</v>
      </c>
      <c r="AF30" s="69">
        <v>18.002511094344982</v>
      </c>
      <c r="AG30" s="68">
        <v>11.694530864599388</v>
      </c>
      <c r="AH30" s="68">
        <v>6.1098940787112346</v>
      </c>
      <c r="AI30" s="68">
        <v>0.65683283239053403</v>
      </c>
      <c r="AJ30" s="69">
        <v>231.91637984116875</v>
      </c>
      <c r="AK30" s="69">
        <v>777.97693303426115</v>
      </c>
      <c r="AL30" s="69">
        <v>2882.0717225392659</v>
      </c>
      <c r="AM30" s="69">
        <v>514.29057312011719</v>
      </c>
      <c r="AN30" s="69">
        <v>4738.0748291015625</v>
      </c>
      <c r="AO30" s="69">
        <v>2534.9975055694586</v>
      </c>
      <c r="AP30" s="69">
        <v>513.31112812360129</v>
      </c>
      <c r="AQ30" s="69">
        <v>2340.6913839340209</v>
      </c>
      <c r="AR30" s="69">
        <v>355.35211855570469</v>
      </c>
      <c r="AS30" s="69">
        <v>574.74547014236441</v>
      </c>
    </row>
    <row r="31" spans="1:45" x14ac:dyDescent="0.25">
      <c r="A31" s="443">
        <v>44554</v>
      </c>
      <c r="B31" s="59"/>
      <c r="C31" s="60">
        <v>69.703249160448578</v>
      </c>
      <c r="D31" s="60">
        <v>877.34291330973451</v>
      </c>
      <c r="E31" s="60">
        <v>16.023922907312695</v>
      </c>
      <c r="F31" s="60">
        <v>0</v>
      </c>
      <c r="G31" s="60">
        <v>2009.2102308909105</v>
      </c>
      <c r="H31" s="61">
        <v>26.694238907098804</v>
      </c>
      <c r="I31" s="59">
        <v>151.25292476813001</v>
      </c>
      <c r="J31" s="60">
        <v>458.04985733032129</v>
      </c>
      <c r="K31" s="60">
        <v>25.214204482734182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261.75015836654126</v>
      </c>
      <c r="V31" s="62">
        <v>141.79273673861169</v>
      </c>
      <c r="W31" s="62">
        <v>49.139006950642532</v>
      </c>
      <c r="X31" s="62">
        <v>26.619102428172237</v>
      </c>
      <c r="Y31" s="66">
        <v>161.45044833312653</v>
      </c>
      <c r="Z31" s="66">
        <v>87.459358419078299</v>
      </c>
      <c r="AA31" s="67">
        <v>0</v>
      </c>
      <c r="AB31" s="68">
        <v>85.1947531223298</v>
      </c>
      <c r="AC31" s="69">
        <v>0</v>
      </c>
      <c r="AD31" s="406">
        <v>12.344877407177183</v>
      </c>
      <c r="AE31" s="406">
        <v>6.5739703935853342</v>
      </c>
      <c r="AF31" s="69">
        <v>18.684724174605464</v>
      </c>
      <c r="AG31" s="68">
        <v>11.998841931311361</v>
      </c>
      <c r="AH31" s="68">
        <v>6.4998953420007748</v>
      </c>
      <c r="AI31" s="68">
        <v>0.64863032292598255</v>
      </c>
      <c r="AJ31" s="69">
        <v>236.64051767190296</v>
      </c>
      <c r="AK31" s="69">
        <v>790.51764478683469</v>
      </c>
      <c r="AL31" s="69">
        <v>2857.9880465189617</v>
      </c>
      <c r="AM31" s="69">
        <v>514.29057312011719</v>
      </c>
      <c r="AN31" s="69">
        <v>4738.0748291015625</v>
      </c>
      <c r="AO31" s="69">
        <v>2479.2875303904216</v>
      </c>
      <c r="AP31" s="69">
        <v>528.3590542157491</v>
      </c>
      <c r="AQ31" s="69">
        <v>2344.5213091532391</v>
      </c>
      <c r="AR31" s="69">
        <v>438.95041429201768</v>
      </c>
      <c r="AS31" s="69">
        <v>563.52694374720261</v>
      </c>
    </row>
    <row r="32" spans="1:45" x14ac:dyDescent="0.25">
      <c r="A32" s="443">
        <v>44555</v>
      </c>
      <c r="B32" s="59"/>
      <c r="C32" s="60">
        <v>69.190906643867621</v>
      </c>
      <c r="D32" s="60">
        <v>866.83495731353969</v>
      </c>
      <c r="E32" s="60">
        <v>16.149792245030387</v>
      </c>
      <c r="F32" s="60">
        <v>0</v>
      </c>
      <c r="G32" s="60">
        <v>2065.0865228017128</v>
      </c>
      <c r="H32" s="61">
        <v>26.590239755312666</v>
      </c>
      <c r="I32" s="59">
        <v>153.41861726442974</v>
      </c>
      <c r="J32" s="60">
        <v>457.99262498219741</v>
      </c>
      <c r="K32" s="60">
        <v>25.187936390936379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269.50404590957851</v>
      </c>
      <c r="V32" s="62">
        <v>145.97302759031308</v>
      </c>
      <c r="W32" s="62">
        <v>49.430028150521068</v>
      </c>
      <c r="X32" s="62">
        <v>26.773070655224316</v>
      </c>
      <c r="Y32" s="66">
        <v>158.78571442537506</v>
      </c>
      <c r="Z32" s="66">
        <v>86.004020438859968</v>
      </c>
      <c r="AA32" s="67">
        <v>0</v>
      </c>
      <c r="AB32" s="68">
        <v>84.744546461105841</v>
      </c>
      <c r="AC32" s="69">
        <v>0</v>
      </c>
      <c r="AD32" s="406">
        <v>12.342305854748783</v>
      </c>
      <c r="AE32" s="406">
        <v>6.4935779927584028</v>
      </c>
      <c r="AF32" s="69">
        <v>18.43718681865267</v>
      </c>
      <c r="AG32" s="68">
        <v>11.836797355737859</v>
      </c>
      <c r="AH32" s="68">
        <v>6.4112326817155871</v>
      </c>
      <c r="AI32" s="68">
        <v>0.64866165451521318</v>
      </c>
      <c r="AJ32" s="69">
        <v>250.99978068669634</v>
      </c>
      <c r="AK32" s="69">
        <v>809.995935122172</v>
      </c>
      <c r="AL32" s="69">
        <v>2840.6562192281094</v>
      </c>
      <c r="AM32" s="69">
        <v>514.29057312011719</v>
      </c>
      <c r="AN32" s="69">
        <v>4738.0748291015625</v>
      </c>
      <c r="AO32" s="69">
        <v>2547.2628320058188</v>
      </c>
      <c r="AP32" s="69">
        <v>578.6620469729105</v>
      </c>
      <c r="AQ32" s="69">
        <v>2410.3814214070635</v>
      </c>
      <c r="AR32" s="69">
        <v>454.36358960469556</v>
      </c>
      <c r="AS32" s="69">
        <v>607.95526259740188</v>
      </c>
    </row>
    <row r="33" spans="1:45" x14ac:dyDescent="0.25">
      <c r="A33" s="443">
        <v>44556</v>
      </c>
      <c r="B33" s="59"/>
      <c r="C33" s="60">
        <v>70.560708924134545</v>
      </c>
      <c r="D33" s="60">
        <v>860.88642056783181</v>
      </c>
      <c r="E33" s="60">
        <v>15.879629839460023</v>
      </c>
      <c r="F33" s="60">
        <v>0</v>
      </c>
      <c r="G33" s="60">
        <v>2048.8554056803337</v>
      </c>
      <c r="H33" s="61">
        <v>26.553159268697119</v>
      </c>
      <c r="I33" s="59">
        <v>155.72843509515124</v>
      </c>
      <c r="J33" s="60">
        <v>458.01980810165298</v>
      </c>
      <c r="K33" s="60">
        <v>25.304316801329474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271.87976088838315</v>
      </c>
      <c r="V33" s="62">
        <v>147.28175392366146</v>
      </c>
      <c r="W33" s="62">
        <v>50.896226987124734</v>
      </c>
      <c r="X33" s="62">
        <v>27.571326215186527</v>
      </c>
      <c r="Y33" s="66">
        <v>159.13860845917571</v>
      </c>
      <c r="Z33" s="66">
        <v>86.208010828950577</v>
      </c>
      <c r="AA33" s="67">
        <v>0</v>
      </c>
      <c r="AB33" s="68">
        <v>84.620796351962795</v>
      </c>
      <c r="AC33" s="69">
        <v>0</v>
      </c>
      <c r="AD33" s="406">
        <v>12.348258136156748</v>
      </c>
      <c r="AE33" s="406">
        <v>6.4501676776460757</v>
      </c>
      <c r="AF33" s="69">
        <v>18.677422636085083</v>
      </c>
      <c r="AG33" s="68">
        <v>12.000495507387576</v>
      </c>
      <c r="AH33" s="68">
        <v>6.5008664878393363</v>
      </c>
      <c r="AI33" s="68">
        <v>0.64862767997748128</v>
      </c>
      <c r="AJ33" s="69">
        <v>253.04614191850024</v>
      </c>
      <c r="AK33" s="69">
        <v>817.41964279810577</v>
      </c>
      <c r="AL33" s="69">
        <v>2888.5464660644534</v>
      </c>
      <c r="AM33" s="69">
        <v>514.29057312011719</v>
      </c>
      <c r="AN33" s="69">
        <v>4738.0748291015625</v>
      </c>
      <c r="AO33" s="69">
        <v>2544.4213195800789</v>
      </c>
      <c r="AP33" s="69">
        <v>542.497817293803</v>
      </c>
      <c r="AQ33" s="69">
        <v>2415.3275271097827</v>
      </c>
      <c r="AR33" s="69">
        <v>455.29764626820878</v>
      </c>
      <c r="AS33" s="69">
        <v>621.28712393442788</v>
      </c>
    </row>
    <row r="34" spans="1:45" x14ac:dyDescent="0.25">
      <c r="A34" s="443">
        <v>44557</v>
      </c>
      <c r="B34" s="59"/>
      <c r="C34" s="60">
        <v>70.10515418450035</v>
      </c>
      <c r="D34" s="60">
        <v>844.34180145263713</v>
      </c>
      <c r="E34" s="60">
        <v>15.539811188975984</v>
      </c>
      <c r="F34" s="60">
        <v>0</v>
      </c>
      <c r="G34" s="60">
        <v>2006.4229658762633</v>
      </c>
      <c r="H34" s="61">
        <v>26.610643533865687</v>
      </c>
      <c r="I34" s="59">
        <v>156.6125765800476</v>
      </c>
      <c r="J34" s="60">
        <v>460.62814699808712</v>
      </c>
      <c r="K34" s="60">
        <v>25.32548223286868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258.68544045625612</v>
      </c>
      <c r="V34" s="62">
        <v>140.09596993057141</v>
      </c>
      <c r="W34" s="62">
        <v>49.494512154691037</v>
      </c>
      <c r="X34" s="62">
        <v>26.804684772061762</v>
      </c>
      <c r="Y34" s="66">
        <v>154.69691281468121</v>
      </c>
      <c r="Z34" s="66">
        <v>83.779025243218626</v>
      </c>
      <c r="AA34" s="67">
        <v>0</v>
      </c>
      <c r="AB34" s="68">
        <v>84.981659809748763</v>
      </c>
      <c r="AC34" s="69">
        <v>0</v>
      </c>
      <c r="AD34" s="406">
        <v>12.413935839449838</v>
      </c>
      <c r="AE34" s="406">
        <v>6.4464723891537075</v>
      </c>
      <c r="AF34" s="69">
        <v>18.323792604605405</v>
      </c>
      <c r="AG34" s="68">
        <v>11.778327285092594</v>
      </c>
      <c r="AH34" s="68">
        <v>6.3787748636119819</v>
      </c>
      <c r="AI34" s="68">
        <v>0.64868981782607427</v>
      </c>
      <c r="AJ34" s="69">
        <v>274.00337830384569</v>
      </c>
      <c r="AK34" s="69">
        <v>852.67183001836145</v>
      </c>
      <c r="AL34" s="69">
        <v>2786.3184246063233</v>
      </c>
      <c r="AM34" s="69">
        <v>514.29057312011719</v>
      </c>
      <c r="AN34" s="69">
        <v>4738.0748291015625</v>
      </c>
      <c r="AO34" s="69">
        <v>2625.3201218922936</v>
      </c>
      <c r="AP34" s="69">
        <v>595.82724307378112</v>
      </c>
      <c r="AQ34" s="69">
        <v>2391.8236234029137</v>
      </c>
      <c r="AR34" s="69">
        <v>481.54981625874831</v>
      </c>
      <c r="AS34" s="69">
        <v>601.36806631088245</v>
      </c>
    </row>
    <row r="35" spans="1:45" x14ac:dyDescent="0.25">
      <c r="A35" s="443">
        <v>44558</v>
      </c>
      <c r="B35" s="59"/>
      <c r="C35" s="60">
        <v>70.342155349254696</v>
      </c>
      <c r="D35" s="60">
        <v>844.25071226755938</v>
      </c>
      <c r="E35" s="60">
        <v>15.936016918222087</v>
      </c>
      <c r="F35" s="60">
        <v>0</v>
      </c>
      <c r="G35" s="60">
        <v>2045.4966911315828</v>
      </c>
      <c r="H35" s="61">
        <v>26.6052216291428</v>
      </c>
      <c r="I35" s="59">
        <v>155.47434224287667</v>
      </c>
      <c r="J35" s="60">
        <v>457.25149488449023</v>
      </c>
      <c r="K35" s="60">
        <v>25.268381814658653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261.50901621189939</v>
      </c>
      <c r="V35" s="62">
        <v>141.66456571677566</v>
      </c>
      <c r="W35" s="62">
        <v>48.324742691153141</v>
      </c>
      <c r="X35" s="62">
        <v>26.17846140023692</v>
      </c>
      <c r="Y35" s="66">
        <v>149.52241585661582</v>
      </c>
      <c r="Z35" s="66">
        <v>80.999226772689639</v>
      </c>
      <c r="AA35" s="67">
        <v>0</v>
      </c>
      <c r="AB35" s="68">
        <v>84.421870326996086</v>
      </c>
      <c r="AC35" s="69">
        <v>0</v>
      </c>
      <c r="AD35" s="406">
        <v>12.324943632530262</v>
      </c>
      <c r="AE35" s="406">
        <v>6.4559920456559388</v>
      </c>
      <c r="AF35" s="69">
        <v>18.067854999171381</v>
      </c>
      <c r="AG35" s="68">
        <v>11.616901491229706</v>
      </c>
      <c r="AH35" s="68">
        <v>6.2931034981834593</v>
      </c>
      <c r="AI35" s="68">
        <v>0.64862636822807163</v>
      </c>
      <c r="AJ35" s="69">
        <v>285.22985357443503</v>
      </c>
      <c r="AK35" s="69">
        <v>874.30195306142173</v>
      </c>
      <c r="AL35" s="69">
        <v>3119.5893695831301</v>
      </c>
      <c r="AM35" s="69">
        <v>493.88797887166339</v>
      </c>
      <c r="AN35" s="69">
        <v>4738.0748291015625</v>
      </c>
      <c r="AO35" s="69">
        <v>2701.131838226318</v>
      </c>
      <c r="AP35" s="69">
        <v>860.72642817497251</v>
      </c>
      <c r="AQ35" s="69">
        <v>2385.3344323476153</v>
      </c>
      <c r="AR35" s="69">
        <v>499.51265328725185</v>
      </c>
      <c r="AS35" s="69">
        <v>587.20238561630242</v>
      </c>
    </row>
    <row r="36" spans="1:45" x14ac:dyDescent="0.25">
      <c r="A36" s="443">
        <v>44559</v>
      </c>
      <c r="B36" s="59"/>
      <c r="C36" s="60">
        <v>68.90443131128967</v>
      </c>
      <c r="D36" s="60">
        <v>879.96025575002193</v>
      </c>
      <c r="E36" s="60">
        <v>15.76721786061923</v>
      </c>
      <c r="F36" s="60">
        <v>0</v>
      </c>
      <c r="G36" s="60">
        <v>2147.5750944773336</v>
      </c>
      <c r="H36" s="61">
        <v>26.689101362228449</v>
      </c>
      <c r="I36" s="59">
        <v>173.31982617378219</v>
      </c>
      <c r="J36" s="60">
        <v>457.87221495310382</v>
      </c>
      <c r="K36" s="60">
        <v>25.131579699615621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258.90343230898355</v>
      </c>
      <c r="V36" s="62">
        <v>136.0167594770428</v>
      </c>
      <c r="W36" s="62">
        <v>49.034446716155962</v>
      </c>
      <c r="X36" s="62">
        <v>25.760595313860712</v>
      </c>
      <c r="Y36" s="66">
        <v>149.31570062119485</v>
      </c>
      <c r="Z36" s="66">
        <v>78.444065250171192</v>
      </c>
      <c r="AA36" s="67">
        <v>0</v>
      </c>
      <c r="AB36" s="68">
        <v>84.604287629656412</v>
      </c>
      <c r="AC36" s="69">
        <v>0</v>
      </c>
      <c r="AD36" s="406">
        <v>12.340622491607538</v>
      </c>
      <c r="AE36" s="406">
        <v>6.470443577453052</v>
      </c>
      <c r="AF36" s="69">
        <v>17.805940928061823</v>
      </c>
      <c r="AG36" s="68">
        <v>11.567481383329799</v>
      </c>
      <c r="AH36" s="68">
        <v>6.0770586123162254</v>
      </c>
      <c r="AI36" s="68">
        <v>0.65558418559986242</v>
      </c>
      <c r="AJ36" s="69">
        <v>295.50357679526013</v>
      </c>
      <c r="AK36" s="69">
        <v>897.94110225041709</v>
      </c>
      <c r="AL36" s="69">
        <v>2691.6393260955811</v>
      </c>
      <c r="AM36" s="69">
        <v>459.06550598144531</v>
      </c>
      <c r="AN36" s="69">
        <v>4738.0748291015625</v>
      </c>
      <c r="AO36" s="69">
        <v>2824.7515298207609</v>
      </c>
      <c r="AP36" s="69">
        <v>684.00058407783501</v>
      </c>
      <c r="AQ36" s="69">
        <v>2377.9289239247637</v>
      </c>
      <c r="AR36" s="69">
        <v>523.24724963506048</v>
      </c>
      <c r="AS36" s="69">
        <v>633.01575196584088</v>
      </c>
    </row>
    <row r="37" spans="1:45" x14ac:dyDescent="0.25">
      <c r="A37" s="443">
        <v>44560</v>
      </c>
      <c r="B37" s="65"/>
      <c r="C37" s="380">
        <v>69.367192653814897</v>
      </c>
      <c r="D37" s="380">
        <v>958.77018388112367</v>
      </c>
      <c r="E37" s="380">
        <v>15.735527695218712</v>
      </c>
      <c r="F37" s="380">
        <v>0</v>
      </c>
      <c r="G37" s="380">
        <v>2358.7395853678399</v>
      </c>
      <c r="H37" s="390">
        <v>26.79115658203763</v>
      </c>
      <c r="I37" s="379">
        <v>198.32649976412452</v>
      </c>
      <c r="J37" s="380">
        <v>493.60499785741149</v>
      </c>
      <c r="K37" s="380">
        <v>26.921527653932529</v>
      </c>
      <c r="L37" s="380">
        <v>0</v>
      </c>
      <c r="M37" s="380">
        <v>0</v>
      </c>
      <c r="N37" s="390">
        <v>0</v>
      </c>
      <c r="O37" s="379">
        <v>0</v>
      </c>
      <c r="P37" s="380">
        <v>0</v>
      </c>
      <c r="Q37" s="380">
        <v>0</v>
      </c>
      <c r="R37" s="391">
        <v>0</v>
      </c>
      <c r="S37" s="380">
        <v>0</v>
      </c>
      <c r="T37" s="392">
        <v>0</v>
      </c>
      <c r="U37" s="393">
        <v>286.89202405148899</v>
      </c>
      <c r="V37" s="81">
        <v>145.06044437553459</v>
      </c>
      <c r="W37" s="81">
        <v>54.373367550264156</v>
      </c>
      <c r="X37" s="81">
        <v>27.49265994798106</v>
      </c>
      <c r="Y37" s="80">
        <v>163.38402593084183</v>
      </c>
      <c r="Z37" s="80">
        <v>82.611426663915211</v>
      </c>
      <c r="AA37" s="82">
        <v>0</v>
      </c>
      <c r="AB37" s="394">
        <v>89.279607897334472</v>
      </c>
      <c r="AC37" s="388">
        <v>0</v>
      </c>
      <c r="AD37" s="406">
        <v>13.291306092455493</v>
      </c>
      <c r="AE37" s="406">
        <v>6.5041971250648931</v>
      </c>
      <c r="AF37" s="85">
        <v>19.66136328246861</v>
      </c>
      <c r="AG37" s="394">
        <v>12.946573529112358</v>
      </c>
      <c r="AH37" s="394">
        <v>6.5461412372221188</v>
      </c>
      <c r="AI37" s="394">
        <v>0.66417498456767843</v>
      </c>
      <c r="AJ37" s="388">
        <v>268.90997158686315</v>
      </c>
      <c r="AK37" s="388">
        <v>856.44546407063808</v>
      </c>
      <c r="AL37" s="388">
        <v>2740.5809828440351</v>
      </c>
      <c r="AM37" s="388">
        <v>459.06550598144531</v>
      </c>
      <c r="AN37" s="388">
        <v>4738.0748291015625</v>
      </c>
      <c r="AO37" s="388">
        <v>2796.6278013865149</v>
      </c>
      <c r="AP37" s="388">
        <v>612.52047823270175</v>
      </c>
      <c r="AQ37" s="388">
        <v>2542.8795078277585</v>
      </c>
      <c r="AR37" s="388">
        <v>501.55875698725384</v>
      </c>
      <c r="AS37" s="388">
        <v>628.12801640828445</v>
      </c>
    </row>
    <row r="38" spans="1:45" ht="15.75" thickBot="1" x14ac:dyDescent="0.3">
      <c r="A38" s="443">
        <v>44561</v>
      </c>
      <c r="B38" s="59"/>
      <c r="C38" s="74">
        <v>72.852188885212058</v>
      </c>
      <c r="D38" s="74">
        <v>990.85261338551788</v>
      </c>
      <c r="E38" s="74">
        <v>16.082726692159948</v>
      </c>
      <c r="F38" s="74">
        <v>0</v>
      </c>
      <c r="G38" s="74">
        <v>2472.3555280049682</v>
      </c>
      <c r="H38" s="75">
        <v>27.665776457389285</v>
      </c>
      <c r="I38" s="76">
        <v>223.76050556500743</v>
      </c>
      <c r="J38" s="74">
        <v>569.49008467992292</v>
      </c>
      <c r="K38" s="74">
        <v>31.29699824253716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328.3230874151306</v>
      </c>
      <c r="V38" s="80">
        <v>147.70657399658322</v>
      </c>
      <c r="W38" s="81">
        <v>64.108657846378875</v>
      </c>
      <c r="X38" s="81">
        <v>28.841316913040853</v>
      </c>
      <c r="Y38" s="80">
        <v>184.16007199823764</v>
      </c>
      <c r="Z38" s="80">
        <v>82.850260443092452</v>
      </c>
      <c r="AA38" s="82">
        <v>0</v>
      </c>
      <c r="AB38" s="83">
        <v>99.882931158277259</v>
      </c>
      <c r="AC38" s="84">
        <v>0</v>
      </c>
      <c r="AD38" s="406">
        <v>15.348499897529184</v>
      </c>
      <c r="AE38" s="406">
        <v>6.7025745842678814</v>
      </c>
      <c r="AF38" s="85">
        <v>21.93286872704828</v>
      </c>
      <c r="AG38" s="83">
        <v>14.999744177790639</v>
      </c>
      <c r="AH38" s="83">
        <v>6.7481115652561563</v>
      </c>
      <c r="AI38" s="83">
        <v>0.68971140672506726</v>
      </c>
      <c r="AJ38" s="84">
        <v>271.05238629182179</v>
      </c>
      <c r="AK38" s="84">
        <v>853.09969466527298</v>
      </c>
      <c r="AL38" s="84">
        <v>2768.7178277333574</v>
      </c>
      <c r="AM38" s="84">
        <v>459.06550598144531</v>
      </c>
      <c r="AN38" s="84">
        <v>4738.0748291015625</v>
      </c>
      <c r="AO38" s="84">
        <v>2787.7007953643802</v>
      </c>
      <c r="AP38" s="84">
        <v>622.64869197209691</v>
      </c>
      <c r="AQ38" s="84">
        <v>2831.4938532511392</v>
      </c>
      <c r="AR38" s="84">
        <v>509.52108411788936</v>
      </c>
      <c r="AS38" s="84">
        <v>582.57103672027586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2117.1375353018457</v>
      </c>
      <c r="D39" s="30">
        <f t="shared" si="0"/>
        <v>26092.330988661466</v>
      </c>
      <c r="E39" s="30">
        <f t="shared" si="0"/>
        <v>477.25535210818009</v>
      </c>
      <c r="F39" s="30">
        <f t="shared" si="0"/>
        <v>0</v>
      </c>
      <c r="G39" s="30">
        <f t="shared" si="0"/>
        <v>65848.54696248367</v>
      </c>
      <c r="H39" s="31">
        <f t="shared" si="0"/>
        <v>786.27024802366998</v>
      </c>
      <c r="I39" s="29">
        <f t="shared" si="0"/>
        <v>5141.4029617706929</v>
      </c>
      <c r="J39" s="30">
        <f t="shared" si="0"/>
        <v>14504.529031785316</v>
      </c>
      <c r="K39" s="30">
        <f t="shared" si="0"/>
        <v>797.34914756963644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8410.6788550937199</v>
      </c>
      <c r="V39" s="261">
        <f t="shared" si="0"/>
        <v>4201.4707974509593</v>
      </c>
      <c r="W39" s="261">
        <f t="shared" si="0"/>
        <v>1571.1415414030287</v>
      </c>
      <c r="X39" s="261">
        <f t="shared" si="0"/>
        <v>787.56748828342336</v>
      </c>
      <c r="Y39" s="261">
        <f t="shared" si="0"/>
        <v>5093.9041894959328</v>
      </c>
      <c r="Z39" s="261">
        <f t="shared" si="0"/>
        <v>2534.378999594162</v>
      </c>
      <c r="AA39" s="269">
        <f t="shared" si="0"/>
        <v>0</v>
      </c>
      <c r="AB39" s="272">
        <f t="shared" si="0"/>
        <v>2648.169103270116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7968.2220725218467</v>
      </c>
      <c r="AK39" s="272">
        <f t="shared" si="1"/>
        <v>25370.661266056693</v>
      </c>
      <c r="AL39" s="272">
        <f t="shared" si="1"/>
        <v>88127.746792602542</v>
      </c>
      <c r="AM39" s="272">
        <f t="shared" si="1"/>
        <v>16161.813135655722</v>
      </c>
      <c r="AN39" s="272">
        <f t="shared" si="1"/>
        <v>115467.30979569754</v>
      </c>
      <c r="AO39" s="272">
        <f t="shared" si="1"/>
        <v>80008.257250467926</v>
      </c>
      <c r="AP39" s="272">
        <f t="shared" si="1"/>
        <v>17589.671026229858</v>
      </c>
      <c r="AQ39" s="272">
        <f t="shared" si="1"/>
        <v>73626.068911870316</v>
      </c>
      <c r="AR39" s="272">
        <f t="shared" si="1"/>
        <v>12354.083602460223</v>
      </c>
      <c r="AS39" s="272">
        <f t="shared" si="1"/>
        <v>18833.00814647675</v>
      </c>
    </row>
    <row r="40" spans="1:45" ht="15.75" thickBot="1" x14ac:dyDescent="0.3">
      <c r="A40" s="47" t="s">
        <v>172</v>
      </c>
      <c r="B40" s="32">
        <f>Projection!$AD$30</f>
        <v>0.68740698599999983</v>
      </c>
      <c r="C40" s="33">
        <f>Projection!$AD$28</f>
        <v>1.7059803599999999</v>
      </c>
      <c r="D40" s="33">
        <f>Projection!$AD$31</f>
        <v>3.0975552300000002</v>
      </c>
      <c r="E40" s="33">
        <f>Projection!$AD$26</f>
        <v>4.4235360000000004</v>
      </c>
      <c r="F40" s="33">
        <f>Projection!$AC$23</f>
        <v>0</v>
      </c>
      <c r="G40" s="33">
        <f>Projection!$AD$24</f>
        <v>7.6444999999999999E-2</v>
      </c>
      <c r="H40" s="34">
        <f>Projection!$AD$29</f>
        <v>3.8336895000000006</v>
      </c>
      <c r="I40" s="32">
        <f>Projection!$AD$30</f>
        <v>0.68740698599999983</v>
      </c>
      <c r="J40" s="33">
        <f>Projection!$AD$28</f>
        <v>1.7059803599999999</v>
      </c>
      <c r="K40" s="33">
        <f>Projection!$AD$26</f>
        <v>4.4235360000000004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1.7059803599999999</v>
      </c>
      <c r="T40" s="265">
        <f>Projection!$AD$28</f>
        <v>1.7059803599999999</v>
      </c>
      <c r="U40" s="263">
        <f>Projection!$AD$27</f>
        <v>0.41249999999999998</v>
      </c>
      <c r="V40" s="264">
        <f>Projection!$AD$27</f>
        <v>0.41249999999999998</v>
      </c>
      <c r="W40" s="264">
        <f>Projection!$AD$22</f>
        <v>1.3964496</v>
      </c>
      <c r="X40" s="264">
        <f>Projection!$AD$22</f>
        <v>1.3964496</v>
      </c>
      <c r="Y40" s="264">
        <f>Projection!$AD$31</f>
        <v>3.0975552300000002</v>
      </c>
      <c r="Z40" s="264">
        <f>Projection!$AD$31</f>
        <v>3.0975552300000002</v>
      </c>
      <c r="AA40" s="270">
        <v>0</v>
      </c>
      <c r="AB40" s="273">
        <f>Projection!$AD$27</f>
        <v>0.41249999999999998</v>
      </c>
      <c r="AC40" s="273">
        <f>Projection!$AD$30</f>
        <v>0.68740698599999983</v>
      </c>
      <c r="AD40" s="397">
        <f>SUM(AD8:AD38)</f>
        <v>390.86670298365129</v>
      </c>
      <c r="AE40" s="397">
        <f>SUM(AE8:AE38)</f>
        <v>196.27157507331489</v>
      </c>
      <c r="AF40" s="276">
        <f>SUM(AF8:AF38)</f>
        <v>566.35590085089211</v>
      </c>
      <c r="AG40" s="276">
        <f>SUM(AG8:AG38)</f>
        <v>372.74470849624424</v>
      </c>
      <c r="AH40" s="276">
        <f>SUM(AH8:AH38)</f>
        <v>187.07394112358972</v>
      </c>
      <c r="AI40" s="276">
        <f>IF(SUM(AG40:AH40)&gt;0, AG40/(AG40+AH40),0)</f>
        <v>0.66583117362983646</v>
      </c>
      <c r="AJ40" s="311">
        <v>7.6999999999999999E-2</v>
      </c>
      <c r="AK40" s="311">
        <f t="shared" ref="AK40:AS40" si="2">$AJ$40</f>
        <v>7.6999999999999999E-2</v>
      </c>
      <c r="AL40" s="311">
        <f t="shared" si="2"/>
        <v>7.6999999999999999E-2</v>
      </c>
      <c r="AM40" s="311">
        <f t="shared" si="2"/>
        <v>7.6999999999999999E-2</v>
      </c>
      <c r="AN40" s="311">
        <f t="shared" si="2"/>
        <v>7.6999999999999999E-2</v>
      </c>
      <c r="AO40" s="311">
        <f t="shared" si="2"/>
        <v>7.6999999999999999E-2</v>
      </c>
      <c r="AP40" s="311">
        <f t="shared" si="2"/>
        <v>7.6999999999999999E-2</v>
      </c>
      <c r="AQ40" s="311">
        <f t="shared" si="2"/>
        <v>7.6999999999999999E-2</v>
      </c>
      <c r="AR40" s="311">
        <f t="shared" si="2"/>
        <v>7.6999999999999999E-2</v>
      </c>
      <c r="AS40" s="311">
        <f t="shared" si="2"/>
        <v>7.6999999999999999E-2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3611.7950546437551</v>
      </c>
      <c r="D41" s="36">
        <f t="shared" si="3"/>
        <v>80822.436316819396</v>
      </c>
      <c r="E41" s="36">
        <f t="shared" si="3"/>
        <v>2111.1562312432106</v>
      </c>
      <c r="F41" s="36">
        <f t="shared" si="3"/>
        <v>0</v>
      </c>
      <c r="G41" s="36">
        <f t="shared" si="3"/>
        <v>5033.7921725470642</v>
      </c>
      <c r="H41" s="37">
        <f t="shared" si="3"/>
        <v>3014.3159940107398</v>
      </c>
      <c r="I41" s="35">
        <f t="shared" si="3"/>
        <v>3534.2363137622642</v>
      </c>
      <c r="J41" s="36">
        <f t="shared" si="3"/>
        <v>24744.441659275562</v>
      </c>
      <c r="K41" s="36">
        <f t="shared" si="3"/>
        <v>3527.1026588435998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3469.4050277261595</v>
      </c>
      <c r="V41" s="267">
        <f t="shared" si="3"/>
        <v>1733.1067039485206</v>
      </c>
      <c r="W41" s="267">
        <f t="shared" si="3"/>
        <v>2194.0199770356426</v>
      </c>
      <c r="X41" s="267">
        <f t="shared" si="3"/>
        <v>1099.7983039863911</v>
      </c>
      <c r="Y41" s="267">
        <f t="shared" si="3"/>
        <v>15778.64956329204</v>
      </c>
      <c r="Z41" s="267">
        <f t="shared" si="3"/>
        <v>7850.3789249950651</v>
      </c>
      <c r="AA41" s="271">
        <f t="shared" si="3"/>
        <v>0</v>
      </c>
      <c r="AB41" s="274">
        <f t="shared" si="3"/>
        <v>1092.3697550989227</v>
      </c>
      <c r="AC41" s="274">
        <f t="shared" si="3"/>
        <v>0</v>
      </c>
      <c r="AJ41" s="277">
        <f t="shared" ref="AJ41:AS41" si="4">AJ40*AJ39</f>
        <v>613.55309958418218</v>
      </c>
      <c r="AK41" s="277">
        <f t="shared" si="4"/>
        <v>1953.5409174863653</v>
      </c>
      <c r="AL41" s="277">
        <f t="shared" si="4"/>
        <v>6785.8365030303958</v>
      </c>
      <c r="AM41" s="277">
        <f t="shared" si="4"/>
        <v>1244.4596114454905</v>
      </c>
      <c r="AN41" s="277">
        <f t="shared" si="4"/>
        <v>8890.9828542687101</v>
      </c>
      <c r="AO41" s="277">
        <f t="shared" si="4"/>
        <v>6160.6358082860306</v>
      </c>
      <c r="AP41" s="277">
        <f t="shared" si="4"/>
        <v>1354.404669019699</v>
      </c>
      <c r="AQ41" s="277">
        <f t="shared" si="4"/>
        <v>5669.2073062140144</v>
      </c>
      <c r="AR41" s="277">
        <f t="shared" si="4"/>
        <v>951.26443738943715</v>
      </c>
      <c r="AS41" s="277">
        <f t="shared" si="4"/>
        <v>1450.1416272787096</v>
      </c>
    </row>
    <row r="42" spans="1:45" ht="49.5" customHeight="1" thickTop="1" thickBot="1" x14ac:dyDescent="0.3">
      <c r="A42" s="643">
        <f>NOVEMBER!$A$42+30</f>
        <v>44532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1842.36</v>
      </c>
      <c r="AK42" s="277" t="s">
        <v>197</v>
      </c>
      <c r="AL42" s="277">
        <v>3356.85</v>
      </c>
      <c r="AM42" s="277">
        <v>1279.47</v>
      </c>
      <c r="AN42" s="277">
        <v>786.07</v>
      </c>
      <c r="AO42" s="277">
        <v>12796.96</v>
      </c>
      <c r="AP42" s="277">
        <v>1575.91</v>
      </c>
      <c r="AQ42" s="277" t="s">
        <v>197</v>
      </c>
      <c r="AR42" s="277">
        <v>253.79</v>
      </c>
      <c r="AS42" s="277">
        <v>668.86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159617.00465722836</v>
      </c>
      <c r="C44" s="12"/>
      <c r="D44" s="281" t="s">
        <v>135</v>
      </c>
      <c r="E44" s="282">
        <f>SUM(B41:H41)+P41+R41+T41+V41+X41+Z41</f>
        <v>105276.77970219414</v>
      </c>
      <c r="F44" s="12"/>
      <c r="G44" s="281" t="s">
        <v>135</v>
      </c>
      <c r="H44" s="282">
        <f>SUM(I41:N41)+O41+Q41+S41+U41+W41+Y41</f>
        <v>53247.855199935264</v>
      </c>
      <c r="I44" s="12"/>
      <c r="J44" s="281" t="s">
        <v>198</v>
      </c>
      <c r="K44" s="282">
        <v>301102.8</v>
      </c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35074.026834003038</v>
      </c>
      <c r="C45" s="12"/>
      <c r="D45" s="283" t="s">
        <v>183</v>
      </c>
      <c r="E45" s="284">
        <f>AJ41*(1-$AI$40)+AK41+AL41*0.5+AN41+AO41*(1-$AI$40)+AP41*(1-$AI$40)+AQ41*(1-$AI$40)+AR41*0.5+AS41*0.5</f>
        <v>20048.939983200395</v>
      </c>
      <c r="F45" s="24"/>
      <c r="G45" s="283" t="s">
        <v>183</v>
      </c>
      <c r="H45" s="284">
        <f>AJ41*AI40+AL41*0.5+AM41+AO41*AI40+AP41*AI40+AQ41*AI40+AR41*0.5+AS41*0.5</f>
        <v>15025.086850802643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2358.7090296864521</v>
      </c>
      <c r="U45" s="255">
        <f>(T45*8.34*0.895)/27000</f>
        <v>0.6520782151958735</v>
      </c>
    </row>
    <row r="46" spans="1:45" ht="32.25" thickBot="1" x14ac:dyDescent="0.3">
      <c r="A46" s="285" t="s">
        <v>184</v>
      </c>
      <c r="B46" s="286">
        <f>SUM(AJ42:AS42)</f>
        <v>22560.27</v>
      </c>
      <c r="C46" s="12"/>
      <c r="D46" s="285" t="s">
        <v>184</v>
      </c>
      <c r="E46" s="286">
        <f>AJ42*(1-$AI$40)+AL42*0.5+AN42+AO42*(1-$AI$40)+AP42*(1-$AI$40)+AR42*0.5+AS42*0.5</f>
        <v>8344.4443784222658</v>
      </c>
      <c r="F46" s="23"/>
      <c r="G46" s="285" t="s">
        <v>184</v>
      </c>
      <c r="H46" s="286">
        <f>AJ42*AI40+AL42*0.5+AM42+AO42*AI40+AP42*AI40+AR42*0.5+AS42*0.5</f>
        <v>14215.825621577733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301102.8</v>
      </c>
      <c r="C47" s="12"/>
      <c r="D47" s="285" t="s">
        <v>187</v>
      </c>
      <c r="E47" s="286">
        <f>K44*0.5</f>
        <v>150551.4</v>
      </c>
      <c r="F47" s="24"/>
      <c r="G47" s="285" t="s">
        <v>185</v>
      </c>
      <c r="H47" s="286">
        <f>K44*0.5</f>
        <v>150551.4</v>
      </c>
      <c r="I47" s="12"/>
      <c r="J47" s="281" t="s">
        <v>198</v>
      </c>
      <c r="K47" s="282">
        <v>129497.76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65848.54696248367</v>
      </c>
      <c r="U47" s="255">
        <f>T47/40000</f>
        <v>1.6462136740620918</v>
      </c>
    </row>
    <row r="48" spans="1:45" ht="24" thickBot="1" x14ac:dyDescent="0.3">
      <c r="A48" s="285" t="s">
        <v>186</v>
      </c>
      <c r="B48" s="286">
        <f>K47</f>
        <v>129497.76</v>
      </c>
      <c r="C48" s="12"/>
      <c r="D48" s="285" t="s">
        <v>186</v>
      </c>
      <c r="E48" s="286">
        <f>K47*0.5</f>
        <v>64748.88</v>
      </c>
      <c r="F48" s="23"/>
      <c r="G48" s="285" t="s">
        <v>186</v>
      </c>
      <c r="H48" s="286">
        <f>K47*0.5</f>
        <v>64748.88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566.35590085089211</v>
      </c>
      <c r="C49" s="12"/>
      <c r="D49" s="290" t="s">
        <v>195</v>
      </c>
      <c r="E49" s="291">
        <f>AH40</f>
        <v>187.07394112358972</v>
      </c>
      <c r="F49" s="23"/>
      <c r="G49" s="290" t="s">
        <v>196</v>
      </c>
      <c r="H49" s="291">
        <f>AG40</f>
        <v>372.74470849624424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1274.6044996778164</v>
      </c>
      <c r="U49" s="255">
        <f>(T49*8.34*1.04)/45000</f>
        <v>0.24567576863123355</v>
      </c>
    </row>
    <row r="50" spans="1:25" ht="48" customHeight="1" thickTop="1" thickBot="1" x14ac:dyDescent="0.3">
      <c r="A50" s="290" t="s">
        <v>223</v>
      </c>
      <c r="B50" s="291">
        <f>SUM(E50+H50)</f>
        <v>587.13827805696621</v>
      </c>
      <c r="C50" s="12"/>
      <c r="D50" s="290" t="s">
        <v>224</v>
      </c>
      <c r="E50" s="291">
        <f>AE40</f>
        <v>196.27157507331489</v>
      </c>
      <c r="F50" s="23"/>
      <c r="G50" s="290" t="s">
        <v>228</v>
      </c>
      <c r="H50" s="291">
        <f>AD40</f>
        <v>390.86670298365129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1103.4059363923375</v>
      </c>
      <c r="C51" s="12"/>
      <c r="D51" s="290" t="s">
        <v>188</v>
      </c>
      <c r="E51" s="396">
        <f>SUM(E44:E48)/E50</f>
        <v>1777.9978783655406</v>
      </c>
      <c r="F51" s="371">
        <f>E44/E50</f>
        <v>536.38322137512398</v>
      </c>
      <c r="G51" s="290" t="s">
        <v>189</v>
      </c>
      <c r="H51" s="396">
        <f>SUM(H44:H48)/H50</f>
        <v>761.86854853372142</v>
      </c>
      <c r="I51" s="370">
        <f>H44/H50</f>
        <v>136.23021555295401</v>
      </c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15260.318755814795</v>
      </c>
      <c r="U51" s="255">
        <f>T51/2000/8</f>
        <v>0.95376992223842472</v>
      </c>
    </row>
    <row r="52" spans="1:25" ht="48" thickTop="1" thickBot="1" x14ac:dyDescent="0.3">
      <c r="A52" s="280" t="s">
        <v>191</v>
      </c>
      <c r="B52" s="293">
        <f>B51/1000</f>
        <v>1.1034059363923374</v>
      </c>
      <c r="C52" s="12"/>
      <c r="D52" s="280" t="s">
        <v>192</v>
      </c>
      <c r="E52" s="293">
        <f>E51/1000</f>
        <v>1.7779978783655406</v>
      </c>
      <c r="F52" s="12"/>
      <c r="G52" s="280" t="s">
        <v>193</v>
      </c>
      <c r="H52" s="293">
        <f>H51/1000</f>
        <v>0.76186854853372143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16621.666567087163</v>
      </c>
      <c r="U52" s="255">
        <f>(T52*8.34*1.4)/45000</f>
        <v>4.3127684186068826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786.27024802366998</v>
      </c>
      <c r="U53" s="255">
        <f>(T53*8.34*1.135)/45000</f>
        <v>0.16539456757260571</v>
      </c>
    </row>
    <row r="54" spans="1:25" ht="33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5141.4029617706929</v>
      </c>
      <c r="U54" s="255">
        <f>(T54*8.34*1.029*0.03)/3300</f>
        <v>0.4011163674681949</v>
      </c>
    </row>
    <row r="55" spans="1:25" ht="54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79"/>
      <c r="T55" s="325">
        <f>$D$39+$Y$39+$Z$39</f>
        <v>33720.614177751559</v>
      </c>
      <c r="U55" s="326">
        <f>(T55*1.54*8.34)/45000</f>
        <v>9.6243128945193313</v>
      </c>
      <c r="V55" s="324"/>
      <c r="W55" s="12"/>
      <c r="X55" s="12"/>
      <c r="Y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8"/>
      <c r="T56" s="624"/>
      <c r="U56" s="624"/>
      <c r="V56" s="322"/>
      <c r="W56" s="323"/>
      <c r="X56" s="321"/>
      <c r="Y56" s="321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1"/>
      <c r="T57" s="677"/>
      <c r="U57" s="677"/>
      <c r="V57" s="322"/>
      <c r="W57" s="323"/>
      <c r="X57" s="321"/>
      <c r="Y57" s="321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1"/>
      <c r="T58" s="677"/>
      <c r="U58" s="677"/>
      <c r="V58" s="322"/>
      <c r="W58" s="323"/>
      <c r="X58" s="321"/>
      <c r="Y58" s="321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1"/>
      <c r="T59" s="677"/>
      <c r="U59" s="677"/>
      <c r="V59" s="322"/>
      <c r="W59" s="323"/>
      <c r="X59" s="321"/>
      <c r="Y59" s="321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1"/>
      <c r="T60" s="677"/>
      <c r="U60" s="677"/>
      <c r="V60" s="322"/>
      <c r="W60" s="323"/>
      <c r="X60" s="321"/>
      <c r="Y60" s="321"/>
    </row>
    <row r="61" spans="1:25" x14ac:dyDescent="0.25">
      <c r="S61" s="321"/>
      <c r="T61" s="677"/>
      <c r="U61" s="677"/>
      <c r="V61" s="322"/>
      <c r="W61" s="323"/>
      <c r="X61" s="321"/>
      <c r="Y61" s="321"/>
    </row>
    <row r="62" spans="1:25" x14ac:dyDescent="0.25">
      <c r="S62" s="321"/>
      <c r="T62" s="677"/>
      <c r="U62" s="677"/>
      <c r="V62" s="322"/>
      <c r="W62" s="323"/>
      <c r="X62" s="321"/>
      <c r="Y62" s="321"/>
    </row>
    <row r="63" spans="1:25" x14ac:dyDescent="0.25">
      <c r="S63" s="321"/>
      <c r="T63" s="677"/>
      <c r="U63" s="677"/>
      <c r="V63" s="322"/>
      <c r="W63" s="323"/>
      <c r="X63" s="321"/>
      <c r="Y63" s="321"/>
    </row>
    <row r="64" spans="1:25" x14ac:dyDescent="0.25">
      <c r="S64" s="321"/>
      <c r="T64" s="321"/>
      <c r="U64" s="321"/>
      <c r="V64" s="321"/>
      <c r="W64" s="321"/>
      <c r="X64" s="321"/>
      <c r="Y64" s="321"/>
    </row>
    <row r="65" spans="19:25" x14ac:dyDescent="0.25">
      <c r="S65" s="321"/>
      <c r="T65" s="321"/>
      <c r="U65" s="321"/>
      <c r="V65" s="321"/>
      <c r="W65" s="321"/>
      <c r="X65" s="321"/>
      <c r="Y65" s="321"/>
    </row>
    <row r="66" spans="19:25" x14ac:dyDescent="0.25">
      <c r="S66" s="321"/>
      <c r="T66" s="321"/>
      <c r="U66" s="321"/>
      <c r="V66" s="321"/>
      <c r="W66" s="321"/>
      <c r="X66" s="321"/>
      <c r="Y66" s="321"/>
    </row>
  </sheetData>
  <sheetProtection algorithmName="SHA-512" hashValue="Bm9YMTz/160Rsc/RqcWwYrr8DAqo9Q//EJFyrq19vh3EQQT+TRmOMZXcb8wi9I54btL9sJ81GKEVDF9+TtwjhQ==" saltValue="rCHs7KV1ekuC7fju3Md1dQ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9"/>
  <sheetViews>
    <sheetView zoomScale="80" zoomScaleNormal="80" workbookViewId="0">
      <selection activeCell="G44" sqref="G44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7" width="8.7109375" customWidth="1"/>
  </cols>
  <sheetData>
    <row r="1" spans="1:37" ht="28.5" customHeight="1" thickTop="1" thickBot="1" x14ac:dyDescent="0.3">
      <c r="A1" s="467">
        <v>2016</v>
      </c>
      <c r="B1" s="468"/>
      <c r="C1" s="471" t="s">
        <v>89</v>
      </c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3"/>
      <c r="W1" s="473"/>
      <c r="X1" s="473"/>
      <c r="Y1" s="473"/>
      <c r="Z1" s="473"/>
      <c r="AA1" s="473"/>
      <c r="AB1" s="473"/>
      <c r="AC1" s="472"/>
      <c r="AD1" s="472"/>
      <c r="AE1" s="472"/>
      <c r="AF1" s="472"/>
      <c r="AG1" s="472"/>
      <c r="AH1" s="472"/>
      <c r="AI1" s="472"/>
      <c r="AJ1" s="472"/>
      <c r="AK1" s="474"/>
    </row>
    <row r="2" spans="1:37" ht="28.5" customHeight="1" thickTop="1" thickBot="1" x14ac:dyDescent="0.3">
      <c r="A2" s="475"/>
      <c r="B2" s="476"/>
      <c r="C2" s="482" t="s">
        <v>66</v>
      </c>
      <c r="D2" s="483"/>
      <c r="E2" s="483"/>
      <c r="F2" s="483"/>
      <c r="G2" s="483"/>
      <c r="H2" s="483"/>
      <c r="I2" s="484"/>
      <c r="J2" s="485" t="s">
        <v>71</v>
      </c>
      <c r="K2" s="486"/>
      <c r="L2" s="486"/>
      <c r="M2" s="486"/>
      <c r="N2" s="486"/>
      <c r="O2" s="487"/>
      <c r="P2" s="488" t="s">
        <v>73</v>
      </c>
      <c r="Q2" s="489"/>
      <c r="R2" s="489"/>
      <c r="S2" s="489"/>
      <c r="T2" s="489"/>
      <c r="U2" s="490"/>
      <c r="V2" s="491" t="s">
        <v>82</v>
      </c>
      <c r="W2" s="492"/>
      <c r="X2" s="492"/>
      <c r="Y2" s="492"/>
      <c r="Z2" s="492"/>
      <c r="AA2" s="492"/>
      <c r="AB2" s="493"/>
      <c r="AC2" s="494" t="s">
        <v>83</v>
      </c>
      <c r="AD2" s="495"/>
      <c r="AE2" s="496" t="s">
        <v>229</v>
      </c>
      <c r="AF2" s="497"/>
      <c r="AG2" s="498"/>
      <c r="AH2" s="479" t="s">
        <v>85</v>
      </c>
      <c r="AI2" s="480"/>
      <c r="AJ2" s="480"/>
      <c r="AK2" s="481"/>
    </row>
    <row r="3" spans="1:37" ht="119.25" customHeight="1" thickBot="1" x14ac:dyDescent="0.3">
      <c r="A3" s="477"/>
      <c r="B3" s="478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399" t="s">
        <v>230</v>
      </c>
      <c r="AF3" s="399" t="s">
        <v>231</v>
      </c>
      <c r="AG3" s="399"/>
      <c r="AH3" s="237" t="s">
        <v>27</v>
      </c>
      <c r="AI3" s="237" t="s">
        <v>31</v>
      </c>
      <c r="AJ3" s="237" t="s">
        <v>32</v>
      </c>
      <c r="AK3" s="238" t="s">
        <v>33</v>
      </c>
    </row>
    <row r="4" spans="1:37" ht="15.75" customHeight="1" thickTop="1" x14ac:dyDescent="0.25">
      <c r="A4" s="464" t="s">
        <v>86</v>
      </c>
      <c r="B4" s="89" t="s">
        <v>52</v>
      </c>
      <c r="C4" s="101">
        <f>JANUARY!B39</f>
        <v>0</v>
      </c>
      <c r="D4" s="101">
        <f>JANUARY!C39</f>
        <v>0</v>
      </c>
      <c r="E4" s="101">
        <f>JANUARY!D39</f>
        <v>0</v>
      </c>
      <c r="F4" s="101">
        <f>JANUARY!E39</f>
        <v>0</v>
      </c>
      <c r="G4" s="101">
        <f>JANUARY!F39</f>
        <v>0</v>
      </c>
      <c r="H4" s="101">
        <f>JANUARY!G39</f>
        <v>0</v>
      </c>
      <c r="I4" s="101">
        <f>JANUARY!H39</f>
        <v>0</v>
      </c>
      <c r="J4" s="101">
        <f>JANUARY!I39</f>
        <v>2418.4276976235715</v>
      </c>
      <c r="K4" s="101">
        <f>JANUARY!J39</f>
        <v>7551.3587319628532</v>
      </c>
      <c r="L4" s="239">
        <f>JANUARY!K39</f>
        <v>443.71849778254852</v>
      </c>
      <c r="M4" s="101">
        <f>JANUARY!L39</f>
        <v>0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4046.1086243862615</v>
      </c>
      <c r="W4" s="101">
        <f>JANUARY!V39</f>
        <v>1799.1544368955938</v>
      </c>
      <c r="X4" s="101">
        <f>JANUARY!W39</f>
        <v>664.20536592324595</v>
      </c>
      <c r="Y4" s="101">
        <f>JANUARY!X39</f>
        <v>0</v>
      </c>
      <c r="Z4" s="101">
        <f>JANUARY!Y39</f>
        <v>2729.5528009605409</v>
      </c>
      <c r="AA4" s="101">
        <f>JANUARY!Z39</f>
        <v>0</v>
      </c>
      <c r="AB4" s="101">
        <f>JANUARY!AA39</f>
        <v>0</v>
      </c>
      <c r="AC4" s="102">
        <f>JANUARY!AB39</f>
        <v>2265.8143177464444</v>
      </c>
      <c r="AD4" s="102">
        <f>JANUARY!AC39</f>
        <v>0</v>
      </c>
      <c r="AE4" s="240">
        <f>JANUARY!AD40</f>
        <v>171.10299803260384</v>
      </c>
      <c r="AF4" s="240">
        <f>JANUARY!AE40</f>
        <v>0</v>
      </c>
      <c r="AG4" s="240">
        <f>SUM(AE4+AF4)</f>
        <v>171.10299803260384</v>
      </c>
      <c r="AH4" s="240">
        <f>JANUARY!AF40</f>
        <v>164.49809895336622</v>
      </c>
      <c r="AI4" s="240">
        <f>JANUARY!AG40</f>
        <v>162.15918437863633</v>
      </c>
      <c r="AJ4" s="240">
        <f>JANUARY!AH40</f>
        <v>0</v>
      </c>
      <c r="AK4" s="241">
        <f>JANUARY!AI40</f>
        <v>1</v>
      </c>
    </row>
    <row r="5" spans="1:37" ht="15.75" customHeight="1" x14ac:dyDescent="0.25">
      <c r="A5" s="465"/>
      <c r="B5" s="90" t="s">
        <v>53</v>
      </c>
      <c r="C5" s="103">
        <f>FEBRUARY!B39</f>
        <v>0</v>
      </c>
      <c r="D5" s="103">
        <f>FEBRUARY!C39</f>
        <v>0</v>
      </c>
      <c r="E5" s="103">
        <f>FEBRUARY!D39</f>
        <v>0</v>
      </c>
      <c r="F5" s="103">
        <f>FEBRUARY!E39</f>
        <v>0</v>
      </c>
      <c r="G5" s="103">
        <f>FEBRUARY!F39</f>
        <v>0</v>
      </c>
      <c r="H5" s="103">
        <f>FEBRUARY!G39</f>
        <v>0</v>
      </c>
      <c r="I5" s="103">
        <f>FEBRUARY!H39</f>
        <v>0</v>
      </c>
      <c r="J5" s="103">
        <f>FEBRUARY!I39</f>
        <v>38.152637946605665</v>
      </c>
      <c r="K5" s="103">
        <f>FEBRUARY!J39</f>
        <v>0</v>
      </c>
      <c r="L5" s="104">
        <f>FEBRUARY!K39</f>
        <v>0.54161211500565209</v>
      </c>
      <c r="M5" s="103">
        <f>FEBRUARY!L39</f>
        <v>0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0</v>
      </c>
      <c r="W5" s="103">
        <f>FEBRUARY!V39</f>
        <v>0</v>
      </c>
      <c r="X5" s="103">
        <f>FEBRUARY!W39</f>
        <v>0</v>
      </c>
      <c r="Y5" s="103">
        <f>FEBRUARY!X39</f>
        <v>0</v>
      </c>
      <c r="Z5" s="103">
        <f>FEBRUARY!Y39</f>
        <v>0</v>
      </c>
      <c r="AA5" s="103">
        <f>FEBRUARY!Z39</f>
        <v>0</v>
      </c>
      <c r="AB5" s="103">
        <f>FEBRUARY!AA39</f>
        <v>0</v>
      </c>
      <c r="AC5" s="105">
        <f>FEBRUARY!AB39</f>
        <v>0</v>
      </c>
      <c r="AD5" s="105">
        <f>FEBRUARY!AC39</f>
        <v>0</v>
      </c>
      <c r="AE5" s="99">
        <f>FEBRUARY!AD40</f>
        <v>3.8905596750640871E-3</v>
      </c>
      <c r="AF5" s="99">
        <f>FEBRUARY!AE40</f>
        <v>3.739196304073334E-3</v>
      </c>
      <c r="AG5" s="99">
        <f t="shared" ref="AG5:AG15" si="0">SUM(AE5+AF5)</f>
        <v>7.6297559791374207E-3</v>
      </c>
      <c r="AH5" s="99">
        <f>FEBRUARY!AF40</f>
        <v>2.0961370733049186E-3</v>
      </c>
      <c r="AI5" s="99">
        <f>FEBRUARY!AG40</f>
        <v>0</v>
      </c>
      <c r="AJ5" s="99">
        <f>FEBRUARY!AH40</f>
        <v>0</v>
      </c>
      <c r="AK5" s="91">
        <f>FEBRUARY!AI40</f>
        <v>0</v>
      </c>
    </row>
    <row r="6" spans="1:37" ht="15.75" customHeight="1" x14ac:dyDescent="0.25">
      <c r="A6" s="465"/>
      <c r="B6" s="90" t="s">
        <v>54</v>
      </c>
      <c r="C6" s="103">
        <f>MARCH!B39</f>
        <v>0</v>
      </c>
      <c r="D6" s="103">
        <f>MARCH!C39</f>
        <v>1635.9877556324022</v>
      </c>
      <c r="E6" s="103">
        <f>MARCH!D39</f>
        <v>25330.82834491731</v>
      </c>
      <c r="F6" s="103">
        <f>MARCH!E39</f>
        <v>385.23726739237685</v>
      </c>
      <c r="G6" s="103">
        <f>MARCH!F39</f>
        <v>0</v>
      </c>
      <c r="H6" s="103">
        <f>MARCH!G39</f>
        <v>78594.514072481805</v>
      </c>
      <c r="I6" s="103">
        <f>MARCH!H39</f>
        <v>586.9433518062043</v>
      </c>
      <c r="J6" s="103">
        <f>MARCH!I39</f>
        <v>4918.8363463163378</v>
      </c>
      <c r="K6" s="103">
        <f>MARCH!J39</f>
        <v>11748.208768558499</v>
      </c>
      <c r="L6" s="104">
        <f>MARCH!K39</f>
        <v>642.25209652632509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7813.7286331480627</v>
      </c>
      <c r="W6" s="103">
        <f>MARCH!V39</f>
        <v>4126.4632452607866</v>
      </c>
      <c r="X6" s="103">
        <f>MARCH!W39</f>
        <v>1118.5480719698583</v>
      </c>
      <c r="Y6" s="103">
        <f>MARCH!X39</f>
        <v>583.98298044471744</v>
      </c>
      <c r="Z6" s="103">
        <f>MARCH!Y39</f>
        <v>3547.1589730507026</v>
      </c>
      <c r="AA6" s="103">
        <f>MARCH!Z39</f>
        <v>1652.7414089991762</v>
      </c>
      <c r="AB6" s="103">
        <f>MARCH!AA39</f>
        <v>0</v>
      </c>
      <c r="AC6" s="105">
        <f>MARCH!AB39</f>
        <v>2118.5508834521015</v>
      </c>
      <c r="AD6" s="105">
        <f>MARCH!AC39</f>
        <v>0</v>
      </c>
      <c r="AE6" s="99">
        <f>MARCH!AD40</f>
        <v>294.87152313999991</v>
      </c>
      <c r="AF6" s="99">
        <f>MARCH!AE40</f>
        <v>153.44322149579338</v>
      </c>
      <c r="AG6" s="99">
        <f t="shared" si="0"/>
        <v>448.31474463579332</v>
      </c>
      <c r="AH6" s="99">
        <f>MARCH!AF40</f>
        <v>409.56249915195832</v>
      </c>
      <c r="AI6" s="99">
        <f>MARCH!AG40</f>
        <v>269.95484432225334</v>
      </c>
      <c r="AJ6" s="99">
        <f>MARCH!AH40</f>
        <v>141.3421017584875</v>
      </c>
      <c r="AK6" s="91">
        <f>MARCH!AI40</f>
        <v>0.65635022796706854</v>
      </c>
    </row>
    <row r="7" spans="1:37" ht="15.75" customHeight="1" x14ac:dyDescent="0.25">
      <c r="A7" s="465"/>
      <c r="B7" s="90" t="s">
        <v>55</v>
      </c>
      <c r="C7" s="103">
        <f>APRIL!B39</f>
        <v>0</v>
      </c>
      <c r="D7" s="103">
        <f>APRIL!C39</f>
        <v>2203.4687784473103</v>
      </c>
      <c r="E7" s="103">
        <f>APRIL!D39</f>
        <v>32730.625749778781</v>
      </c>
      <c r="F7" s="103">
        <f>APRIL!E39</f>
        <v>522.39409204075685</v>
      </c>
      <c r="G7" s="103">
        <f>APRIL!F39</f>
        <v>0</v>
      </c>
      <c r="H7" s="103">
        <f>APRIL!G39</f>
        <v>84330.413291295379</v>
      </c>
      <c r="I7" s="103">
        <f>APRIL!H39</f>
        <v>837.6611485451474</v>
      </c>
      <c r="J7" s="103">
        <f>APRIL!I39</f>
        <v>5001.8035971879917</v>
      </c>
      <c r="K7" s="103">
        <f>APRIL!J39</f>
        <v>13158.921401023865</v>
      </c>
      <c r="L7" s="104">
        <f>APRIL!K39</f>
        <v>724.17856531143241</v>
      </c>
      <c r="M7" s="103">
        <f>APRIL!L39</f>
        <v>0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7421.5805949655396</v>
      </c>
      <c r="W7" s="103">
        <f>APRIL!V39</f>
        <v>5212.2204060110462</v>
      </c>
      <c r="X7" s="103">
        <f>APRIL!W39</f>
        <v>1237.8077421785654</v>
      </c>
      <c r="Y7" s="103">
        <f>APRIL!X39</f>
        <v>869.21135532048743</v>
      </c>
      <c r="Z7" s="103">
        <f>APRIL!Y39</f>
        <v>3085.3103572567538</v>
      </c>
      <c r="AA7" s="103">
        <f>APRIL!Z39</f>
        <v>2163.4477959592905</v>
      </c>
      <c r="AB7" s="103">
        <f>APRIL!AA39</f>
        <v>0</v>
      </c>
      <c r="AC7" s="105">
        <f>APRIL!AB39</f>
        <v>2569.5716247055211</v>
      </c>
      <c r="AD7" s="105">
        <f>APRIL!AC39</f>
        <v>0</v>
      </c>
      <c r="AE7" s="99">
        <f>APRIL!AD40</f>
        <v>310.32661465791836</v>
      </c>
      <c r="AF7" s="99">
        <f>APRIL!AE40</f>
        <v>209.27377481229763</v>
      </c>
      <c r="AG7" s="99">
        <f t="shared" si="0"/>
        <v>519.60038947021599</v>
      </c>
      <c r="AH7" s="99">
        <f>APRIL!AF40</f>
        <v>507.3453702972995</v>
      </c>
      <c r="AI7" s="99">
        <f>APRIL!AG40</f>
        <v>294.74258724357787</v>
      </c>
      <c r="AJ7" s="99">
        <f>APRIL!AH40</f>
        <v>206.96754086001661</v>
      </c>
      <c r="AK7" s="91">
        <f>APRIL!AI40</f>
        <v>0.58747585654224355</v>
      </c>
    </row>
    <row r="8" spans="1:37" ht="15.75" customHeight="1" x14ac:dyDescent="0.25">
      <c r="A8" s="465"/>
      <c r="B8" s="90" t="s">
        <v>56</v>
      </c>
      <c r="C8" s="103">
        <f>MAY!B39</f>
        <v>0</v>
      </c>
      <c r="D8" s="103">
        <f>MAY!C39</f>
        <v>2305.3227766076739</v>
      </c>
      <c r="E8" s="103">
        <f>MAY!D39</f>
        <v>32544.200070142768</v>
      </c>
      <c r="F8" s="103">
        <f>MAY!E39</f>
        <v>546.97103553314992</v>
      </c>
      <c r="G8" s="103">
        <f>MAY!F39</f>
        <v>0</v>
      </c>
      <c r="H8" s="103">
        <f>MAY!G39</f>
        <v>80397.258813667329</v>
      </c>
      <c r="I8" s="103">
        <f>MAY!H39</f>
        <v>872.6072696944093</v>
      </c>
      <c r="J8" s="103">
        <f>MAY!I39</f>
        <v>5703.7513184070567</v>
      </c>
      <c r="K8" s="103">
        <f>MAY!J39</f>
        <v>15147.369934368136</v>
      </c>
      <c r="L8" s="104">
        <f>MAY!K39</f>
        <v>834.85033059120212</v>
      </c>
      <c r="M8" s="103">
        <f>MAY!L39</f>
        <v>0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8591.8622887787024</v>
      </c>
      <c r="W8" s="103">
        <f>MAY!V39</f>
        <v>5368.0721772018151</v>
      </c>
      <c r="X8" s="103">
        <f>MAY!W39</f>
        <v>1433.2154526973386</v>
      </c>
      <c r="Y8" s="103">
        <f>MAY!X39</f>
        <v>893.27020857089553</v>
      </c>
      <c r="Z8" s="103">
        <f>MAY!Y39</f>
        <v>4027.546329848592</v>
      </c>
      <c r="AA8" s="103">
        <f>MAY!Z39</f>
        <v>2453.5561380618578</v>
      </c>
      <c r="AB8" s="103">
        <f>MAY!AA39</f>
        <v>0</v>
      </c>
      <c r="AC8" s="105">
        <f>MAY!AB39</f>
        <v>2852.2362316025688</v>
      </c>
      <c r="AD8" s="105">
        <f>MAY!AC39</f>
        <v>0</v>
      </c>
      <c r="AE8" s="99">
        <f>MAY!AD40</f>
        <v>357.33121084882475</v>
      </c>
      <c r="AF8" s="99">
        <f>MAY!AE40</f>
        <v>218.28192898900676</v>
      </c>
      <c r="AG8" s="99">
        <f t="shared" si="0"/>
        <v>575.61313983783157</v>
      </c>
      <c r="AH8" s="99">
        <f>MAY!AF40</f>
        <v>544.96014886498438</v>
      </c>
      <c r="AI8" s="99">
        <f>MAY!AG40</f>
        <v>342.45786429372845</v>
      </c>
      <c r="AJ8" s="99">
        <f>MAY!AH40</f>
        <v>213.32706660444617</v>
      </c>
      <c r="AK8" s="91">
        <f>MAY!AI40</f>
        <v>0.61616975426141984</v>
      </c>
    </row>
    <row r="9" spans="1:37" ht="15.75" customHeight="1" x14ac:dyDescent="0.25">
      <c r="A9" s="465"/>
      <c r="B9" s="90" t="s">
        <v>57</v>
      </c>
      <c r="C9" s="103">
        <f>JUNE!B39</f>
        <v>0</v>
      </c>
      <c r="D9" s="103">
        <f>JUNE!C39</f>
        <v>1932.2735697229671</v>
      </c>
      <c r="E9" s="103">
        <f>JUNE!D39</f>
        <v>24179.527839100363</v>
      </c>
      <c r="F9" s="103">
        <f>JUNE!E39</f>
        <v>456.932937613626</v>
      </c>
      <c r="G9" s="103">
        <f>JUNE!F39</f>
        <v>0</v>
      </c>
      <c r="H9" s="103">
        <f>JUNE!G39</f>
        <v>70724.891360855152</v>
      </c>
      <c r="I9" s="103">
        <f>JUNE!H39</f>
        <v>729.27208314140796</v>
      </c>
      <c r="J9" s="103">
        <f>JUNE!I39</f>
        <v>5605.4286027431508</v>
      </c>
      <c r="K9" s="103">
        <f>JUNE!J39</f>
        <v>17621.259069172553</v>
      </c>
      <c r="L9" s="104">
        <f>JUNE!K39</f>
        <v>965.91338900178675</v>
      </c>
      <c r="M9" s="103">
        <f>JUNE!L39</f>
        <v>0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10261.952279432808</v>
      </c>
      <c r="W9" s="103">
        <f>JUNE!V39</f>
        <v>4237.1907436582678</v>
      </c>
      <c r="X9" s="103">
        <f>JUNE!W39</f>
        <v>1673.4555557823119</v>
      </c>
      <c r="Y9" s="103">
        <f>JUNE!X39</f>
        <v>688.42562706018418</v>
      </c>
      <c r="Z9" s="103">
        <f>JUNE!Y39</f>
        <v>8158.3037517006151</v>
      </c>
      <c r="AA9" s="103">
        <f>JUNE!Z39</f>
        <v>3337.6715675542027</v>
      </c>
      <c r="AB9" s="103">
        <f>JUNE!AA39</f>
        <v>0</v>
      </c>
      <c r="AC9" s="105">
        <f>JUNE!AB39</f>
        <v>2924.9647071798854</v>
      </c>
      <c r="AD9" s="105">
        <f>JUNE!AC39</f>
        <v>0</v>
      </c>
      <c r="AE9" s="99">
        <f>JUNE!AD40</f>
        <v>423.20457132290005</v>
      </c>
      <c r="AF9" s="99">
        <f>JUNE!AE40</f>
        <v>182.56770246327463</v>
      </c>
      <c r="AG9" s="99">
        <f t="shared" si="0"/>
        <v>605.77227378617465</v>
      </c>
      <c r="AH9" s="99">
        <f>JUNE!AF40</f>
        <v>575.62580079237614</v>
      </c>
      <c r="AI9" s="99">
        <f>JUNE!AG40</f>
        <v>402.68172943985564</v>
      </c>
      <c r="AJ9" s="99">
        <f>JUNE!AH40</f>
        <v>166.18087744881853</v>
      </c>
      <c r="AK9" s="91">
        <f>JUNE!AI40</f>
        <v>0.70787168037335946</v>
      </c>
    </row>
    <row r="10" spans="1:37" ht="15.75" customHeight="1" x14ac:dyDescent="0.25">
      <c r="A10" s="465"/>
      <c r="B10" s="90" t="s">
        <v>58</v>
      </c>
      <c r="C10" s="103">
        <f>JULY!B39</f>
        <v>0</v>
      </c>
      <c r="D10" s="103">
        <f>JULY!C39</f>
        <v>2546.0478689829561</v>
      </c>
      <c r="E10" s="103">
        <f>JULY!D39</f>
        <v>29212.129198878964</v>
      </c>
      <c r="F10" s="103">
        <f>JULY!E39</f>
        <v>604.48783527612659</v>
      </c>
      <c r="G10" s="103">
        <f>JULY!F39</f>
        <v>0</v>
      </c>
      <c r="H10" s="103">
        <f>JULY!G39</f>
        <v>81467.616687647504</v>
      </c>
      <c r="I10" s="103">
        <f>JULY!H39</f>
        <v>968.16070615550041</v>
      </c>
      <c r="J10" s="103">
        <f>JULY!I39</f>
        <v>6685.3595712304095</v>
      </c>
      <c r="K10" s="103">
        <f>JULY!J39</f>
        <v>21677.52660069866</v>
      </c>
      <c r="L10" s="104">
        <f>JULY!K39</f>
        <v>1194.2079411869245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13754.247126238604</v>
      </c>
      <c r="W10" s="103">
        <f>JULY!V39</f>
        <v>5533.4624149126257</v>
      </c>
      <c r="X10" s="103">
        <f>JULY!W39</f>
        <v>2353.6889483187933</v>
      </c>
      <c r="Y10" s="103">
        <f>JULY!X39</f>
        <v>946.66266983207618</v>
      </c>
      <c r="Z10" s="103">
        <f>JULY!Y39</f>
        <v>11853.788534678191</v>
      </c>
      <c r="AA10" s="103">
        <f>JULY!Z39</f>
        <v>4743.3053673057093</v>
      </c>
      <c r="AB10" s="103">
        <f>JULY!AA39</f>
        <v>0</v>
      </c>
      <c r="AC10" s="105">
        <f>JULY!AB39</f>
        <v>4349.030603477695</v>
      </c>
      <c r="AD10" s="105">
        <f>JULY!AC39</f>
        <v>0</v>
      </c>
      <c r="AE10" s="99">
        <f>JULY!AD40</f>
        <v>619.94013198172092</v>
      </c>
      <c r="AF10" s="99">
        <f>JULY!AE40</f>
        <v>248.44771151515769</v>
      </c>
      <c r="AG10" s="99">
        <f t="shared" si="0"/>
        <v>868.38784349687865</v>
      </c>
      <c r="AH10" s="99">
        <f>JULY!AF40</f>
        <v>821.05953255428221</v>
      </c>
      <c r="AI10" s="99">
        <f>JULY!AG40</f>
        <v>579.66378623135608</v>
      </c>
      <c r="AJ10" s="99">
        <f>JULY!AH40</f>
        <v>232.87258117927226</v>
      </c>
      <c r="AK10" s="91">
        <f>JULY!AI40</f>
        <v>0.71340042056039277</v>
      </c>
    </row>
    <row r="11" spans="1:37" ht="15.75" customHeight="1" x14ac:dyDescent="0.25">
      <c r="A11" s="465"/>
      <c r="B11" s="90" t="s">
        <v>59</v>
      </c>
      <c r="C11" s="103">
        <f>AUGUST!B39</f>
        <v>0</v>
      </c>
      <c r="D11" s="103">
        <f>AUGUST!C39</f>
        <v>2617.1726991097175</v>
      </c>
      <c r="E11" s="103">
        <f>AUGUST!D39</f>
        <v>30933.601398863397</v>
      </c>
      <c r="F11" s="103">
        <f>AUGUST!E39</f>
        <v>619.72330905993749</v>
      </c>
      <c r="G11" s="103">
        <f>AUGUST!F39</f>
        <v>0</v>
      </c>
      <c r="H11" s="103">
        <f>AUGUST!G39</f>
        <v>75106.276652145316</v>
      </c>
      <c r="I11" s="103">
        <f>AUGUST!H39</f>
        <v>994.28724921345906</v>
      </c>
      <c r="J11" s="103">
        <f>AUGUST!I39</f>
        <v>8843.5710772315688</v>
      </c>
      <c r="K11" s="103">
        <f>AUGUST!J39</f>
        <v>25415.428876415906</v>
      </c>
      <c r="L11" s="104">
        <f>AUGUST!K39</f>
        <v>1395.0631060098608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16504.483459509196</v>
      </c>
      <c r="W11" s="103">
        <f>AUGUST!V39</f>
        <v>5469.8119215917159</v>
      </c>
      <c r="X11" s="103">
        <f>AUGUST!W39</f>
        <v>2895.2190459686403</v>
      </c>
      <c r="Y11" s="103">
        <f>AUGUST!X39</f>
        <v>958.55413677315983</v>
      </c>
      <c r="Z11" s="103">
        <f>AUGUST!Y39</f>
        <v>17371.885196230836</v>
      </c>
      <c r="AA11" s="103">
        <f>AUGUST!Z39</f>
        <v>5732.7376020212641</v>
      </c>
      <c r="AB11" s="103">
        <f>AUGUST!AA39</f>
        <v>0</v>
      </c>
      <c r="AC11" s="105">
        <f>AUGUST!AB39</f>
        <v>5087.3211935043337</v>
      </c>
      <c r="AD11" s="105">
        <f>AUGUST!AC39</f>
        <v>0</v>
      </c>
      <c r="AE11" s="99">
        <f>AUGUST!AD40</f>
        <v>757.17278310087249</v>
      </c>
      <c r="AF11" s="99">
        <f>AUGUST!AE40</f>
        <v>247.47154426559379</v>
      </c>
      <c r="AG11" s="99">
        <f t="shared" si="0"/>
        <v>1004.6443273664663</v>
      </c>
      <c r="AH11" s="99">
        <f>AUGUST!AF40</f>
        <v>988.84145699607006</v>
      </c>
      <c r="AI11" s="99">
        <f>AUGUST!AG40</f>
        <v>733.41998821992797</v>
      </c>
      <c r="AJ11" s="99">
        <f>AUGUST!AH40</f>
        <v>242.70320868605816</v>
      </c>
      <c r="AK11" s="91">
        <f>AUGUST!AI40</f>
        <v>0.75136006453349991</v>
      </c>
    </row>
    <row r="12" spans="1:37" ht="15.75" customHeight="1" x14ac:dyDescent="0.25">
      <c r="A12" s="465"/>
      <c r="B12" s="90" t="s">
        <v>60</v>
      </c>
      <c r="C12" s="103">
        <f>SEPTEMBER!B39</f>
        <v>0</v>
      </c>
      <c r="D12" s="103">
        <f>SEPTEMBER!C39</f>
        <v>2451.4727713763773</v>
      </c>
      <c r="E12" s="103">
        <f>SEPTEMBER!D39</f>
        <v>29161.155908566714</v>
      </c>
      <c r="F12" s="103">
        <f>SEPTEMBER!E39</f>
        <v>579.98237223625154</v>
      </c>
      <c r="G12" s="103">
        <f>SEPTEMBER!F39</f>
        <v>0</v>
      </c>
      <c r="H12" s="103">
        <f>SEPTEMBER!G39</f>
        <v>66292.084485880478</v>
      </c>
      <c r="I12" s="103">
        <f>SEPTEMBER!H39</f>
        <v>929.5279791414755</v>
      </c>
      <c r="J12" s="103">
        <f>SEPTEMBER!I39</f>
        <v>11459.530232040081</v>
      </c>
      <c r="K12" s="103">
        <f>SEPTEMBER!J39</f>
        <v>20951.714962164559</v>
      </c>
      <c r="L12" s="104">
        <f>SEPTEMBER!K39</f>
        <v>1149.8490489880239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13624.428000765796</v>
      </c>
      <c r="W12" s="103">
        <f>SEPTEMBER!V39</f>
        <v>5153.8897307365187</v>
      </c>
      <c r="X12" s="103">
        <f>SEPTEMBER!W39</f>
        <v>2387.7794498305384</v>
      </c>
      <c r="Y12" s="103">
        <f>SEPTEMBER!X39</f>
        <v>904.24207200796729</v>
      </c>
      <c r="Z12" s="103">
        <f>SEPTEMBER!Y39</f>
        <v>15205.581689035338</v>
      </c>
      <c r="AA12" s="103">
        <f>SEPTEMBER!Z39</f>
        <v>5744.4124036039539</v>
      </c>
      <c r="AB12" s="103">
        <f>SEPTEMBER!AA39</f>
        <v>0</v>
      </c>
      <c r="AC12" s="105">
        <f>SEPTEMBER!AB39</f>
        <v>4306.8202629619109</v>
      </c>
      <c r="AD12" s="105">
        <f>SEPTEMBER!AC39</f>
        <v>0</v>
      </c>
      <c r="AE12" s="99">
        <f>SEPTEMBER!AD40</f>
        <v>624.15839796786895</v>
      </c>
      <c r="AF12" s="99">
        <f>SEPTEMBER!AE40</f>
        <v>231.4216401413689</v>
      </c>
      <c r="AG12" s="99">
        <f t="shared" si="0"/>
        <v>855.58003810923788</v>
      </c>
      <c r="AH12" s="99">
        <f>SEPTEMBER!AF40</f>
        <v>834.47560514642123</v>
      </c>
      <c r="AI12" s="99">
        <f>SEPTEMBER!AG40</f>
        <v>598.31016228153953</v>
      </c>
      <c r="AJ12" s="99">
        <f>SEPTEMBER!AH40</f>
        <v>226.75725758979041</v>
      </c>
      <c r="AK12" s="91">
        <f>SEPTEMBER!AI40</f>
        <v>0.72516517786491497</v>
      </c>
    </row>
    <row r="13" spans="1:37" ht="15.75" customHeight="1" x14ac:dyDescent="0.25">
      <c r="A13" s="465"/>
      <c r="B13" s="90" t="s">
        <v>61</v>
      </c>
      <c r="C13" s="103">
        <f>OCTOBER!B39</f>
        <v>0</v>
      </c>
      <c r="D13" s="103">
        <f>OCTOBER!C39</f>
        <v>72.392342621088062</v>
      </c>
      <c r="E13" s="103">
        <f>OCTOBER!D39</f>
        <v>0</v>
      </c>
      <c r="F13" s="103">
        <f>OCTOBER!E39</f>
        <v>0</v>
      </c>
      <c r="G13" s="103">
        <f>OCTOBER!F39</f>
        <v>0</v>
      </c>
      <c r="H13" s="103">
        <f>OCTOBER!G39</f>
        <v>0</v>
      </c>
      <c r="I13" s="103">
        <f>OCTOBER!H39</f>
        <v>0</v>
      </c>
      <c r="J13" s="103">
        <f>OCTOBER!I39</f>
        <v>6279.2960108971629</v>
      </c>
      <c r="K13" s="103">
        <f>OCTOBER!J39</f>
        <v>8207.306960988044</v>
      </c>
      <c r="L13" s="104">
        <f>OCTOBER!K39</f>
        <v>451.81455750425658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5739.3229611184406</v>
      </c>
      <c r="W13" s="103">
        <f>OCTOBER!V39</f>
        <v>0</v>
      </c>
      <c r="X13" s="103">
        <f>OCTOBER!W39</f>
        <v>964.59474756619215</v>
      </c>
      <c r="Y13" s="103">
        <f>OCTOBER!X39</f>
        <v>0</v>
      </c>
      <c r="Z13" s="103">
        <f>OCTOBER!Y39</f>
        <v>5841.103908482205</v>
      </c>
      <c r="AA13" s="103">
        <f>OCTOBER!Z39</f>
        <v>-4.328500451060517</v>
      </c>
      <c r="AB13" s="103">
        <f>OCTOBER!AA39</f>
        <v>0</v>
      </c>
      <c r="AC13" s="105">
        <f>OCTOBER!AB39</f>
        <v>1147.3654879318347</v>
      </c>
      <c r="AD13" s="105">
        <f>OCTOBER!AC39</f>
        <v>0</v>
      </c>
      <c r="AE13" s="99">
        <f>OCTOBER!AD40</f>
        <v>244.12034578117755</v>
      </c>
      <c r="AF13" s="99">
        <f>OCTOBER!AE40</f>
        <v>0</v>
      </c>
      <c r="AG13" s="99">
        <f t="shared" si="0"/>
        <v>244.12034578117755</v>
      </c>
      <c r="AH13" s="99">
        <f>OCTOBER!AF40</f>
        <v>237.17784335394686</v>
      </c>
      <c r="AI13" s="99">
        <f>OCTOBER!AG40</f>
        <v>233.60448066358629</v>
      </c>
      <c r="AJ13" s="99">
        <f>OCTOBER!AH40</f>
        <v>-0.15462908897049016</v>
      </c>
      <c r="AK13" s="91">
        <f>OCTOBER!AI40</f>
        <v>1.000662365334257</v>
      </c>
    </row>
    <row r="14" spans="1:37" ht="15.75" customHeight="1" x14ac:dyDescent="0.25">
      <c r="A14" s="465"/>
      <c r="B14" s="90" t="s">
        <v>62</v>
      </c>
      <c r="C14" s="103">
        <f>NOVEMBER!B39</f>
        <v>0</v>
      </c>
      <c r="D14" s="103">
        <f>NOVEMBER!C39</f>
        <v>20.581781599919001</v>
      </c>
      <c r="E14" s="103">
        <f>NOVEMBER!D39</f>
        <v>0.11062606970469158</v>
      </c>
      <c r="F14" s="103">
        <f>NOVEMBER!E39</f>
        <v>2.0306066840887058</v>
      </c>
      <c r="G14" s="103">
        <f>NOVEMBER!F39</f>
        <v>0</v>
      </c>
      <c r="H14" s="103">
        <f>NOVEMBER!G39</f>
        <v>0</v>
      </c>
      <c r="I14" s="103">
        <f>NOVEMBER!H39</f>
        <v>0</v>
      </c>
      <c r="J14" s="103">
        <f>NOVEMBER!I39</f>
        <v>4332.8356103738188</v>
      </c>
      <c r="K14" s="103">
        <f>NOVEMBER!J39</f>
        <v>10641.265085633604</v>
      </c>
      <c r="L14" s="104">
        <f>NOVEMBER!K39</f>
        <v>585.26719260265509</v>
      </c>
      <c r="M14" s="103">
        <f>NOVEMBER!L39</f>
        <v>0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6488.2645400067031</v>
      </c>
      <c r="W14" s="103">
        <f>NOVEMBER!V39</f>
        <v>13028.535634125506</v>
      </c>
      <c r="X14" s="103">
        <f>NOVEMBER!W39</f>
        <v>1146.9816582004232</v>
      </c>
      <c r="Y14" s="103">
        <f>NOVEMBER!X39</f>
        <v>0</v>
      </c>
      <c r="Z14" s="103">
        <f>NOVEMBER!Y39</f>
        <v>3840.5855239629745</v>
      </c>
      <c r="AA14" s="103">
        <f>NOVEMBER!Z39</f>
        <v>0</v>
      </c>
      <c r="AB14" s="103">
        <f>NOVEMBER!AA39</f>
        <v>0</v>
      </c>
      <c r="AC14" s="105">
        <f>NOVEMBER!AB39</f>
        <v>1482.835647344597</v>
      </c>
      <c r="AD14" s="105">
        <f>NOVEMBER!AC39</f>
        <v>0</v>
      </c>
      <c r="AE14" s="99">
        <f>NOVEMBER!AD40</f>
        <v>286.56755035234954</v>
      </c>
      <c r="AF14" s="99">
        <f>NOVEMBER!AE40</f>
        <v>0</v>
      </c>
      <c r="AG14" s="99">
        <f t="shared" si="0"/>
        <v>286.56755035234954</v>
      </c>
      <c r="AH14" s="99">
        <f>NOVEMBER!AF40</f>
        <v>269.79379027187832</v>
      </c>
      <c r="AI14" s="99">
        <f>NOVEMBER!AG40</f>
        <v>267.55472299984552</v>
      </c>
      <c r="AJ14" s="99">
        <f>NOVEMBER!AH40</f>
        <v>0</v>
      </c>
      <c r="AK14" s="91">
        <f>NOVEMBER!AI40</f>
        <v>1</v>
      </c>
    </row>
    <row r="15" spans="1:37" ht="15.75" customHeight="1" x14ac:dyDescent="0.25">
      <c r="A15" s="466"/>
      <c r="B15" s="92" t="s">
        <v>63</v>
      </c>
      <c r="C15" s="106">
        <f>DECEMBER!B39</f>
        <v>0</v>
      </c>
      <c r="D15" s="106">
        <f>DECEMBER!C39</f>
        <v>2117.1375353018457</v>
      </c>
      <c r="E15" s="106">
        <f>DECEMBER!D39</f>
        <v>26092.330988661466</v>
      </c>
      <c r="F15" s="106">
        <f>DECEMBER!E39</f>
        <v>477.25535210818009</v>
      </c>
      <c r="G15" s="106">
        <f>DECEMBER!F39</f>
        <v>0</v>
      </c>
      <c r="H15" s="106">
        <f>DECEMBER!G39</f>
        <v>65848.54696248367</v>
      </c>
      <c r="I15" s="106">
        <f>DECEMBER!H39</f>
        <v>786.27024802366998</v>
      </c>
      <c r="J15" s="106">
        <f>DECEMBER!I39</f>
        <v>5141.4029617706929</v>
      </c>
      <c r="K15" s="106">
        <f>DECEMBER!J39</f>
        <v>14504.529031785316</v>
      </c>
      <c r="L15" s="107">
        <f>DECEMBER!K39</f>
        <v>797.34914756963644</v>
      </c>
      <c r="M15" s="106">
        <f>DECEMBER!L39</f>
        <v>0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8410.6788550937199</v>
      </c>
      <c r="W15" s="106">
        <f>DECEMBER!V39</f>
        <v>4201.4707974509593</v>
      </c>
      <c r="X15" s="106">
        <f>DECEMBER!W39</f>
        <v>1571.1415414030287</v>
      </c>
      <c r="Y15" s="106">
        <f>DECEMBER!X39</f>
        <v>787.56748828342336</v>
      </c>
      <c r="Z15" s="106">
        <f>DECEMBER!Y39</f>
        <v>5093.9041894959328</v>
      </c>
      <c r="AA15" s="106">
        <f>DECEMBER!Z39</f>
        <v>2534.378999594162</v>
      </c>
      <c r="AB15" s="106">
        <f>DECEMBER!AA39</f>
        <v>0</v>
      </c>
      <c r="AC15" s="108">
        <f>DECEMBER!AB39</f>
        <v>2648.169103270116</v>
      </c>
      <c r="AD15" s="108">
        <f>DECEMBER!AC39</f>
        <v>0</v>
      </c>
      <c r="AE15" s="100">
        <f>DECEMBER!AD40</f>
        <v>390.86670298365129</v>
      </c>
      <c r="AF15" s="100">
        <f>DECEMBER!AE40</f>
        <v>196.27157507331489</v>
      </c>
      <c r="AG15" s="100">
        <f t="shared" si="0"/>
        <v>587.13827805696621</v>
      </c>
      <c r="AH15" s="100">
        <f>DECEMBER!AF40</f>
        <v>566.35590085089211</v>
      </c>
      <c r="AI15" s="100">
        <f>DECEMBER!AG40</f>
        <v>372.74470849624424</v>
      </c>
      <c r="AJ15" s="100">
        <f>DECEMBER!AH40</f>
        <v>187.07394112358972</v>
      </c>
      <c r="AK15" s="93">
        <f>DECEMBER!AI40</f>
        <v>0.66583117362983646</v>
      </c>
    </row>
    <row r="16" spans="1:37" ht="15.75" customHeight="1" x14ac:dyDescent="0.25">
      <c r="A16" s="469" t="s">
        <v>160</v>
      </c>
      <c r="B16" s="470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2" t="s">
        <v>28</v>
      </c>
      <c r="AI16" s="242" t="s">
        <v>28</v>
      </c>
      <c r="AJ16" s="242" t="s">
        <v>28</v>
      </c>
      <c r="AK16" s="243" t="s">
        <v>34</v>
      </c>
    </row>
    <row r="17" spans="1:37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J17" si="1">SUM(D4:D15)</f>
        <v>17901.857879402258</v>
      </c>
      <c r="E17" s="109">
        <f t="shared" si="1"/>
        <v>230184.51012497951</v>
      </c>
      <c r="F17" s="109">
        <f t="shared" si="1"/>
        <v>4195.0148079444944</v>
      </c>
      <c r="G17" s="109">
        <f t="shared" si="1"/>
        <v>0</v>
      </c>
      <c r="H17" s="109">
        <f t="shared" si="1"/>
        <v>602761.60232645657</v>
      </c>
      <c r="I17" s="109">
        <f t="shared" si="1"/>
        <v>6704.7300357212744</v>
      </c>
      <c r="J17" s="109">
        <f t="shared" si="1"/>
        <v>66428.395663768446</v>
      </c>
      <c r="K17" s="109">
        <f t="shared" si="1"/>
        <v>166624.88942277199</v>
      </c>
      <c r="L17" s="109">
        <f t="shared" si="1"/>
        <v>9185.0054851896566</v>
      </c>
      <c r="M17" s="109">
        <f t="shared" si="1"/>
        <v>0</v>
      </c>
      <c r="N17" s="109">
        <f t="shared" si="1"/>
        <v>0</v>
      </c>
      <c r="O17" s="109">
        <f t="shared" si="1"/>
        <v>0</v>
      </c>
      <c r="P17" s="109">
        <f t="shared" si="1"/>
        <v>0</v>
      </c>
      <c r="Q17" s="109">
        <f t="shared" si="1"/>
        <v>0</v>
      </c>
      <c r="R17" s="109">
        <f t="shared" si="1"/>
        <v>0</v>
      </c>
      <c r="S17" s="109">
        <f t="shared" si="1"/>
        <v>0</v>
      </c>
      <c r="T17" s="109">
        <f t="shared" si="1"/>
        <v>0</v>
      </c>
      <c r="U17" s="109">
        <f t="shared" si="1"/>
        <v>0</v>
      </c>
      <c r="V17" s="109">
        <f t="shared" si="1"/>
        <v>102656.65736344382</v>
      </c>
      <c r="W17" s="109">
        <f t="shared" si="1"/>
        <v>54130.271507844831</v>
      </c>
      <c r="X17" s="109">
        <f t="shared" si="1"/>
        <v>17446.637579838934</v>
      </c>
      <c r="Y17" s="109">
        <f t="shared" si="1"/>
        <v>6631.9165382929114</v>
      </c>
      <c r="Z17" s="109">
        <f t="shared" si="1"/>
        <v>80754.721254702701</v>
      </c>
      <c r="AA17" s="109">
        <f t="shared" si="1"/>
        <v>28357.922782648555</v>
      </c>
      <c r="AB17" s="109">
        <f t="shared" si="1"/>
        <v>0</v>
      </c>
      <c r="AC17" s="109">
        <f t="shared" si="1"/>
        <v>31752.680063177009</v>
      </c>
      <c r="AD17" s="109">
        <f t="shared" si="1"/>
        <v>0</v>
      </c>
      <c r="AE17" s="96">
        <f>SUM(AE4:AE15)</f>
        <v>4479.6667207295623</v>
      </c>
      <c r="AF17" s="96">
        <f>SUM(AF4:AF15)</f>
        <v>1687.1828379521116</v>
      </c>
      <c r="AG17" s="96">
        <f>SUM(AG4:AG15)</f>
        <v>6166.8495586816753</v>
      </c>
      <c r="AH17" s="96">
        <f t="shared" si="1"/>
        <v>5919.6981433705487</v>
      </c>
      <c r="AI17" s="96">
        <f t="shared" si="1"/>
        <v>4257.294058570551</v>
      </c>
      <c r="AJ17" s="96">
        <f t="shared" si="1"/>
        <v>1617.0699461615091</v>
      </c>
      <c r="AK17" s="226">
        <f>IF(SUM(AI17:AJ17)&gt;0, AI17/(AI17+AJ17), "")</f>
        <v>0.72472425187494549</v>
      </c>
    </row>
    <row r="18" spans="1:37" ht="15.75" customHeight="1" thickTop="1" x14ac:dyDescent="0.25">
      <c r="A18" s="464" t="s">
        <v>87</v>
      </c>
      <c r="B18" s="89" t="s">
        <v>52</v>
      </c>
      <c r="C18" s="110">
        <f>JANUARY!B41</f>
        <v>0</v>
      </c>
      <c r="D18" s="110">
        <f>JANUARY!C41</f>
        <v>0</v>
      </c>
      <c r="E18" s="110">
        <f>JANUARY!D41</f>
        <v>0</v>
      </c>
      <c r="F18" s="110">
        <f>JANUARY!E41</f>
        <v>0</v>
      </c>
      <c r="G18" s="110">
        <f>JANUARY!F41</f>
        <v>0</v>
      </c>
      <c r="H18" s="110">
        <f>JANUARY!G41</f>
        <v>0</v>
      </c>
      <c r="I18" s="110">
        <f>JANUARY!H41</f>
        <v>0</v>
      </c>
      <c r="J18" s="110">
        <f>JANUARY!I41</f>
        <v>1662.4440944823382</v>
      </c>
      <c r="K18" s="110">
        <f>JANUARY!J41</f>
        <v>10788.440154876173</v>
      </c>
      <c r="L18" s="111">
        <f>JANUARY!K41</f>
        <v>1962.8047488070238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1234.0631304378096</v>
      </c>
      <c r="W18" s="110">
        <f>JANUARY!V41</f>
        <v>548.74210325315607</v>
      </c>
      <c r="X18" s="110">
        <f>JANUARY!W41</f>
        <v>708.06094660781139</v>
      </c>
      <c r="Y18" s="110">
        <f>JANUARY!X41</f>
        <v>0</v>
      </c>
      <c r="Z18" s="110">
        <f>JANUARY!Y41</f>
        <v>5316.7877451908525</v>
      </c>
      <c r="AA18" s="110">
        <f>JANUARY!Z41</f>
        <v>0</v>
      </c>
      <c r="AB18" s="110">
        <f>JANUARY!AA41</f>
        <v>0</v>
      </c>
      <c r="AC18" s="113">
        <f>JANUARY!AB41</f>
        <v>691.07336691266551</v>
      </c>
      <c r="AD18" s="113">
        <f>JANUARY!AC41</f>
        <v>0</v>
      </c>
      <c r="AE18" s="123"/>
      <c r="AF18" s="123"/>
      <c r="AG18" s="123"/>
      <c r="AH18" s="123"/>
      <c r="AI18" s="123"/>
      <c r="AJ18" s="123"/>
      <c r="AK18" s="124"/>
    </row>
    <row r="19" spans="1:37" ht="15.75" customHeight="1" x14ac:dyDescent="0.25">
      <c r="A19" s="465"/>
      <c r="B19" s="90" t="s">
        <v>53</v>
      </c>
      <c r="C19" s="114">
        <f>FEBRUARY!B41</f>
        <v>0</v>
      </c>
      <c r="D19" s="114">
        <f>FEBRUARY!C41</f>
        <v>0</v>
      </c>
      <c r="E19" s="114">
        <f>FEBRUARY!D41</f>
        <v>0</v>
      </c>
      <c r="F19" s="114">
        <f>FEBRUARY!E41</f>
        <v>0</v>
      </c>
      <c r="G19" s="114">
        <f>FEBRUARY!F41</f>
        <v>0</v>
      </c>
      <c r="H19" s="114">
        <f>FEBRUARY!G41</f>
        <v>0</v>
      </c>
      <c r="I19" s="114">
        <f>FEBRUARY!H41</f>
        <v>0</v>
      </c>
      <c r="J19" s="114">
        <f>FEBRUARY!I41</f>
        <v>26.226389858825424</v>
      </c>
      <c r="K19" s="114">
        <f>FEBRUARY!J41</f>
        <v>0</v>
      </c>
      <c r="L19" s="115">
        <f>FEBRUARY!K41</f>
        <v>2.3958406887636423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0</v>
      </c>
      <c r="W19" s="114">
        <f>FEBRUARY!V41</f>
        <v>0</v>
      </c>
      <c r="X19" s="114">
        <f>FEBRUARY!W41</f>
        <v>0</v>
      </c>
      <c r="Y19" s="114">
        <f>FEBRUARY!X41</f>
        <v>0</v>
      </c>
      <c r="Z19" s="114">
        <f>FEBRUARY!Y41</f>
        <v>0</v>
      </c>
      <c r="AA19" s="114">
        <f>FEBRUARY!Z41</f>
        <v>0</v>
      </c>
      <c r="AB19" s="114">
        <f>FEBRUARY!AA41</f>
        <v>0</v>
      </c>
      <c r="AC19" s="117">
        <f>FEBRUARY!AB41</f>
        <v>0</v>
      </c>
      <c r="AD19" s="117">
        <f>FEBRUARY!AC41</f>
        <v>0</v>
      </c>
      <c r="AE19" s="125"/>
      <c r="AF19" s="125"/>
      <c r="AG19" s="125"/>
      <c r="AH19" s="125"/>
      <c r="AI19" s="125"/>
      <c r="AJ19" s="125"/>
      <c r="AK19" s="126"/>
    </row>
    <row r="20" spans="1:37" ht="15.75" customHeight="1" x14ac:dyDescent="0.25">
      <c r="A20" s="465"/>
      <c r="B20" s="90" t="s">
        <v>54</v>
      </c>
      <c r="C20" s="114">
        <f>MARCH!B41</f>
        <v>0</v>
      </c>
      <c r="D20" s="114">
        <f>MARCH!C41</f>
        <v>2337.295395733714</v>
      </c>
      <c r="E20" s="114">
        <f>MARCH!D41</f>
        <v>49340.916824322092</v>
      </c>
      <c r="F20" s="114">
        <f>MARCH!E41</f>
        <v>1704.1109208518053</v>
      </c>
      <c r="G20" s="114">
        <f>MARCH!F41</f>
        <v>0</v>
      </c>
      <c r="H20" s="114">
        <f>MARCH!G41</f>
        <v>5722.0735970470387</v>
      </c>
      <c r="I20" s="114">
        <f>MARCH!H41</f>
        <v>2194.5990941756281</v>
      </c>
      <c r="J20" s="114">
        <f>MARCH!I41</f>
        <v>3381.2424674485651</v>
      </c>
      <c r="K20" s="114">
        <f>MARCH!J41</f>
        <v>16784.37639177547</v>
      </c>
      <c r="L20" s="115">
        <f>MARCH!K41</f>
        <v>2841.0252700596743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2383.187233110159</v>
      </c>
      <c r="W20" s="114">
        <f>MARCH!V41</f>
        <v>1258.5712898045399</v>
      </c>
      <c r="X20" s="114">
        <f>MARCH!W41</f>
        <v>1192.4026021145423</v>
      </c>
      <c r="Y20" s="114">
        <f>MARCH!X41</f>
        <v>622.54170645215811</v>
      </c>
      <c r="Z20" s="114">
        <f>MARCH!Y41</f>
        <v>6909.3704109783148</v>
      </c>
      <c r="AA20" s="114">
        <f>MARCH!Z41</f>
        <v>3219.3095023639053</v>
      </c>
      <c r="AB20" s="114">
        <f>MARCH!AA41</f>
        <v>0</v>
      </c>
      <c r="AC20" s="117">
        <f>MARCH!AB41</f>
        <v>646.15801945289093</v>
      </c>
      <c r="AD20" s="117">
        <f>MARCH!AC41</f>
        <v>0</v>
      </c>
      <c r="AE20" s="125"/>
      <c r="AF20" s="125"/>
      <c r="AG20" s="125"/>
      <c r="AH20" s="125"/>
      <c r="AI20" s="125"/>
      <c r="AJ20" s="125"/>
      <c r="AK20" s="126"/>
    </row>
    <row r="21" spans="1:37" ht="15.75" customHeight="1" x14ac:dyDescent="0.25">
      <c r="A21" s="465"/>
      <c r="B21" s="90" t="s">
        <v>55</v>
      </c>
      <c r="C21" s="114">
        <f>APRIL!B41</f>
        <v>0</v>
      </c>
      <c r="D21" s="114">
        <f>APRIL!C41</f>
        <v>3148.0415502969713</v>
      </c>
      <c r="E21" s="114">
        <f>APRIL!D41</f>
        <v>77194.207683888468</v>
      </c>
      <c r="F21" s="114">
        <f>APRIL!E41</f>
        <v>2310.8290723296018</v>
      </c>
      <c r="G21" s="114">
        <f>APRIL!F41</f>
        <v>0</v>
      </c>
      <c r="H21" s="114">
        <f>APRIL!G41</f>
        <v>6139.6757396727608</v>
      </c>
      <c r="I21" s="114">
        <f>APRIL!H41</f>
        <v>3211.3327497354726</v>
      </c>
      <c r="J21" s="114">
        <f>APRIL!I41</f>
        <v>3438.2747353069544</v>
      </c>
      <c r="K21" s="114">
        <f>APRIL!J41</f>
        <v>18799.826769819472</v>
      </c>
      <c r="L21" s="115">
        <f>APRIL!K41</f>
        <v>3203.4299540834727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2616.1071597253526</v>
      </c>
      <c r="W21" s="114">
        <f>APRIL!V41</f>
        <v>1837.3076931188937</v>
      </c>
      <c r="X21" s="114">
        <f>APRIL!W41</f>
        <v>1424.6176866281544</v>
      </c>
      <c r="Y21" s="114">
        <f>APRIL!X41</f>
        <v>1000.3927330654553</v>
      </c>
      <c r="Z21" s="114">
        <f>APRIL!Y41</f>
        <v>7276.6127451425118</v>
      </c>
      <c r="AA21" s="114">
        <f>APRIL!Z41</f>
        <v>5102.4273031401171</v>
      </c>
      <c r="AB21" s="114">
        <f>APRIL!AA41</f>
        <v>0</v>
      </c>
      <c r="AC21" s="117">
        <f>APRIL!AB41</f>
        <v>905.77399770869613</v>
      </c>
      <c r="AD21" s="117">
        <f>APRIL!AC41</f>
        <v>0</v>
      </c>
      <c r="AE21" s="125"/>
      <c r="AF21" s="125"/>
      <c r="AG21" s="125"/>
      <c r="AH21" s="125"/>
      <c r="AI21" s="125"/>
      <c r="AJ21" s="125"/>
      <c r="AK21" s="126"/>
    </row>
    <row r="22" spans="1:37" ht="15.75" customHeight="1" x14ac:dyDescent="0.25">
      <c r="A22" s="465"/>
      <c r="B22" s="90" t="s">
        <v>56</v>
      </c>
      <c r="C22" s="114">
        <f>MAY!B41</f>
        <v>0</v>
      </c>
      <c r="D22" s="114">
        <f>MAY!C41</f>
        <v>3293.5578477861677</v>
      </c>
      <c r="E22" s="114">
        <f>MAY!D41</f>
        <v>76754.528261275234</v>
      </c>
      <c r="F22" s="114">
        <f>MAY!E41</f>
        <v>2419.5460666381682</v>
      </c>
      <c r="G22" s="114">
        <f>MAY!F41</f>
        <v>0</v>
      </c>
      <c r="H22" s="114">
        <f>MAY!G41</f>
        <v>5853.3224279290507</v>
      </c>
      <c r="I22" s="114">
        <f>MAY!H41</f>
        <v>3345.3053274511258</v>
      </c>
      <c r="J22" s="114">
        <f>MAY!I41</f>
        <v>3920.7985026797201</v>
      </c>
      <c r="K22" s="114">
        <f>MAY!J41</f>
        <v>21640.674194036572</v>
      </c>
      <c r="L22" s="115">
        <f>MAY!K41</f>
        <v>3692.9904919820842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3028.6314567944924</v>
      </c>
      <c r="W22" s="114">
        <f>MAY!V41</f>
        <v>1892.2454424636396</v>
      </c>
      <c r="X22" s="114">
        <f>MAY!W41</f>
        <v>1649.5163288184208</v>
      </c>
      <c r="Y22" s="114">
        <f>MAY!X41</f>
        <v>1028.0825484484151</v>
      </c>
      <c r="Z22" s="114">
        <f>MAY!Y41</f>
        <v>9498.8482719404255</v>
      </c>
      <c r="AA22" s="114">
        <f>MAY!Z41</f>
        <v>5786.639202487795</v>
      </c>
      <c r="AB22" s="114">
        <f>MAY!AA41</f>
        <v>0</v>
      </c>
      <c r="AC22" s="117">
        <f>MAY!AB41</f>
        <v>1005.4132716399055</v>
      </c>
      <c r="AD22" s="117">
        <f>MAY!AC41</f>
        <v>0</v>
      </c>
      <c r="AE22" s="125"/>
      <c r="AF22" s="125"/>
      <c r="AG22" s="125"/>
      <c r="AH22" s="125"/>
      <c r="AI22" s="125"/>
      <c r="AJ22" s="125"/>
      <c r="AK22" s="126"/>
    </row>
    <row r="23" spans="1:37" ht="15.75" customHeight="1" x14ac:dyDescent="0.25">
      <c r="A23" s="465"/>
      <c r="B23" s="90" t="s">
        <v>57</v>
      </c>
      <c r="C23" s="114">
        <f>JUNE!B41</f>
        <v>0</v>
      </c>
      <c r="D23" s="114">
        <f>JUNE!C41</f>
        <v>2760.5916378424449</v>
      </c>
      <c r="E23" s="114">
        <f>JUNE!D41</f>
        <v>57026.697502796495</v>
      </c>
      <c r="F23" s="114">
        <f>JUNE!E41</f>
        <v>2021.2592991196288</v>
      </c>
      <c r="G23" s="114">
        <f>JUNE!F41</f>
        <v>0</v>
      </c>
      <c r="H23" s="114">
        <f>JUNE!G41</f>
        <v>5149.1257155270596</v>
      </c>
      <c r="I23" s="114">
        <f>JUNE!H41</f>
        <v>2795.802727782343</v>
      </c>
      <c r="J23" s="114">
        <f>JUNE!I41</f>
        <v>3853.2107810498596</v>
      </c>
      <c r="K23" s="114">
        <f>JUNE!J41</f>
        <v>25175.058644303361</v>
      </c>
      <c r="L23" s="115">
        <f>JUNE!K41</f>
        <v>4272.7526491314084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3617.3381785000647</v>
      </c>
      <c r="W23" s="114">
        <f>JUNE!V41</f>
        <v>1493.6097371395392</v>
      </c>
      <c r="X23" s="114">
        <f>JUNE!W41</f>
        <v>1926.0134682609782</v>
      </c>
      <c r="Y23" s="114">
        <f>JUNE!X41</f>
        <v>792.3228226961071</v>
      </c>
      <c r="Z23" s="114">
        <f>JUNE!Y41</f>
        <v>19241.116835698755</v>
      </c>
      <c r="AA23" s="114">
        <f>JUNE!Z41</f>
        <v>7871.7991564255408</v>
      </c>
      <c r="AB23" s="114">
        <f>JUNE!AA41</f>
        <v>0</v>
      </c>
      <c r="AC23" s="117">
        <f>JUNE!AB41</f>
        <v>1031.0500592809096</v>
      </c>
      <c r="AD23" s="117">
        <f>JUNE!AC41</f>
        <v>0</v>
      </c>
      <c r="AE23" s="125"/>
      <c r="AF23" s="125"/>
      <c r="AG23" s="125"/>
      <c r="AH23" s="125"/>
      <c r="AI23" s="125"/>
      <c r="AJ23" s="125"/>
      <c r="AK23" s="126"/>
    </row>
    <row r="24" spans="1:37" ht="15.75" customHeight="1" x14ac:dyDescent="0.25">
      <c r="A24" s="465"/>
      <c r="B24" s="90" t="s">
        <v>58</v>
      </c>
      <c r="C24" s="114">
        <f>JULY!B41</f>
        <v>0</v>
      </c>
      <c r="D24" s="114">
        <f>JULY!C41</f>
        <v>3919.8885775197841</v>
      </c>
      <c r="E24" s="114">
        <f>JULY!D41</f>
        <v>78491.394363981512</v>
      </c>
      <c r="F24" s="114">
        <f>JULY!E41</f>
        <v>2673.9737009060163</v>
      </c>
      <c r="G24" s="114">
        <f>JULY!F41</f>
        <v>0</v>
      </c>
      <c r="H24" s="114">
        <f>JULY!G41</f>
        <v>6227.7919576872137</v>
      </c>
      <c r="I24" s="114">
        <f>JULY!H41</f>
        <v>3711.6275335009277</v>
      </c>
      <c r="J24" s="114">
        <f>JULY!I41</f>
        <v>4595.5628731857469</v>
      </c>
      <c r="K24" s="114">
        <f>JULY!J41</f>
        <v>33374.662725765425</v>
      </c>
      <c r="L24" s="115">
        <f>JULY!K41</f>
        <v>5282.6218193262439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5673.6269395734244</v>
      </c>
      <c r="W24" s="114">
        <f>JULY!V41</f>
        <v>2282.5532461514581</v>
      </c>
      <c r="X24" s="114">
        <f>JULY!W41</f>
        <v>2925.6202991509913</v>
      </c>
      <c r="Y24" s="114">
        <f>JULY!X41</f>
        <v>1176.6956399601838</v>
      </c>
      <c r="Z24" s="114">
        <f>JULY!Y41</f>
        <v>31850.481840891418</v>
      </c>
      <c r="AA24" s="114">
        <f>JULY!Z41</f>
        <v>12745.002243392453</v>
      </c>
      <c r="AB24" s="114">
        <f>JULY!AA41</f>
        <v>0</v>
      </c>
      <c r="AC24" s="117">
        <f>JULY!AB41</f>
        <v>1793.9751239345492</v>
      </c>
      <c r="AD24" s="117">
        <f>JULY!AC41</f>
        <v>0</v>
      </c>
      <c r="AE24" s="125"/>
      <c r="AF24" s="125"/>
      <c r="AG24" s="125"/>
      <c r="AH24" s="125"/>
      <c r="AI24" s="125"/>
      <c r="AJ24" s="125"/>
      <c r="AK24" s="126"/>
    </row>
    <row r="25" spans="1:37" ht="15.75" customHeight="1" x14ac:dyDescent="0.25">
      <c r="A25" s="465"/>
      <c r="B25" s="90" t="s">
        <v>59</v>
      </c>
      <c r="C25" s="114">
        <f>AUGUST!B41</f>
        <v>0</v>
      </c>
      <c r="D25" s="114">
        <f>AUGUST!C41</f>
        <v>4029.3921782133948</v>
      </c>
      <c r="E25" s="114">
        <f>AUGUST!D41</f>
        <v>83116.896066226283</v>
      </c>
      <c r="F25" s="114">
        <f>AUGUST!E41</f>
        <v>2741.3683676657597</v>
      </c>
      <c r="G25" s="114">
        <f>AUGUST!F41</f>
        <v>0</v>
      </c>
      <c r="H25" s="114">
        <f>AUGUST!G41</f>
        <v>5741.499318673249</v>
      </c>
      <c r="I25" s="114">
        <f>AUGUST!H41</f>
        <v>3811.7885872935217</v>
      </c>
      <c r="J25" s="114">
        <f>AUGUST!I41</f>
        <v>6079.1325396765242</v>
      </c>
      <c r="K25" s="114">
        <f>AUGUST!J41</f>
        <v>39129.527201397686</v>
      </c>
      <c r="L25" s="115">
        <f>AUGUST!K41</f>
        <v>6171.1118717064364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6808.099427047543</v>
      </c>
      <c r="W25" s="114">
        <f>AUGUST!V41</f>
        <v>2256.2974176565826</v>
      </c>
      <c r="X25" s="114">
        <f>AUGUST!W41</f>
        <v>3598.7387447371261</v>
      </c>
      <c r="Y25" s="114">
        <f>AUGUST!X41</f>
        <v>1191.4766572625624</v>
      </c>
      <c r="Z25" s="114">
        <f>AUGUST!Y41</f>
        <v>46677.305940283666</v>
      </c>
      <c r="AA25" s="114">
        <f>AUGUST!Z41</f>
        <v>15403.552573728335</v>
      </c>
      <c r="AB25" s="114">
        <f>AUGUST!AA41</f>
        <v>0</v>
      </c>
      <c r="AC25" s="117">
        <f>AUGUST!AB41</f>
        <v>2098.5199923205373</v>
      </c>
      <c r="AD25" s="117">
        <f>AUGUST!AC41</f>
        <v>0</v>
      </c>
      <c r="AE25" s="125"/>
      <c r="AF25" s="125"/>
      <c r="AG25" s="125"/>
      <c r="AH25" s="125"/>
      <c r="AI25" s="125"/>
      <c r="AJ25" s="125"/>
      <c r="AK25" s="126"/>
    </row>
    <row r="26" spans="1:37" ht="15.75" customHeight="1" x14ac:dyDescent="0.25">
      <c r="A26" s="465"/>
      <c r="B26" s="90" t="s">
        <v>60</v>
      </c>
      <c r="C26" s="114">
        <f>SEPTEMBER!B41</f>
        <v>0</v>
      </c>
      <c r="D26" s="114">
        <f>SEPTEMBER!C41</f>
        <v>3774.2810069229531</v>
      </c>
      <c r="E26" s="114">
        <f>SEPTEMBER!D41</f>
        <v>78354.43191921449</v>
      </c>
      <c r="F26" s="114">
        <f>SEPTEMBER!E41</f>
        <v>2565.5729029524596</v>
      </c>
      <c r="G26" s="114">
        <f>SEPTEMBER!F41</f>
        <v>0</v>
      </c>
      <c r="H26" s="114">
        <f>SEPTEMBER!G41</f>
        <v>5067.6983985231327</v>
      </c>
      <c r="I26" s="114">
        <f>SEPTEMBER!H41</f>
        <v>3563.5216535908944</v>
      </c>
      <c r="J26" s="114">
        <f>SEPTEMBER!I41</f>
        <v>7877.3611377825509</v>
      </c>
      <c r="K26" s="114">
        <f>SEPTEMBER!J41</f>
        <v>32257.205043221049</v>
      </c>
      <c r="L26" s="115">
        <f>SEPTEMBER!K41</f>
        <v>5086.398662764288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5620.0765503158909</v>
      </c>
      <c r="W26" s="114">
        <f>SEPTEMBER!V41</f>
        <v>2125.979513928814</v>
      </c>
      <c r="X26" s="114">
        <f>SEPTEMBER!W41</f>
        <v>2967.9945743508806</v>
      </c>
      <c r="Y26" s="114">
        <f>SEPTEMBER!X41</f>
        <v>1123.9671083566427</v>
      </c>
      <c r="Z26" s="114">
        <f>SEPTEMBER!Y41</f>
        <v>40856.566830931668</v>
      </c>
      <c r="AA26" s="114">
        <f>SEPTEMBER!Z41</f>
        <v>15434.92212741302</v>
      </c>
      <c r="AB26" s="114">
        <f>SEPTEMBER!AA41</f>
        <v>0</v>
      </c>
      <c r="AC26" s="117">
        <f>SEPTEMBER!AB41</f>
        <v>1776.5633584717882</v>
      </c>
      <c r="AD26" s="117">
        <f>SEPTEMBER!AC41</f>
        <v>0</v>
      </c>
      <c r="AE26" s="125"/>
      <c r="AF26" s="125"/>
      <c r="AG26" s="125"/>
      <c r="AH26" s="125"/>
      <c r="AI26" s="125"/>
      <c r="AJ26" s="125"/>
      <c r="AK26" s="126"/>
    </row>
    <row r="27" spans="1:37" ht="15.75" customHeight="1" x14ac:dyDescent="0.25">
      <c r="A27" s="465"/>
      <c r="B27" s="90" t="s">
        <v>61</v>
      </c>
      <c r="C27" s="114">
        <f>OCTOBER!B41</f>
        <v>0</v>
      </c>
      <c r="D27" s="114">
        <f>OCTOBER!C41</f>
        <v>123.49991472596714</v>
      </c>
      <c r="E27" s="114">
        <f>OCTOBER!D41</f>
        <v>0</v>
      </c>
      <c r="F27" s="114">
        <f>OCTOBER!E41</f>
        <v>0</v>
      </c>
      <c r="G27" s="114">
        <f>OCTOBER!F41</f>
        <v>0</v>
      </c>
      <c r="H27" s="114">
        <f>OCTOBER!G41</f>
        <v>0</v>
      </c>
      <c r="I27" s="114">
        <f>OCTOBER!H41</f>
        <v>0</v>
      </c>
      <c r="J27" s="114">
        <f>OCTOBER!I41</f>
        <v>4316.4319450526409</v>
      </c>
      <c r="K27" s="114">
        <f>OCTOBER!J41</f>
        <v>14001.504483936887</v>
      </c>
      <c r="L27" s="115">
        <f>OCTOBER!K41</f>
        <v>1998.6179604441493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2367.4707214613568</v>
      </c>
      <c r="W27" s="114">
        <f>OCTOBER!V41</f>
        <v>0</v>
      </c>
      <c r="X27" s="114">
        <f>OCTOBER!W41</f>
        <v>1347.0079494009099</v>
      </c>
      <c r="Y27" s="114">
        <f>OCTOBER!X41</f>
        <v>0</v>
      </c>
      <c r="Z27" s="114">
        <f>OCTOBER!Y41</f>
        <v>18093.141960692497</v>
      </c>
      <c r="AA27" s="114">
        <f>OCTOBER!Z41</f>
        <v>-13.407769210239865</v>
      </c>
      <c r="AB27" s="114">
        <f>OCTOBER!AA41</f>
        <v>0</v>
      </c>
      <c r="AC27" s="117">
        <f>OCTOBER!AB41</f>
        <v>473.28826377188176</v>
      </c>
      <c r="AD27" s="117">
        <f>OCTOBER!AC41</f>
        <v>0</v>
      </c>
      <c r="AE27" s="125"/>
      <c r="AF27" s="125"/>
      <c r="AG27" s="125"/>
      <c r="AH27" s="125"/>
      <c r="AI27" s="125"/>
      <c r="AJ27" s="125"/>
      <c r="AK27" s="126"/>
    </row>
    <row r="28" spans="1:37" ht="15.75" customHeight="1" x14ac:dyDescent="0.25">
      <c r="A28" s="465"/>
      <c r="B28" s="90" t="s">
        <v>62</v>
      </c>
      <c r="C28" s="114">
        <f>NOVEMBER!B41</f>
        <v>0</v>
      </c>
      <c r="D28" s="114">
        <f>NOVEMBER!C41</f>
        <v>35.112115183271193</v>
      </c>
      <c r="E28" s="114">
        <f>NOVEMBER!D41</f>
        <v>0.34267036078811197</v>
      </c>
      <c r="F28" s="114">
        <f>NOVEMBER!E41</f>
        <v>8.9824617689070188</v>
      </c>
      <c r="G28" s="114">
        <f>NOVEMBER!F41</f>
        <v>0</v>
      </c>
      <c r="H28" s="114">
        <f>NOVEMBER!G41</f>
        <v>0</v>
      </c>
      <c r="I28" s="114">
        <f>NOVEMBER!H41</f>
        <v>0</v>
      </c>
      <c r="J28" s="114">
        <f>NOVEMBER!I41</f>
        <v>2978.4214677605364</v>
      </c>
      <c r="K28" s="114">
        <f>NOVEMBER!J41</f>
        <v>18153.789241644645</v>
      </c>
      <c r="L28" s="115">
        <f>NOVEMBER!K41</f>
        <v>2588.9504960967788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2676.4091227527647</v>
      </c>
      <c r="W28" s="114">
        <f>NOVEMBER!V41</f>
        <v>5374.2709490767711</v>
      </c>
      <c r="X28" s="114">
        <f>NOVEMBER!W41</f>
        <v>1601.7020778013177</v>
      </c>
      <c r="Y28" s="114">
        <f>NOVEMBER!X41</f>
        <v>0</v>
      </c>
      <c r="Z28" s="114">
        <f>NOVEMBER!Y41</f>
        <v>11896.425776013803</v>
      </c>
      <c r="AA28" s="114">
        <f>NOVEMBER!Z41</f>
        <v>0</v>
      </c>
      <c r="AB28" s="114">
        <f>NOVEMBER!AA41</f>
        <v>0</v>
      </c>
      <c r="AC28" s="117">
        <f>NOVEMBER!AB41</f>
        <v>611.6697045296462</v>
      </c>
      <c r="AD28" s="117">
        <f>NOVEMBER!AC41</f>
        <v>0</v>
      </c>
      <c r="AE28" s="125"/>
      <c r="AF28" s="125"/>
      <c r="AG28" s="125"/>
      <c r="AH28" s="125"/>
      <c r="AI28" s="125"/>
      <c r="AJ28" s="125"/>
      <c r="AK28" s="126"/>
    </row>
    <row r="29" spans="1:37" ht="15.75" customHeight="1" x14ac:dyDescent="0.25">
      <c r="A29" s="466"/>
      <c r="B29" s="92" t="s">
        <v>63</v>
      </c>
      <c r="C29" s="118">
        <f>DECEMBER!B41</f>
        <v>0</v>
      </c>
      <c r="D29" s="118">
        <f>DECEMBER!C41</f>
        <v>3611.7950546437551</v>
      </c>
      <c r="E29" s="118">
        <f>DECEMBER!D41</f>
        <v>80822.436316819396</v>
      </c>
      <c r="F29" s="118">
        <f>DECEMBER!E41</f>
        <v>2111.1562312432106</v>
      </c>
      <c r="G29" s="118">
        <f>DECEMBER!F41</f>
        <v>0</v>
      </c>
      <c r="H29" s="118">
        <f>DECEMBER!G41</f>
        <v>5033.7921725470642</v>
      </c>
      <c r="I29" s="118">
        <f>DECEMBER!H41</f>
        <v>3014.3159940107398</v>
      </c>
      <c r="J29" s="118">
        <f>DECEMBER!I41</f>
        <v>3534.2363137622642</v>
      </c>
      <c r="K29" s="118">
        <f>DECEMBER!J41</f>
        <v>24744.441659275562</v>
      </c>
      <c r="L29" s="119">
        <f>DECEMBER!K41</f>
        <v>3527.1026588435998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3469.4050277261595</v>
      </c>
      <c r="W29" s="118">
        <f>DECEMBER!V41</f>
        <v>1733.1067039485206</v>
      </c>
      <c r="X29" s="118">
        <f>DECEMBER!W41</f>
        <v>2194.0199770356426</v>
      </c>
      <c r="Y29" s="118">
        <f>DECEMBER!X41</f>
        <v>1099.7983039863911</v>
      </c>
      <c r="Z29" s="118">
        <f>DECEMBER!Y41</f>
        <v>15778.64956329204</v>
      </c>
      <c r="AA29" s="118">
        <f>DECEMBER!Z41</f>
        <v>7850.3789249950651</v>
      </c>
      <c r="AB29" s="118">
        <f>DECEMBER!AA41</f>
        <v>0</v>
      </c>
      <c r="AC29" s="121">
        <f>DECEMBER!AB41</f>
        <v>1092.3697550989227</v>
      </c>
      <c r="AD29" s="121">
        <f>DECEMBER!AC41</f>
        <v>0</v>
      </c>
      <c r="AE29" s="125"/>
      <c r="AF29" s="125"/>
      <c r="AG29" s="127"/>
      <c r="AH29" s="127"/>
      <c r="AI29" s="127"/>
      <c r="AJ29" s="127"/>
      <c r="AK29" s="128"/>
    </row>
    <row r="30" spans="1:37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2">SUM(D18:D29)</f>
        <v>27033.455278868423</v>
      </c>
      <c r="E30" s="122">
        <f t="shared" si="2"/>
        <v>581101.85160888475</v>
      </c>
      <c r="F30" s="122">
        <f t="shared" si="2"/>
        <v>18556.79902347556</v>
      </c>
      <c r="G30" s="122">
        <f t="shared" si="2"/>
        <v>0</v>
      </c>
      <c r="H30" s="122">
        <f t="shared" si="2"/>
        <v>44934.979327606576</v>
      </c>
      <c r="I30" s="122">
        <f t="shared" si="2"/>
        <v>25648.293667540653</v>
      </c>
      <c r="J30" s="122">
        <f t="shared" si="2"/>
        <v>45663.343248046527</v>
      </c>
      <c r="K30" s="122">
        <f t="shared" si="2"/>
        <v>254849.50651005231</v>
      </c>
      <c r="L30" s="122">
        <f t="shared" si="2"/>
        <v>40630.202423933915</v>
      </c>
      <c r="M30" s="122">
        <f t="shared" si="2"/>
        <v>0</v>
      </c>
      <c r="N30" s="122">
        <f t="shared" si="2"/>
        <v>0</v>
      </c>
      <c r="O30" s="122">
        <f t="shared" si="2"/>
        <v>0</v>
      </c>
      <c r="P30" s="122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122">
        <f t="shared" si="2"/>
        <v>0</v>
      </c>
      <c r="U30" s="122">
        <f t="shared" si="2"/>
        <v>0</v>
      </c>
      <c r="V30" s="122">
        <f t="shared" si="2"/>
        <v>39494.414947445024</v>
      </c>
      <c r="W30" s="122">
        <f t="shared" si="2"/>
        <v>20802.684096541914</v>
      </c>
      <c r="X30" s="122">
        <f t="shared" si="2"/>
        <v>21535.694654906776</v>
      </c>
      <c r="Y30" s="122">
        <f t="shared" si="2"/>
        <v>8035.2775202279163</v>
      </c>
      <c r="Z30" s="122">
        <f t="shared" si="2"/>
        <v>213395.30792105597</v>
      </c>
      <c r="AA30" s="122">
        <f t="shared" si="2"/>
        <v>73400.623264735987</v>
      </c>
      <c r="AB30" s="122">
        <f t="shared" si="2"/>
        <v>0</v>
      </c>
      <c r="AC30" s="122">
        <f t="shared" si="2"/>
        <v>12125.854913122392</v>
      </c>
      <c r="AD30" s="122">
        <f t="shared" si="2"/>
        <v>0</v>
      </c>
      <c r="AE30" s="129"/>
      <c r="AF30" s="129"/>
      <c r="AG30" s="129"/>
      <c r="AH30" s="129" t="str">
        <f>IF(SUM(AH18:AH29)&gt;0, AVERAGE(AH18:AH29), "")</f>
        <v/>
      </c>
      <c r="AI30" s="129" t="str">
        <f>IF(SUM(AI18:AI29)&gt;0, AVERAGE(AI18:AI29), "")</f>
        <v/>
      </c>
      <c r="AJ30" s="129" t="str">
        <f>IF(SUM(AJ18:AJ29)&gt;0, AVERAGE(AJ18:AJ29), "")</f>
        <v/>
      </c>
      <c r="AK30" s="227" t="str">
        <f>IF(SUM(AK18:AK29)&gt;0, AVERAGE(AK18:AK29), "")</f>
        <v/>
      </c>
    </row>
    <row r="31" spans="1:37" ht="16.5" customHeight="1" thickTop="1" x14ac:dyDescent="0.25"/>
    <row r="32" spans="1:37" ht="15.75" thickBot="1" x14ac:dyDescent="0.3">
      <c r="C32" s="334" t="s">
        <v>201</v>
      </c>
      <c r="D32" s="334" t="s">
        <v>202</v>
      </c>
      <c r="E32" s="334" t="s">
        <v>203</v>
      </c>
    </row>
    <row r="33" spans="1:5" ht="15.75" customHeight="1" thickTop="1" x14ac:dyDescent="0.25">
      <c r="A33" s="461" t="s">
        <v>204</v>
      </c>
      <c r="B33" s="89" t="s">
        <v>52</v>
      </c>
      <c r="C33" s="329">
        <f>IF(ISNUMBER(JANUARY!B52)=TRUE,JANUARY!B52,"")</f>
        <v>1.562275136985354</v>
      </c>
      <c r="D33" s="329" t="str">
        <f>IF(ISNUMBER(JANUARY!E52)=TRUE,JANUARY!E52,"")</f>
        <v/>
      </c>
      <c r="E33" s="329">
        <f>IF(ISNUMBER(JANUARY!H52)=TRUE,JANUARY!H52,"")</f>
        <v>0.88792559646582492</v>
      </c>
    </row>
    <row r="34" spans="1:5" ht="15.75" customHeight="1" x14ac:dyDescent="0.25">
      <c r="A34" s="462"/>
      <c r="B34" s="90" t="s">
        <v>53</v>
      </c>
      <c r="C34" s="330">
        <f>IF(ISNUMBER(FEBRUARY!$B$52)=TRUE,FEBRUARY!$B$52,"")</f>
        <v>28473.297713431806</v>
      </c>
      <c r="D34" s="330">
        <f>IF(ISNUMBER(FEBRUARY!$E$52)=TRUE,FEBRUARY!$E$52,"")</f>
        <v>31907.801189573103</v>
      </c>
      <c r="E34" s="330">
        <f>IF(ISNUMBER(FEBRUARY!$H$52)=TRUE,FEBRUARY!$H$52,"")</f>
        <v>25172.414607429066</v>
      </c>
    </row>
    <row r="35" spans="1:5" x14ac:dyDescent="0.25">
      <c r="A35" s="462"/>
      <c r="B35" s="90" t="s">
        <v>54</v>
      </c>
      <c r="C35" s="330">
        <f>IF(ISNUMBER(MARCH!$B$52)=TRUE,MARCH!$B$52,"")</f>
        <v>0.85429670953779346</v>
      </c>
      <c r="D35" s="330">
        <f>IF(ISNUMBER(MARCH!$E$52)=TRUE,MARCH!$E$52,"")</f>
        <v>1.3462805209931639</v>
      </c>
      <c r="E35" s="330">
        <f>IF(ISNUMBER(MARCH!$H$52)=TRUE,MARCH!$H$52,"")</f>
        <v>0.59609022638141562</v>
      </c>
    </row>
    <row r="36" spans="1:5" x14ac:dyDescent="0.25">
      <c r="A36" s="462"/>
      <c r="B36" s="90" t="s">
        <v>55</v>
      </c>
      <c r="C36" s="330">
        <f>IF(ISNUMBER(APRIL!$B$52)=TRUE,APRIL!$B$52,"")</f>
        <v>0.72764478838793245</v>
      </c>
      <c r="D36" s="330">
        <f>IF(ISNUMBER(APRIL!$E$52)=TRUE,APRIL!$E$52,"")</f>
        <v>1.0582308966893006</v>
      </c>
      <c r="E36" s="330">
        <f>IF(ISNUMBER(APRIL!$H$52)=TRUE,APRIL!$H$52,"")</f>
        <v>0.50178991976925502</v>
      </c>
    </row>
    <row r="37" spans="1:5" x14ac:dyDescent="0.25">
      <c r="A37" s="462"/>
      <c r="B37" s="90" t="s">
        <v>56</v>
      </c>
      <c r="C37" s="330">
        <f>IF(ISNUMBER(MAY!$B$52)=TRUE,MAY!$B$52,"")</f>
        <v>0.75098264034470741</v>
      </c>
      <c r="D37" s="330">
        <f>IF(ISNUMBER(MAY!$E$52)=TRUE,MAY!$E$52,"")</f>
        <v>1.1353407348614248</v>
      </c>
      <c r="E37" s="330">
        <f>IF(ISNUMBER(MAY!$H$52)=TRUE,MAY!$H$52,"")</f>
        <v>0.51337720038438994</v>
      </c>
    </row>
    <row r="38" spans="1:5" x14ac:dyDescent="0.25">
      <c r="A38" s="462"/>
      <c r="B38" s="90" t="s">
        <v>57</v>
      </c>
      <c r="C38" s="330">
        <f>IF(ISNUMBER(JUNE!$B$52)=TRUE,JUNE!$B$52,"")</f>
        <v>0.29476706536927089</v>
      </c>
      <c r="D38" s="330">
        <f>IF(ISNUMBER(JUNE!$E$52)=TRUE,JUNE!$E$52,"")</f>
        <v>0.54760000961097077</v>
      </c>
      <c r="E38" s="330">
        <f>IF(ISNUMBER(JUNE!$H$52)=TRUE,JUNE!$H$52,"")</f>
        <v>0.18326028355686994</v>
      </c>
    </row>
    <row r="39" spans="1:5" x14ac:dyDescent="0.25">
      <c r="A39" s="462"/>
      <c r="B39" s="90" t="s">
        <v>58</v>
      </c>
      <c r="C39" s="330">
        <f>IF(ISNUMBER(JULY!$B$52)=TRUE,JULY!$B$52,"")</f>
        <v>0.87622091302556249</v>
      </c>
      <c r="D39" s="330">
        <f>IF(ISNUMBER(JULY!$E$52)=TRUE,JULY!$E$52,"")</f>
        <v>1.5750755614614318</v>
      </c>
      <c r="E39" s="330">
        <f>IF(ISNUMBER(JULY!$H$52)=TRUE,JULY!$H$52,"")</f>
        <v>0.59325356801953111</v>
      </c>
    </row>
    <row r="40" spans="1:5" x14ac:dyDescent="0.25">
      <c r="A40" s="462"/>
      <c r="B40" s="90" t="s">
        <v>59</v>
      </c>
      <c r="C40" s="330">
        <f>IF(ISNUMBER(AUGUST!$B$52)=TRUE,AUGUST!$B$52,"")</f>
        <v>0.8015993243385674</v>
      </c>
      <c r="D40" s="330">
        <f>IF(ISNUMBER(AUGUST!$E$52)=TRUE,AUGUST!$E$52,"")</f>
        <v>1.65681755692991</v>
      </c>
      <c r="E40" s="330">
        <f>IF(ISNUMBER(AUGUST!$H$52)=TRUE,AUGUST!$H$52,"")</f>
        <v>0.51931144835278098</v>
      </c>
    </row>
    <row r="41" spans="1:5" x14ac:dyDescent="0.25">
      <c r="A41" s="462"/>
      <c r="B41" s="90" t="s">
        <v>60</v>
      </c>
      <c r="C41" s="330">
        <f>IF(ISNUMBER(SEPTEMBER!$B$52)=TRUE,SEPTEMBER!$B$52,"")</f>
        <v>0.78395403947248932</v>
      </c>
      <c r="D41" s="330">
        <f>IF(ISNUMBER(SEPTEMBER!$E$52)=TRUE,SEPTEMBER!$E$52,"")</f>
        <v>1.488301000064072</v>
      </c>
      <c r="E41" s="330">
        <f>IF(ISNUMBER(SEPTEMBER!$H$52)=TRUE,SEPTEMBER!$H$52,"")</f>
        <v>0.5199542395120208</v>
      </c>
    </row>
    <row r="42" spans="1:5" x14ac:dyDescent="0.25">
      <c r="A42" s="462"/>
      <c r="B42" s="90" t="s">
        <v>61</v>
      </c>
      <c r="C42" s="330">
        <f>IF(ISNUMBER(OCTOBER!$B$52)=TRUE,OCTOBER!$B$52,"")</f>
        <v>1.2534692494016881</v>
      </c>
      <c r="D42" s="330" t="str">
        <f>IF(ISNUMBER(OCTOBER!$E$52)=TRUE,OCTOBER!$E$52,"")</f>
        <v/>
      </c>
      <c r="E42" s="330">
        <f>IF(ISNUMBER(OCTOBER!$H$52)=TRUE,OCTOBER!$H$52,"")</f>
        <v>0.7277698247774903</v>
      </c>
    </row>
    <row r="43" spans="1:5" x14ac:dyDescent="0.25">
      <c r="A43" s="462"/>
      <c r="B43" s="90" t="s">
        <v>62</v>
      </c>
      <c r="C43" s="330">
        <f>IF(ISNUMBER(NOVEMBER!$B$52)=TRUE,NOVEMBER!$B$52,"")</f>
        <v>1.1869716364603593</v>
      </c>
      <c r="D43" s="330" t="str">
        <f>IF(ISNUMBER(NOVEMBER!$E$52)=TRUE,NOVEMBER!$E$52,"")</f>
        <v/>
      </c>
      <c r="E43" s="330">
        <f>IF(ISNUMBER(NOVEMBER!$H$52)=TRUE,NOVEMBER!$H$52,"")</f>
        <v>0.67825019574562628</v>
      </c>
    </row>
    <row r="44" spans="1:5" ht="15.75" thickBot="1" x14ac:dyDescent="0.3">
      <c r="A44" s="462"/>
      <c r="B44" s="92" t="s">
        <v>63</v>
      </c>
      <c r="C44" s="331">
        <f>IF(ISNUMBER(DECEMBER!$B$52)=TRUE,DECEMBER!$B$52,"")</f>
        <v>1.1034059363923374</v>
      </c>
      <c r="D44" s="331">
        <f>IF(ISNUMBER(DECEMBER!$E$52)=TRUE,DECEMBER!$E$52,"")</f>
        <v>1.7779978783655406</v>
      </c>
      <c r="E44" s="331">
        <f>IF(ISNUMBER(DECEMBER!$H$52)=TRUE,DECEMBER!$H$52,"")</f>
        <v>0.76186854853372143</v>
      </c>
    </row>
    <row r="45" spans="1:5" ht="15.75" thickBot="1" x14ac:dyDescent="0.3">
      <c r="A45" s="463"/>
      <c r="B45" s="333" t="s">
        <v>205</v>
      </c>
      <c r="C45" s="332">
        <f>AVERAGE(C33:C44)</f>
        <v>2373.6244417392932</v>
      </c>
      <c r="D45" s="332">
        <f>AVERAGE(D33:D44)</f>
        <v>3546.4874259702306</v>
      </c>
      <c r="E45" s="332">
        <f>AVERAGE(E33:E44)</f>
        <v>2098.24145487338</v>
      </c>
    </row>
    <row r="47" spans="1:5" ht="15.75" thickBot="1" x14ac:dyDescent="0.3">
      <c r="C47" s="334" t="s">
        <v>201</v>
      </c>
      <c r="D47" s="334" t="s">
        <v>202</v>
      </c>
      <c r="E47" s="334" t="s">
        <v>203</v>
      </c>
    </row>
    <row r="48" spans="1:5" ht="15" customHeight="1" thickTop="1" x14ac:dyDescent="0.25">
      <c r="A48" s="457" t="s">
        <v>208</v>
      </c>
      <c r="B48" s="338" t="s">
        <v>217</v>
      </c>
      <c r="C48" s="339">
        <f>(JANUARY!B44+FEBRUARY!B44+MARCH!B44+APRIL!B44+MAY!B44+JUNE!B44+JULY!B44+AUGUST!B44+SEPTEMBER!B44+OCTOBER!B44+NOVEMBER!B44+DECEMBER!B44)/$AG$17</f>
        <v>231.43231804596635</v>
      </c>
      <c r="D48" s="340">
        <f>(JANUARY!E44+FEBRUARY!E44+MARCH!E44+APRIL!E44+MAY!E44+JUNE!E44+JULY!E44+AUGUST!E44+SEPTEMBER!E44+OCTOBER!E44+NOVEMBER!E44+DECEMBER!E44)/$AF$17</f>
        <v>473.87511643866952</v>
      </c>
      <c r="E48" s="341">
        <f>(JANUARY!H44+FEBRUARY!H44+MARCH!H44+APRIL!H44+MAY!H44+JUNE!H44+JULY!H44+AUGUST!H44+SEPTEMBER!H44+OCTOBER!H44+NOVEMBER!H44+DECEMBER!H44)/$AE$17</f>
        <v>137.41389886370575</v>
      </c>
    </row>
    <row r="49" spans="1:5" ht="15" customHeight="1" x14ac:dyDescent="0.25">
      <c r="A49" s="458"/>
      <c r="B49" s="342" t="s">
        <v>209</v>
      </c>
      <c r="C49" s="330">
        <f>(JANUARY!B47+FEBRUARY!B47+MARCH!B47+APRIL!B47+MAY!B47+JUNE!B47+JULY!B47+AUGUST!B47+SEPTEMBER!B47+OCTOBER!B47+NOVEMBER!B47+DECEMBER!B47)/$AG$17</f>
        <v>308.020001935327</v>
      </c>
      <c r="D49" s="330">
        <f>(JANUARY!E47+FEBRUARY!E47+MARCH!E47+APRIL!E47+MAY!E47+JUNE!E47+JULY!E47+AUGUST!E47+SEPTEMBER!E47+OCTOBER!E47+NOVEMBER!E47+DECEMBER!E47)/$AF$17</f>
        <v>562.92447097956881</v>
      </c>
      <c r="E49" s="343">
        <f>(JANUARY!H47+FEBRUARY!H47+MARCH!H47+APRIL!H47+MAY!H47+JUNE!H47+JULY!H47+AUGUST!H47+SEPTEMBER!H47+OCTOBER!H47+NOVEMBER!H47+DECEMBER!H47)/$AE$17</f>
        <v>212.01499256742071</v>
      </c>
    </row>
    <row r="50" spans="1:5" ht="15" customHeight="1" x14ac:dyDescent="0.25">
      <c r="A50" s="458"/>
      <c r="B50" s="342" t="s">
        <v>210</v>
      </c>
      <c r="C50" s="344">
        <f>C49+C51</f>
        <v>564.59677666343487</v>
      </c>
      <c r="D50" s="344">
        <f>D49+D51</f>
        <v>1031.8334517989051</v>
      </c>
      <c r="E50" s="345">
        <f>E49+E51</f>
        <v>388.6208059729222</v>
      </c>
    </row>
    <row r="51" spans="1:5" ht="15" customHeight="1" x14ac:dyDescent="0.25">
      <c r="A51" s="458"/>
      <c r="B51" s="342" t="s">
        <v>211</v>
      </c>
      <c r="C51" s="330">
        <f>(JANUARY!B48+FEBRUARY!B48+MARCH!B48+APRIL!B48+MAY!B48+JUNE!B48+JULY!B48+AUGUST!B48+SEPTEMBER!B48+OCTOBER!B48+NOVEMBER!B48+DECEMBER!B48)/$AG$17</f>
        <v>256.57677472810792</v>
      </c>
      <c r="D51" s="330">
        <f>(JANUARY!E48+FEBRUARY!E48+MARCH!E48+APRIL!E48+MAY!E48+JUNE!E48+JULY!E48+AUGUST!E48+SEPTEMBER!E48+OCTOBER!E48+NOVEMBER!E48+DECEMBER!E48)/$AF$17</f>
        <v>468.90898081933619</v>
      </c>
      <c r="E51" s="343">
        <f>(JANUARY!H48+FEBRUARY!H48+MARCH!H48+APRIL!H48+MAY!H48+JUNE!H48+JULY!H48+AUGUST!H48+SEPTEMBER!H48+OCTOBER!H48+NOVEMBER!H48+DECEMBER!H48)/$AE$17</f>
        <v>176.60581340550152</v>
      </c>
    </row>
    <row r="52" spans="1:5" ht="15" customHeight="1" x14ac:dyDescent="0.25">
      <c r="A52" s="458"/>
      <c r="B52" s="342" t="s">
        <v>212</v>
      </c>
      <c r="C52" s="330">
        <f>(JANUARY!B46+FEBRUARY!B46+MARCH!B46+APRIL!B46+MAY!B46+JUNE!B46+JULY!B46+AUGUST!B46+SEPTEMBER!B46+OCTOBER!B46+NOVEMBER!B46+DECEMBER!B46)/$AG$17</f>
        <v>20.705812390094525</v>
      </c>
      <c r="D52" s="330">
        <f>(JANUARY!E46+FEBRUARY!E46+MARCH!E46+APRIL!E46+MAY!E46+JUNE!E46+JULY!E46+AUGUST!E46+SEPTEMBER!E46+OCTOBER!E46+NOVEMBER!E46+DECEMBER!E46)/$AF$17</f>
        <v>30.513894001234423</v>
      </c>
      <c r="E52" s="343">
        <f>(JANUARY!H46+FEBRUARY!H46+MARCH!H46+APRIL!H46+MAY!H46+JUNE!H46+JULY!H46+AUGUST!H46+SEPTEMBER!H46+OCTOBER!H46+NOVEMBER!H46+DECEMBER!H46)/$AE$17</f>
        <v>17.011781561646227</v>
      </c>
    </row>
    <row r="53" spans="1:5" ht="15" customHeight="1" x14ac:dyDescent="0.25">
      <c r="A53" s="458"/>
      <c r="B53" s="346" t="s">
        <v>213</v>
      </c>
      <c r="C53" s="331">
        <f>(JANUARY!B45+FEBRUARY!B45+MARCH!B45+APRIL!B45+MAY!B45+JUNE!B45+JULY!B45+AUGUST!B45+SEPTEMBER!B45+OCTOBER!B45+NOVEMBER!B45+DECEMBER!B45)/$AG$17</f>
        <v>56.875472377779843</v>
      </c>
      <c r="D53" s="331">
        <f>(JANUARY!E45+FEBRUARY!E45+MARCH!E45+APRIL!E45+MAY!E45+JUNE!E45+JULY!E45+AUGUST!E45+SEPTEMBER!E45+OCTOBER!E45+NOVEMBER!E45+DECEMBER!E45)/$AF$17</f>
        <v>110.0747293951769</v>
      </c>
      <c r="E53" s="347">
        <f>(JANUARY!H45+FEBRUARY!H45+MARCH!H45+APRIL!H45+MAY!H45+JUNE!H45+JULY!H45+AUGUST!H45+SEPTEMBER!H45+OCTOBER!H45+NOVEMBER!H45+DECEMBER!H45)/$AE$17</f>
        <v>36.838965417070547</v>
      </c>
    </row>
    <row r="54" spans="1:5" ht="15" customHeight="1" x14ac:dyDescent="0.25">
      <c r="A54" s="459"/>
      <c r="B54" s="346" t="s">
        <v>218</v>
      </c>
      <c r="C54" s="355">
        <f>(SUM(JANUARY!AJ39:AS39)+SUM(FEBRUARY!AJ39:AS39)+SUM(MARCH!AJ39:AS39)+SUM(APRIL!AJ39:AS39)+SUM(MAY!AJ39:AS39)+SUM(JUNE!AJ39:AS39)+SUM(JULY!AJ39:AS39)+SUM(AUGUST!AJ39:AS39)+SUM(SEPTEMBER!AJ39:AS39)+SUM(OCTOBER!AJ39:AS39)+SUM(NOVEMBER!AJ39:AS39)+SUM(DECEMBER!AJ39:AS39))</f>
        <v>4654593.0985651696</v>
      </c>
      <c r="D54" s="355">
        <f>(JANUARY!E45/JANUARY!AJ40+FEBRUARY!E45/FEBRUARY!AJ40+MARCH!E45/MARCH!AJ40+APRIL!E45/APRIL!AJ40+MAY!E45/MAY!AJ40+JUNE!E45/JUNE!AJ40+JULY!E45/JULY!AJ40+AUGUST!E45/AUGUST!AJ40+SEPTEMBER!E45/SEPTEMBER!AJ40+OCTOBER!E45/OCTOBER!AJ40+NOVEMBER!E45/NOVEMBER!AJ40+DECEMBER!E45/DECEMBER!AJ40)</f>
        <v>2473128.7302843728</v>
      </c>
      <c r="E54" s="356">
        <f>C54-D54</f>
        <v>2181464.3682807968</v>
      </c>
    </row>
    <row r="55" spans="1:5" ht="15" customHeight="1" thickBot="1" x14ac:dyDescent="0.3">
      <c r="A55" s="459"/>
      <c r="B55" s="346" t="s">
        <v>219</v>
      </c>
      <c r="C55" s="357">
        <f>C54/C58</f>
        <v>754.77649556286724</v>
      </c>
      <c r="D55" s="357">
        <f>D54/D58</f>
        <v>1465.8332663496244</v>
      </c>
      <c r="E55" s="358">
        <f>E54/E58</f>
        <v>486.97023780499495</v>
      </c>
    </row>
    <row r="56" spans="1:5" ht="15" customHeight="1" thickTop="1" x14ac:dyDescent="0.25">
      <c r="A56" s="459"/>
      <c r="B56" s="348" t="s">
        <v>214</v>
      </c>
      <c r="C56" s="349">
        <f>C48+C49+C51+C52+C53</f>
        <v>873.61037947727561</v>
      </c>
      <c r="D56" s="349">
        <f>D48+D49+D51+D52+D53</f>
        <v>1646.2971916339859</v>
      </c>
      <c r="E56" s="350">
        <f>E48+E49+E51+E52+E53</f>
        <v>579.88545181534471</v>
      </c>
    </row>
    <row r="57" spans="1:5" ht="15" customHeight="1" x14ac:dyDescent="0.25">
      <c r="A57" s="459"/>
      <c r="B57" s="351" t="s">
        <v>215</v>
      </c>
      <c r="C57" s="352">
        <f>C56/1000</f>
        <v>0.8736103794772756</v>
      </c>
      <c r="D57" s="352">
        <f>D56/1000</f>
        <v>1.6462971916339859</v>
      </c>
      <c r="E57" s="353">
        <f>E56/1000</f>
        <v>0.57988545181534468</v>
      </c>
    </row>
    <row r="58" spans="1:5" ht="15" customHeight="1" thickBot="1" x14ac:dyDescent="0.3">
      <c r="A58" s="460"/>
      <c r="B58" s="354" t="s">
        <v>216</v>
      </c>
      <c r="C58" s="400">
        <f>AG17</f>
        <v>6166.8495586816753</v>
      </c>
      <c r="D58" s="400">
        <f>AF17</f>
        <v>1687.1828379521116</v>
      </c>
      <c r="E58" s="401">
        <f>AE17</f>
        <v>4479.6667207295623</v>
      </c>
    </row>
    <row r="59" spans="1:5" ht="15.75" thickTop="1" x14ac:dyDescent="0.25"/>
  </sheetData>
  <sheetProtection algorithmName="SHA-512" hashValue="9MSSyR6MwsmG8TFDAxLxigBaokdiOfv4HJmmFaEuwG7gkJJwXsQO6XQzQK1Sg1soQ/PQNuhvafFk6WTQ3RdLqQ==" saltValue="AAz+ThVOkHn4ZgL+AAiZpw==" spinCount="100000" sheet="1" objects="1" scenarios="1" selectLockedCells="1" selectUnlockedCells="1"/>
  <mergeCells count="15">
    <mergeCell ref="C1:AK1"/>
    <mergeCell ref="A2:B3"/>
    <mergeCell ref="AH2:AK2"/>
    <mergeCell ref="C2:I2"/>
    <mergeCell ref="J2:O2"/>
    <mergeCell ref="P2:U2"/>
    <mergeCell ref="V2:AB2"/>
    <mergeCell ref="AC2:AD2"/>
    <mergeCell ref="AE2:AG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6" t="s">
        <v>220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45"/>
  <sheetViews>
    <sheetView tabSelected="1" topLeftCell="O4" zoomScaleNormal="100" workbookViewId="0">
      <selection activeCell="R20" sqref="R20:AI31"/>
    </sheetView>
  </sheetViews>
  <sheetFormatPr defaultRowHeight="15" x14ac:dyDescent="0.25"/>
  <cols>
    <col min="1" max="2" width="12.7109375" customWidth="1"/>
    <col min="3" max="35" width="9.140625" customWidth="1"/>
  </cols>
  <sheetData>
    <row r="1" spans="1:35" ht="21.75" thickBot="1" x14ac:dyDescent="0.3">
      <c r="A1" s="512">
        <v>2021</v>
      </c>
      <c r="B1" s="513"/>
      <c r="C1" s="514" t="s">
        <v>90</v>
      </c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6"/>
      <c r="R1" s="516"/>
      <c r="S1" s="516"/>
      <c r="T1" s="516"/>
      <c r="U1" s="516"/>
      <c r="V1" s="516"/>
      <c r="W1" s="516"/>
      <c r="X1" s="516"/>
      <c r="Y1" s="516"/>
      <c r="Z1" s="516"/>
      <c r="AA1" s="516"/>
      <c r="AB1" s="516"/>
      <c r="AC1" s="516"/>
      <c r="AD1" s="516"/>
      <c r="AE1" s="516"/>
      <c r="AF1" s="516"/>
      <c r="AG1" s="516"/>
      <c r="AH1" s="516"/>
      <c r="AI1" s="517"/>
    </row>
    <row r="2" spans="1:35" ht="28.5" customHeight="1" thickBot="1" x14ac:dyDescent="0.3">
      <c r="A2" s="518"/>
      <c r="B2" s="478"/>
      <c r="C2" s="521" t="s">
        <v>66</v>
      </c>
      <c r="D2" s="483"/>
      <c r="E2" s="483"/>
      <c r="F2" s="483"/>
      <c r="G2" s="483"/>
      <c r="H2" s="483"/>
      <c r="I2" s="483"/>
      <c r="J2" s="483"/>
      <c r="K2" s="483"/>
      <c r="L2" s="483"/>
      <c r="M2" s="522"/>
      <c r="N2" s="522"/>
      <c r="O2" s="522"/>
      <c r="P2" s="523"/>
      <c r="Q2" s="524" t="s">
        <v>71</v>
      </c>
      <c r="R2" s="525"/>
      <c r="S2" s="525"/>
      <c r="T2" s="525"/>
      <c r="U2" s="525"/>
      <c r="V2" s="525"/>
      <c r="W2" s="525"/>
      <c r="X2" s="525"/>
      <c r="Y2" s="525"/>
      <c r="Z2" s="525"/>
      <c r="AA2" s="525"/>
      <c r="AB2" s="525"/>
      <c r="AC2" s="526"/>
      <c r="AD2" s="527" t="s">
        <v>83</v>
      </c>
      <c r="AE2" s="528"/>
      <c r="AF2" s="531" t="s">
        <v>232</v>
      </c>
      <c r="AG2" s="532"/>
      <c r="AH2" s="532"/>
      <c r="AI2" s="533"/>
    </row>
    <row r="3" spans="1:35" ht="28.5" customHeight="1" thickBot="1" x14ac:dyDescent="0.3">
      <c r="A3" s="518"/>
      <c r="B3" s="478"/>
      <c r="C3" s="521" t="s">
        <v>91</v>
      </c>
      <c r="D3" s="483"/>
      <c r="E3" s="483"/>
      <c r="F3" s="483"/>
      <c r="G3" s="483"/>
      <c r="H3" s="483"/>
      <c r="I3" s="484"/>
      <c r="J3" s="488" t="s">
        <v>92</v>
      </c>
      <c r="K3" s="489"/>
      <c r="L3" s="490"/>
      <c r="M3" s="537" t="s">
        <v>93</v>
      </c>
      <c r="N3" s="538"/>
      <c r="O3" s="538"/>
      <c r="P3" s="539"/>
      <c r="Q3" s="548" t="s">
        <v>94</v>
      </c>
      <c r="R3" s="486"/>
      <c r="S3" s="486"/>
      <c r="T3" s="486"/>
      <c r="U3" s="486"/>
      <c r="V3" s="487"/>
      <c r="W3" s="488" t="s">
        <v>95</v>
      </c>
      <c r="X3" s="489"/>
      <c r="Y3" s="490"/>
      <c r="Z3" s="537" t="s">
        <v>96</v>
      </c>
      <c r="AA3" s="538"/>
      <c r="AB3" s="538"/>
      <c r="AC3" s="539"/>
      <c r="AD3" s="529"/>
      <c r="AE3" s="530"/>
      <c r="AF3" s="534"/>
      <c r="AG3" s="535"/>
      <c r="AH3" s="535"/>
      <c r="AI3" s="536"/>
    </row>
    <row r="4" spans="1:35" ht="129.75" thickBot="1" x14ac:dyDescent="0.3">
      <c r="A4" s="519"/>
      <c r="B4" s="520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49" t="s">
        <v>99</v>
      </c>
      <c r="B5" s="550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551"/>
      <c r="B6" s="552"/>
      <c r="C6" s="144">
        <f>'Yearly Summary '!$C$17</f>
        <v>0</v>
      </c>
      <c r="D6" s="142">
        <f>'Yearly Summary '!$D$17</f>
        <v>17901.857879402258</v>
      </c>
      <c r="E6" s="142">
        <f>'Yearly Summary '!$E$17</f>
        <v>230184.51012497951</v>
      </c>
      <c r="F6" s="142">
        <f>'Yearly Summary '!$F$17</f>
        <v>4195.0148079444944</v>
      </c>
      <c r="G6" s="142">
        <f>'Yearly Summary '!$G$17</f>
        <v>0</v>
      </c>
      <c r="H6" s="142">
        <f>'Yearly Summary '!$H$17</f>
        <v>602761.60232645657</v>
      </c>
      <c r="I6" s="142">
        <f>'Yearly Summary '!$I$17</f>
        <v>6704.7300357212744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54130.271507844831</v>
      </c>
      <c r="N6" s="142">
        <f>'Yearly Summary '!$Y$17</f>
        <v>6631.9165382929114</v>
      </c>
      <c r="O6" s="142">
        <f>'Yearly Summary '!$AA$17</f>
        <v>28357.922782648555</v>
      </c>
      <c r="P6" s="143">
        <f>('Yearly Summary '!$AB$17)*(1-AI6)</f>
        <v>0</v>
      </c>
      <c r="Q6" s="141">
        <f>'Yearly Summary '!$J$17</f>
        <v>66428.395663768446</v>
      </c>
      <c r="R6" s="142">
        <f>'Yearly Summary '!$K$17</f>
        <v>166624.88942277199</v>
      </c>
      <c r="S6" s="142">
        <f>'Yearly Summary '!$L$17</f>
        <v>9185.0054851896566</v>
      </c>
      <c r="T6" s="142">
        <f>'Yearly Summary '!$M$17</f>
        <v>0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102656.65736344382</v>
      </c>
      <c r="AA6" s="142">
        <f>'Yearly Summary '!$X$17</f>
        <v>17446.637579838934</v>
      </c>
      <c r="AB6" s="142">
        <f>'Yearly Summary '!$Z$17</f>
        <v>80754.721254702701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'!$AH$17</f>
        <v>5919.6981433705487</v>
      </c>
      <c r="AG6" s="147">
        <f>'Yearly Summary '!$AI$17</f>
        <v>4257.294058570551</v>
      </c>
      <c r="AH6" s="147">
        <f>'Yearly Summary '!$AJ$17</f>
        <v>1617.0699461615091</v>
      </c>
      <c r="AI6" s="148">
        <f>'Yearly Summary '!$AK$17</f>
        <v>0.72472425187494549</v>
      </c>
    </row>
    <row r="7" spans="1:35" ht="15" customHeight="1" x14ac:dyDescent="0.25">
      <c r="A7" s="553" t="s">
        <v>103</v>
      </c>
      <c r="B7" s="554"/>
      <c r="C7" s="152">
        <f>(C6*(1.029*8.34)*0.03)/2000</f>
        <v>0</v>
      </c>
      <c r="D7" s="150">
        <f>(D6*(1.4*8.34)*0.38)/2000</f>
        <v>39.71419759398114</v>
      </c>
      <c r="E7" s="150">
        <f>(E6*(1.54*8.34)*0.5)/2000</f>
        <v>739.09944356029678</v>
      </c>
      <c r="F7" s="150">
        <f>(F6*(1.04*8.34)*1)/2000</f>
        <v>18.192940219093686</v>
      </c>
      <c r="G7" s="150">
        <f>(G6*(1.055*8.34)*0.005)/2000</f>
        <v>0</v>
      </c>
      <c r="H7" s="150">
        <f>H6/2000</f>
        <v>301.38080116322828</v>
      </c>
      <c r="I7" s="150">
        <f>(I6*(1.135*8.34)*0.35)/2000</f>
        <v>11.10660320789845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27.065135753922416</v>
      </c>
      <c r="N7" s="150">
        <f>(N6*(0.895*8.34)*0.29)/2000</f>
        <v>7.1778791194330669</v>
      </c>
      <c r="O7" s="150">
        <f>(O6*(1.54*8.34)*0.5)/2000</f>
        <v>91.054454262806246</v>
      </c>
      <c r="P7" s="151">
        <f>(P6*(1.135*8.34)*0.35)/2000</f>
        <v>0</v>
      </c>
      <c r="Q7" s="149">
        <f>(Q6*(1.029*8.34)*0.03)/2000</f>
        <v>8.5511878741660183</v>
      </c>
      <c r="R7" s="150">
        <f>(R6*(1.4*8.34)*0.38)/2000</f>
        <v>369.64731969105424</v>
      </c>
      <c r="S7" s="150">
        <f>(S6*(1.04*8.34)*1)/2000</f>
        <v>39.833531788170504</v>
      </c>
      <c r="T7" s="150">
        <f>(T6*(1.135*8.34)*0.35)/2000</f>
        <v>0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51.328328681721914</v>
      </c>
      <c r="AA7" s="150">
        <f>(AA6*(0.895*8.34)*0.29)/2000</f>
        <v>18.882905848642803</v>
      </c>
      <c r="AB7" s="150">
        <f>(AB6*(1.54*8.34)*0.5)/2000</f>
        <v>259.29533447672492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499" t="s">
        <v>233</v>
      </c>
      <c r="AG7" s="500"/>
      <c r="AH7" s="500"/>
      <c r="AI7" s="501"/>
    </row>
    <row r="8" spans="1:35" x14ac:dyDescent="0.25">
      <c r="A8" s="508" t="s">
        <v>104</v>
      </c>
      <c r="B8" s="509"/>
      <c r="C8" s="156">
        <f>C7/$AH$6</f>
        <v>0</v>
      </c>
      <c r="D8" s="154">
        <f>D7/$AH$6</f>
        <v>2.4559356685993707E-2</v>
      </c>
      <c r="E8" s="154">
        <f t="shared" ref="E8:P8" si="0">E7/$AH$6</f>
        <v>0.45706089913718384</v>
      </c>
      <c r="F8" s="154">
        <f t="shared" si="0"/>
        <v>1.125055861824583E-2</v>
      </c>
      <c r="G8" s="154">
        <f t="shared" si="0"/>
        <v>0</v>
      </c>
      <c r="H8" s="154">
        <f t="shared" si="0"/>
        <v>0.18637462274196956</v>
      </c>
      <c r="I8" s="154">
        <f t="shared" si="0"/>
        <v>6.8683505214246002E-3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1.6737145983182607E-2</v>
      </c>
      <c r="N8" s="154">
        <f t="shared" si="0"/>
        <v>4.4388179598980424E-3</v>
      </c>
      <c r="O8" s="154">
        <f t="shared" si="0"/>
        <v>5.6308296668888771E-2</v>
      </c>
      <c r="P8" s="155">
        <f t="shared" si="0"/>
        <v>0</v>
      </c>
      <c r="Q8" s="153">
        <f>Q7/$AG$6</f>
        <v>2.008596953022598E-3</v>
      </c>
      <c r="R8" s="154">
        <f t="shared" ref="R8:AD8" si="1">R7/$AG$6</f>
        <v>8.6826823471801415E-2</v>
      </c>
      <c r="S8" s="154">
        <f t="shared" si="1"/>
        <v>9.3565375659169746E-3</v>
      </c>
      <c r="T8" s="154">
        <f t="shared" si="1"/>
        <v>0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1.2056561744517162E-2</v>
      </c>
      <c r="AA8" s="154">
        <f t="shared" si="1"/>
        <v>4.4354243772822726E-3</v>
      </c>
      <c r="AB8" s="154">
        <f t="shared" si="1"/>
        <v>6.0906136834669847E-2</v>
      </c>
      <c r="AC8" s="155">
        <f t="shared" si="1"/>
        <v>0</v>
      </c>
      <c r="AD8" s="156">
        <f t="shared" si="1"/>
        <v>5.506296422112698E-4</v>
      </c>
      <c r="AE8" s="154"/>
      <c r="AF8" s="502"/>
      <c r="AG8" s="503"/>
      <c r="AH8" s="503"/>
      <c r="AI8" s="504"/>
    </row>
    <row r="9" spans="1:35" ht="15.75" thickBot="1" x14ac:dyDescent="0.3">
      <c r="A9" s="510" t="s">
        <v>105</v>
      </c>
      <c r="B9" s="511"/>
      <c r="C9" s="219">
        <f t="shared" ref="C9:P9" si="2">C7/$AH$19</f>
        <v>0</v>
      </c>
      <c r="D9" s="157">
        <f t="shared" si="2"/>
        <v>7.6247507766367198E-2</v>
      </c>
      <c r="E9" s="157">
        <f t="shared" si="2"/>
        <v>1.419001112376048</v>
      </c>
      <c r="F9" s="157">
        <f t="shared" si="2"/>
        <v>3.492872661888128E-2</v>
      </c>
      <c r="G9" s="157">
        <f t="shared" si="2"/>
        <v>0</v>
      </c>
      <c r="H9" s="157">
        <f t="shared" si="2"/>
        <v>0.57862266820190944</v>
      </c>
      <c r="I9" s="157">
        <f t="shared" si="2"/>
        <v>2.1323628970424922E-2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5.1962503931030878E-2</v>
      </c>
      <c r="N9" s="157">
        <f t="shared" si="2"/>
        <v>1.3780849848719159E-2</v>
      </c>
      <c r="O9" s="157">
        <f t="shared" si="2"/>
        <v>0.17481595069713404</v>
      </c>
      <c r="P9" s="158">
        <f t="shared" si="2"/>
        <v>0</v>
      </c>
      <c r="Q9" s="159">
        <f t="shared" ref="Q9:AD9" si="3">Q7/$AF$19</f>
        <v>2.8071984008213556E-3</v>
      </c>
      <c r="R9" s="160">
        <f t="shared" si="3"/>
        <v>0.121348446552033</v>
      </c>
      <c r="S9" s="160">
        <f t="shared" si="3"/>
        <v>1.3076619106058937E-2</v>
      </c>
      <c r="T9" s="160">
        <f t="shared" si="3"/>
        <v>0</v>
      </c>
      <c r="U9" s="160">
        <f t="shared" si="3"/>
        <v>0</v>
      </c>
      <c r="V9" s="160">
        <f t="shared" si="3"/>
        <v>0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1.6850150448391988E-2</v>
      </c>
      <c r="AA9" s="160">
        <f t="shared" si="3"/>
        <v>6.19891223081566E-3</v>
      </c>
      <c r="AB9" s="160">
        <f t="shared" si="3"/>
        <v>8.5121910428671385E-2</v>
      </c>
      <c r="AC9" s="161">
        <f t="shared" si="3"/>
        <v>0</v>
      </c>
      <c r="AD9" s="162">
        <f t="shared" si="3"/>
        <v>7.6955540967751392E-4</v>
      </c>
      <c r="AE9" s="160"/>
      <c r="AF9" s="505"/>
      <c r="AG9" s="506"/>
      <c r="AH9" s="506"/>
      <c r="AI9" s="507"/>
    </row>
    <row r="10" spans="1:35" ht="15.75" thickBot="1" x14ac:dyDescent="0.3">
      <c r="A10" s="540" t="s">
        <v>106</v>
      </c>
      <c r="B10" s="541"/>
      <c r="C10" s="166">
        <f>'Yearly Summary '!$C$30</f>
        <v>0</v>
      </c>
      <c r="D10" s="164">
        <f>'Yearly Summary '!D30</f>
        <v>27033.455278868423</v>
      </c>
      <c r="E10" s="164">
        <f>'Yearly Summary '!E30</f>
        <v>581101.85160888475</v>
      </c>
      <c r="F10" s="164">
        <f>'Yearly Summary '!F30</f>
        <v>18556.79902347556</v>
      </c>
      <c r="G10" s="164">
        <f>'Yearly Summary '!G30</f>
        <v>0</v>
      </c>
      <c r="H10" s="164">
        <f>'Yearly Summary '!H30</f>
        <v>44934.979327606576</v>
      </c>
      <c r="I10" s="164">
        <f>'Yearly Summary '!I30</f>
        <v>25648.293667540653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20802.684096541914</v>
      </c>
      <c r="N10" s="164">
        <f>'Yearly Summary '!$Y$30</f>
        <v>8035.2775202279163</v>
      </c>
      <c r="O10" s="164">
        <f>'Yearly Summary '!$AA$30</f>
        <v>73400.623264735987</v>
      </c>
      <c r="P10" s="165">
        <f>('Yearly Summary '!$AB$30)*(1-AI6)</f>
        <v>0</v>
      </c>
      <c r="Q10" s="163">
        <f>'Yearly Summary '!J30</f>
        <v>45663.343248046527</v>
      </c>
      <c r="R10" s="164">
        <f>'Yearly Summary '!K30</f>
        <v>254849.50651005231</v>
      </c>
      <c r="S10" s="164">
        <f>'Yearly Summary '!L30</f>
        <v>40630.202423933915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39494.414947445024</v>
      </c>
      <c r="AA10" s="164">
        <f>'Yearly Summary '!$X$30</f>
        <v>21535.694654906776</v>
      </c>
      <c r="AB10" s="164">
        <f>'Yearly Summary '!$Z$30</f>
        <v>213395.30792105597</v>
      </c>
      <c r="AC10" s="165">
        <f>('Yearly Summary '!$AB$30)*AI6</f>
        <v>0</v>
      </c>
      <c r="AD10" s="166">
        <f>'Yearly Summary '!$AC$30</f>
        <v>12125.854913122392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544" t="s">
        <v>117</v>
      </c>
      <c r="D11" s="545"/>
      <c r="E11" s="545"/>
      <c r="F11" s="220">
        <f>SUM(C10:P10)</f>
        <v>799513.98350411991</v>
      </c>
      <c r="G11" s="546" t="s">
        <v>118</v>
      </c>
      <c r="H11" s="545"/>
      <c r="I11" s="545"/>
      <c r="J11" s="221">
        <f>SUM(Q10:AE10)</f>
        <v>627694.44322436408</v>
      </c>
      <c r="K11" s="546" t="s">
        <v>119</v>
      </c>
      <c r="L11" s="547"/>
      <c r="M11" s="547">
        <f>SUM(C10:AE10)</f>
        <v>1427208.4267284845</v>
      </c>
      <c r="N11" s="555"/>
      <c r="O11" s="556" t="s">
        <v>120</v>
      </c>
      <c r="P11" s="557"/>
      <c r="Q11" s="557"/>
      <c r="R11" s="222">
        <f>($AG$6+$AH$6)/($AG$19+$AI$19)</f>
        <v>1.7099231754149806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606" t="s">
        <v>110</v>
      </c>
      <c r="AG11" s="606" t="s">
        <v>111</v>
      </c>
      <c r="AH11" s="606" t="s">
        <v>112</v>
      </c>
      <c r="AI11" s="606" t="s">
        <v>113</v>
      </c>
    </row>
    <row r="12" spans="1:35" ht="21.75" customHeight="1" thickBot="1" x14ac:dyDescent="0.3">
      <c r="A12" s="512">
        <f>A1+1</f>
        <v>2022</v>
      </c>
      <c r="B12" s="542"/>
      <c r="C12" s="543" t="s">
        <v>109</v>
      </c>
      <c r="D12" s="543"/>
      <c r="E12" s="543"/>
      <c r="F12" s="543"/>
      <c r="G12" s="543"/>
      <c r="H12" s="543"/>
      <c r="I12" s="543"/>
      <c r="J12" s="543"/>
      <c r="K12" s="543"/>
      <c r="L12" s="543"/>
      <c r="M12" s="543"/>
      <c r="N12" s="543"/>
      <c r="O12" s="543"/>
      <c r="P12" s="543"/>
      <c r="Q12" s="543"/>
      <c r="R12" s="543"/>
      <c r="S12" s="516"/>
      <c r="T12" s="516"/>
      <c r="U12" s="516"/>
      <c r="V12" s="516"/>
      <c r="W12" s="516"/>
      <c r="X12" s="516"/>
      <c r="Y12" s="516"/>
      <c r="Z12" s="516"/>
      <c r="AA12" s="516"/>
      <c r="AB12" s="516"/>
      <c r="AC12" s="516"/>
      <c r="AD12" s="516"/>
      <c r="AE12" s="516"/>
      <c r="AF12" s="607"/>
      <c r="AG12" s="607"/>
      <c r="AH12" s="607"/>
      <c r="AI12" s="607"/>
    </row>
    <row r="13" spans="1:35" ht="15" customHeight="1" x14ac:dyDescent="0.25">
      <c r="A13" s="551" t="s">
        <v>114</v>
      </c>
      <c r="B13" s="567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607"/>
      <c r="AG13" s="607"/>
      <c r="AH13" s="607"/>
      <c r="AI13" s="607"/>
    </row>
    <row r="14" spans="1:35" x14ac:dyDescent="0.25">
      <c r="A14" s="551"/>
      <c r="B14" s="567"/>
      <c r="C14" s="141">
        <f t="shared" ref="C14:P14" si="4">(C6/$AH$6)*$AB$18</f>
        <v>0</v>
      </c>
      <c r="D14" s="142">
        <f t="shared" si="4"/>
        <v>13564.410435697682</v>
      </c>
      <c r="E14" s="142">
        <f t="shared" si="4"/>
        <v>174413.02418492248</v>
      </c>
      <c r="F14" s="142">
        <f t="shared" si="4"/>
        <v>3178.6031942673758</v>
      </c>
      <c r="G14" s="142">
        <f t="shared" si="4"/>
        <v>0</v>
      </c>
      <c r="H14" s="142">
        <f t="shared" si="4"/>
        <v>456718.28163948335</v>
      </c>
      <c r="I14" s="142">
        <f t="shared" si="4"/>
        <v>5080.2386365559742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41015.028980482319</v>
      </c>
      <c r="N14" s="142">
        <f t="shared" si="4"/>
        <v>5025.0671470362558</v>
      </c>
      <c r="O14" s="142">
        <f t="shared" si="4"/>
        <v>21487.071694958111</v>
      </c>
      <c r="P14" s="143">
        <f t="shared" si="4"/>
        <v>0</v>
      </c>
      <c r="Q14" s="141">
        <f t="shared" ref="Q14:AE14" si="5">(Q6/$AG$6)*$T$18</f>
        <v>58915.91207057517</v>
      </c>
      <c r="R14" s="142">
        <f t="shared" si="5"/>
        <v>147781.03905579765</v>
      </c>
      <c r="S14" s="142">
        <f t="shared" si="5"/>
        <v>8146.2598957261298</v>
      </c>
      <c r="T14" s="142">
        <f t="shared" si="5"/>
        <v>0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91047.067120162232</v>
      </c>
      <c r="AA14" s="142">
        <f t="shared" si="5"/>
        <v>15473.572036628526</v>
      </c>
      <c r="AB14" s="142">
        <f t="shared" si="5"/>
        <v>71622.052725877453</v>
      </c>
      <c r="AC14" s="143">
        <f t="shared" si="5"/>
        <v>0</v>
      </c>
      <c r="AD14" s="144">
        <f t="shared" si="5"/>
        <v>4158.1683945308005</v>
      </c>
      <c r="AE14" s="173">
        <f t="shared" si="5"/>
        <v>0</v>
      </c>
      <c r="AF14" s="607"/>
      <c r="AG14" s="607"/>
      <c r="AH14" s="607"/>
      <c r="AI14" s="607"/>
    </row>
    <row r="15" spans="1:35" x14ac:dyDescent="0.25">
      <c r="A15" s="553" t="s">
        <v>115</v>
      </c>
      <c r="B15" s="568"/>
      <c r="C15" s="149">
        <f t="shared" ref="C15:P15" si="6">C8*$AB$18</f>
        <v>0</v>
      </c>
      <c r="D15" s="150">
        <f t="shared" si="6"/>
        <v>30.091830686969164</v>
      </c>
      <c r="E15" s="150">
        <f t="shared" si="6"/>
        <v>560.02277935536767</v>
      </c>
      <c r="F15" s="150">
        <f t="shared" si="6"/>
        <v>13.784966332898758</v>
      </c>
      <c r="G15" s="150">
        <f t="shared" si="6"/>
        <v>0</v>
      </c>
      <c r="H15" s="150">
        <f t="shared" si="6"/>
        <v>228.35914081974164</v>
      </c>
      <c r="I15" s="150">
        <f t="shared" si="6"/>
        <v>8.4155804092106585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20.50751449024116</v>
      </c>
      <c r="N15" s="150">
        <f t="shared" si="6"/>
        <v>5.4387482623152943</v>
      </c>
      <c r="O15" s="150">
        <f t="shared" si="6"/>
        <v>68.992838505340998</v>
      </c>
      <c r="P15" s="151">
        <f t="shared" si="6"/>
        <v>0</v>
      </c>
      <c r="Q15" s="149">
        <f t="shared" ref="Q15:AD15" si="7">Q8*$T$18</f>
        <v>7.5841216374297939</v>
      </c>
      <c r="R15" s="150">
        <f t="shared" si="7"/>
        <v>327.84336828294369</v>
      </c>
      <c r="S15" s="150">
        <f t="shared" si="7"/>
        <v>35.32869991578508</v>
      </c>
      <c r="T15" s="150">
        <f t="shared" si="7"/>
        <v>0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45.523533560081113</v>
      </c>
      <c r="AA15" s="150">
        <f t="shared" si="7"/>
        <v>16.747410644185916</v>
      </c>
      <c r="AB15" s="150">
        <f t="shared" si="7"/>
        <v>229.97124909751989</v>
      </c>
      <c r="AC15" s="151">
        <f t="shared" si="7"/>
        <v>0</v>
      </c>
      <c r="AD15" s="152">
        <f t="shared" si="7"/>
        <v>2.0790841972654004</v>
      </c>
      <c r="AE15" s="174">
        <f>(AE14*(1.029*8.34)*0.03)/2000</f>
        <v>0</v>
      </c>
      <c r="AF15" s="607"/>
      <c r="AG15" s="607"/>
      <c r="AH15" s="607"/>
      <c r="AI15" s="607"/>
    </row>
    <row r="16" spans="1:35" ht="15" customHeight="1" thickBot="1" x14ac:dyDescent="0.3">
      <c r="A16" s="540" t="s">
        <v>116</v>
      </c>
      <c r="B16" s="569"/>
      <c r="C16" s="175">
        <f>$AI$30*C15</f>
        <v>0</v>
      </c>
      <c r="D16" s="176">
        <f>$AI$28*D15</f>
        <v>23140.617798279287</v>
      </c>
      <c r="E16" s="176">
        <f>$AI$31*E15</f>
        <v>540253.97524412326</v>
      </c>
      <c r="F16" s="176">
        <f>$AI$26*F15</f>
        <v>14060.665659556733</v>
      </c>
      <c r="G16" s="177">
        <f>$AI$23*G15</f>
        <v>0</v>
      </c>
      <c r="H16" s="177">
        <f>$AI$24*H15</f>
        <v>34913.829039930293</v>
      </c>
      <c r="I16" s="177">
        <f>$AI$29*I15</f>
        <v>19476.057518458951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16918.699454448957</v>
      </c>
      <c r="N16" s="177">
        <f>$AI$22*N15</f>
        <v>914.56222076059851</v>
      </c>
      <c r="O16" s="177">
        <f>$AI$31*O15</f>
        <v>66557.391306102465</v>
      </c>
      <c r="P16" s="178">
        <v>0</v>
      </c>
      <c r="Q16" s="179">
        <f>$AI$30*Q15</f>
        <v>40499.209543875098</v>
      </c>
      <c r="R16" s="177">
        <f>$AI$28*R15</f>
        <v>252111.55020958369</v>
      </c>
      <c r="S16" s="177">
        <f>$AI$26*S15</f>
        <v>36035.273914100784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37556.915187066916</v>
      </c>
      <c r="AA16" s="177">
        <f>$AI$22*AA15</f>
        <v>2816.1901106663922</v>
      </c>
      <c r="AB16" s="177">
        <f>$AI$31*AB15</f>
        <v>221853.26400437744</v>
      </c>
      <c r="AC16" s="178">
        <v>0</v>
      </c>
      <c r="AD16" s="180">
        <f>$AI$27*AD15</f>
        <v>1715.2444627439554</v>
      </c>
      <c r="AE16" s="181">
        <f>$AI$30*AE15</f>
        <v>0</v>
      </c>
      <c r="AF16" s="607"/>
      <c r="AG16" s="607"/>
      <c r="AH16" s="607"/>
      <c r="AI16" s="607"/>
    </row>
    <row r="17" spans="1:35" ht="15" customHeight="1" thickBot="1" x14ac:dyDescent="0.3">
      <c r="A17" s="570"/>
      <c r="B17" s="571"/>
      <c r="C17" s="572" t="s">
        <v>117</v>
      </c>
      <c r="D17" s="573"/>
      <c r="E17" s="573"/>
      <c r="F17" s="182">
        <f>SUM(C16:P16)</f>
        <v>716235.79824166058</v>
      </c>
      <c r="G17" s="574" t="s">
        <v>118</v>
      </c>
      <c r="H17" s="573"/>
      <c r="I17" s="573"/>
      <c r="J17" s="183">
        <f>SUM(Q16:AE16)</f>
        <v>592587.64743241435</v>
      </c>
      <c r="K17" s="574" t="s">
        <v>119</v>
      </c>
      <c r="L17" s="575"/>
      <c r="M17" s="576">
        <f>SUM(C16:AE16)</f>
        <v>1308823.4456740748</v>
      </c>
      <c r="N17" s="577"/>
      <c r="O17" s="578"/>
      <c r="P17" s="579"/>
      <c r="Q17" s="579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608"/>
      <c r="AG17" s="608"/>
      <c r="AH17" s="608"/>
      <c r="AI17" s="608"/>
    </row>
    <row r="18" spans="1:35" ht="15" customHeight="1" thickTop="1" thickBot="1" x14ac:dyDescent="0.3">
      <c r="A18" s="185" t="s">
        <v>121</v>
      </c>
      <c r="B18" s="186"/>
      <c r="C18" s="186"/>
      <c r="D18" s="187">
        <v>5001.1000000000004</v>
      </c>
      <c r="E18" s="188" t="s">
        <v>122</v>
      </c>
      <c r="F18" s="189"/>
      <c r="G18" s="189"/>
      <c r="H18" s="190">
        <f>D18*((AF19+AH19)/(AG6+AH6))</f>
        <v>3036.7611856582716</v>
      </c>
      <c r="I18" s="191" t="s">
        <v>123</v>
      </c>
      <c r="J18" s="189"/>
      <c r="K18" s="189"/>
      <c r="L18" s="192">
        <v>0.755</v>
      </c>
      <c r="M18" s="191" t="s">
        <v>124</v>
      </c>
      <c r="N18" s="189"/>
      <c r="O18" s="189"/>
      <c r="P18" s="193">
        <f>L18/(1-L18)</f>
        <v>3.0816326530612246</v>
      </c>
      <c r="Q18" s="191" t="s">
        <v>125</v>
      </c>
      <c r="R18" s="189"/>
      <c r="S18" s="189"/>
      <c r="T18" s="190">
        <f>D18*L18</f>
        <v>3775.8305000000005</v>
      </c>
      <c r="U18" s="191" t="s">
        <v>126</v>
      </c>
      <c r="V18" s="189"/>
      <c r="W18" s="189"/>
      <c r="X18" s="190">
        <f>H18*L18</f>
        <v>2292.7546951719951</v>
      </c>
      <c r="Y18" s="191" t="s">
        <v>127</v>
      </c>
      <c r="Z18" s="189"/>
      <c r="AA18" s="189"/>
      <c r="AB18" s="190">
        <f>D18-T18</f>
        <v>1225.2694999999999</v>
      </c>
      <c r="AC18" s="191" t="s">
        <v>128</v>
      </c>
      <c r="AD18" s="189"/>
      <c r="AE18" s="194">
        <f>H18-X18</f>
        <v>744.00649048627656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558"/>
      <c r="P19" s="558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559">
        <f>A12</f>
        <v>2022</v>
      </c>
      <c r="B20" s="560"/>
      <c r="C20" s="560" t="s">
        <v>129</v>
      </c>
      <c r="D20" s="560"/>
      <c r="E20" s="560"/>
      <c r="F20" s="560"/>
      <c r="G20" s="560"/>
      <c r="H20" s="560"/>
      <c r="I20" s="560"/>
      <c r="J20" s="560" t="s">
        <v>130</v>
      </c>
      <c r="K20" s="560"/>
      <c r="L20" s="560"/>
      <c r="M20" s="560"/>
      <c r="N20" s="560"/>
      <c r="O20" s="560"/>
      <c r="P20" s="561"/>
      <c r="Q20" s="196"/>
      <c r="R20" s="197">
        <f>A1</f>
        <v>2021</v>
      </c>
      <c r="S20" s="562" t="s">
        <v>131</v>
      </c>
      <c r="T20" s="563"/>
      <c r="U20" s="564" t="s">
        <v>132</v>
      </c>
      <c r="V20" s="565"/>
      <c r="W20" s="565"/>
      <c r="X20" s="565"/>
      <c r="Y20" s="566"/>
      <c r="Z20" s="580" t="s">
        <v>133</v>
      </c>
      <c r="AA20" s="581"/>
      <c r="AB20" s="581"/>
      <c r="AC20" s="581"/>
      <c r="AD20" s="582"/>
      <c r="AE20" s="583" t="s">
        <v>134</v>
      </c>
      <c r="AF20" s="584"/>
      <c r="AG20" s="584"/>
      <c r="AH20" s="584"/>
      <c r="AI20" s="585"/>
    </row>
    <row r="21" spans="1:35" ht="15.75" thickBot="1" x14ac:dyDescent="0.3">
      <c r="A21" s="586" t="s">
        <v>135</v>
      </c>
      <c r="B21" s="587"/>
      <c r="C21" s="588" t="s">
        <v>161</v>
      </c>
      <c r="D21" s="588"/>
      <c r="E21" s="588" t="s">
        <v>162</v>
      </c>
      <c r="F21" s="589"/>
      <c r="G21" s="589" t="s">
        <v>163</v>
      </c>
      <c r="H21" s="590"/>
      <c r="I21" s="590"/>
      <c r="J21" s="591" t="s">
        <v>164</v>
      </c>
      <c r="K21" s="591"/>
      <c r="L21" s="592"/>
      <c r="M21" s="591" t="s">
        <v>165</v>
      </c>
      <c r="N21" s="592"/>
      <c r="O21" s="588" t="s">
        <v>136</v>
      </c>
      <c r="P21" s="593"/>
      <c r="Q21" s="196"/>
      <c r="R21" s="594" t="s">
        <v>135</v>
      </c>
      <c r="S21" s="595"/>
      <c r="T21" s="595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597" t="s">
        <v>141</v>
      </c>
      <c r="B22" s="598"/>
      <c r="C22" s="599">
        <f>N15+AA15</f>
        <v>22.186158906501209</v>
      </c>
      <c r="D22" s="588"/>
      <c r="E22" s="600">
        <f>N16+AA16</f>
        <v>3730.7523314269906</v>
      </c>
      <c r="F22" s="601"/>
      <c r="G22" s="602">
        <f>(C22*2000)/(8.34*0.895*0.29)</f>
        <v>20498.639183664782</v>
      </c>
      <c r="H22" s="602"/>
      <c r="I22" s="202" t="s">
        <v>142</v>
      </c>
      <c r="J22" s="603">
        <f>(G22*8.34*0.895)/27000</f>
        <v>5.6669626836529279</v>
      </c>
      <c r="K22" s="604"/>
      <c r="L22" s="203" t="s">
        <v>143</v>
      </c>
      <c r="M22" s="605">
        <f>ROUNDUP(J22,0)</f>
        <v>6</v>
      </c>
      <c r="N22" s="589"/>
      <c r="O22" s="596">
        <f>((M22*27000)/(8.34*0.895))*$Y$22</f>
        <v>3950.0020095655318</v>
      </c>
      <c r="P22" s="593"/>
      <c r="Q22" s="196"/>
      <c r="R22" s="594" t="s">
        <v>141</v>
      </c>
      <c r="S22" s="595"/>
      <c r="T22" s="595"/>
      <c r="U22" s="244" t="s">
        <v>146</v>
      </c>
      <c r="V22" s="453">
        <v>0.13700000000000001</v>
      </c>
      <c r="W22" s="454">
        <v>0.15</v>
      </c>
      <c r="X22" s="454">
        <v>0.16200000000000001</v>
      </c>
      <c r="Y22" s="455">
        <v>0.182</v>
      </c>
      <c r="Z22" s="246" t="s">
        <v>142</v>
      </c>
      <c r="AA22" s="205">
        <f>V22*8.34*0.933</f>
        <v>1.0660271400000001</v>
      </c>
      <c r="AB22" s="205">
        <f t="shared" ref="AB22:AD22" si="8">W22*8.34*0.92</f>
        <v>1.1509199999999999</v>
      </c>
      <c r="AC22" s="205">
        <f t="shared" si="8"/>
        <v>1.2429936000000001</v>
      </c>
      <c r="AD22" s="205">
        <f t="shared" si="8"/>
        <v>1.3964496</v>
      </c>
      <c r="AE22" s="206" t="s">
        <v>144</v>
      </c>
      <c r="AF22" s="207">
        <f>(V22/((0.895*8.34)*0.29))*2000</f>
        <v>126.57953005732575</v>
      </c>
      <c r="AG22" s="207">
        <f>(W22/((0.895*8.34)*0.29))*2000</f>
        <v>138.59072634013768</v>
      </c>
      <c r="AH22" s="207">
        <f>(X22/((0.895*8.34)*0.29))*2000</f>
        <v>149.67798444734871</v>
      </c>
      <c r="AI22" s="208">
        <f>(Y22/((0.895*8.34)*0.29))*2000</f>
        <v>168.15674795936707</v>
      </c>
    </row>
    <row r="23" spans="1:35" x14ac:dyDescent="0.25">
      <c r="A23" s="597" t="s">
        <v>145</v>
      </c>
      <c r="B23" s="598"/>
      <c r="C23" s="599">
        <f>G15+U15+V15</f>
        <v>0</v>
      </c>
      <c r="D23" s="588"/>
      <c r="E23" s="600">
        <f>G16+U16+V16</f>
        <v>0</v>
      </c>
      <c r="F23" s="601"/>
      <c r="G23" s="602">
        <f>C23*2000</f>
        <v>0</v>
      </c>
      <c r="H23" s="602"/>
      <c r="I23" s="202" t="s">
        <v>146</v>
      </c>
      <c r="J23" s="603">
        <f>(G23/(8.34*1.055))/400</f>
        <v>0</v>
      </c>
      <c r="K23" s="604"/>
      <c r="L23" s="203" t="s">
        <v>147</v>
      </c>
      <c r="M23" s="605">
        <f t="shared" ref="M23:M31" si="9">ROUNDUP(J23,0)</f>
        <v>0</v>
      </c>
      <c r="N23" s="589"/>
      <c r="O23" s="596">
        <f>(M23*400*8.34*1.055)*$Y$23</f>
        <v>0</v>
      </c>
      <c r="P23" s="593"/>
      <c r="Q23" s="196"/>
      <c r="R23" s="594" t="s">
        <v>145</v>
      </c>
      <c r="S23" s="595"/>
      <c r="T23" s="595"/>
      <c r="U23" s="244" t="s">
        <v>146</v>
      </c>
      <c r="V23" s="359"/>
      <c r="W23" s="360"/>
      <c r="X23" s="360"/>
      <c r="Y23" s="360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597" t="s">
        <v>148</v>
      </c>
      <c r="B24" s="598"/>
      <c r="C24" s="599">
        <f>H15</f>
        <v>228.35914081974164</v>
      </c>
      <c r="D24" s="588"/>
      <c r="E24" s="600">
        <f>H16</f>
        <v>34913.829039930293</v>
      </c>
      <c r="F24" s="601"/>
      <c r="G24" s="602">
        <f>C24</f>
        <v>228.35914081974164</v>
      </c>
      <c r="H24" s="602"/>
      <c r="I24" s="202" t="s">
        <v>149</v>
      </c>
      <c r="J24" s="603">
        <f>(G24*2000)/40000</f>
        <v>11.417957040987082</v>
      </c>
      <c r="K24" s="604"/>
      <c r="L24" s="203" t="s">
        <v>143</v>
      </c>
      <c r="M24" s="605">
        <f t="shared" si="9"/>
        <v>12</v>
      </c>
      <c r="N24" s="589"/>
      <c r="O24" s="596">
        <f>((M24*40000)/2000)*$Y$24</f>
        <v>36693.599999999999</v>
      </c>
      <c r="P24" s="593"/>
      <c r="Q24" s="196"/>
      <c r="R24" s="594" t="s">
        <v>148</v>
      </c>
      <c r="S24" s="595"/>
      <c r="T24" s="595"/>
      <c r="U24" s="244" t="s">
        <v>149</v>
      </c>
      <c r="V24" s="359">
        <v>145.61000000000001</v>
      </c>
      <c r="W24" s="360">
        <v>145.61000000000001</v>
      </c>
      <c r="X24" s="360">
        <v>152.88999999999999</v>
      </c>
      <c r="Y24" s="250">
        <v>152.88999999999999</v>
      </c>
      <c r="Z24" s="246" t="s">
        <v>146</v>
      </c>
      <c r="AA24" s="205">
        <f>V24/2000</f>
        <v>7.2805000000000009E-2</v>
      </c>
      <c r="AB24" s="205">
        <f>W24/2000</f>
        <v>7.2805000000000009E-2</v>
      </c>
      <c r="AC24" s="205">
        <f>X24/2000</f>
        <v>7.6444999999999999E-2</v>
      </c>
      <c r="AD24" s="205">
        <f>Y24/2000</f>
        <v>7.6444999999999999E-2</v>
      </c>
      <c r="AE24" s="206" t="s">
        <v>144</v>
      </c>
      <c r="AF24" s="207">
        <f>V24</f>
        <v>145.61000000000001</v>
      </c>
      <c r="AG24" s="207">
        <f>W24</f>
        <v>145.61000000000001</v>
      </c>
      <c r="AH24" s="207">
        <f>X24</f>
        <v>152.88999999999999</v>
      </c>
      <c r="AI24" s="207">
        <f>Y24</f>
        <v>152.88999999999999</v>
      </c>
    </row>
    <row r="25" spans="1:35" ht="15.75" customHeight="1" x14ac:dyDescent="0.25">
      <c r="A25" s="597" t="s">
        <v>150</v>
      </c>
      <c r="B25" s="598"/>
      <c r="C25" s="599">
        <f>T15</f>
        <v>0</v>
      </c>
      <c r="D25" s="588"/>
      <c r="E25" s="600">
        <f>T16</f>
        <v>0</v>
      </c>
      <c r="F25" s="601"/>
      <c r="G25" s="602">
        <f>C25*2000</f>
        <v>0</v>
      </c>
      <c r="H25" s="602"/>
      <c r="I25" s="202" t="s">
        <v>151</v>
      </c>
      <c r="J25" s="603">
        <f>G25/45000</f>
        <v>0</v>
      </c>
      <c r="K25" s="604"/>
      <c r="L25" s="203" t="s">
        <v>143</v>
      </c>
      <c r="M25" s="605">
        <f t="shared" si="9"/>
        <v>0</v>
      </c>
      <c r="N25" s="589"/>
      <c r="O25" s="596">
        <f>J25*45000*$Y$25</f>
        <v>0</v>
      </c>
      <c r="P25" s="593"/>
      <c r="Q25" s="196"/>
      <c r="R25" s="594" t="s">
        <v>150</v>
      </c>
      <c r="S25" s="595"/>
      <c r="T25" s="595"/>
      <c r="U25" s="244" t="s">
        <v>151</v>
      </c>
      <c r="V25" s="249"/>
      <c r="W25" s="204"/>
      <c r="X25" s="204"/>
      <c r="Y25" s="250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597" t="s">
        <v>152</v>
      </c>
      <c r="B26" s="598"/>
      <c r="C26" s="599">
        <f>F15+S15</f>
        <v>49.113666248683842</v>
      </c>
      <c r="D26" s="588"/>
      <c r="E26" s="600">
        <f>F16+S16</f>
        <v>50095.939573657517</v>
      </c>
      <c r="F26" s="601"/>
      <c r="G26" s="602">
        <f>C26</f>
        <v>49.113666248683842</v>
      </c>
      <c r="H26" s="602"/>
      <c r="I26" s="202" t="s">
        <v>149</v>
      </c>
      <c r="J26" s="603">
        <f>(G26*2000)/45000</f>
        <v>2.1828296110526151</v>
      </c>
      <c r="K26" s="604"/>
      <c r="L26" s="203" t="s">
        <v>143</v>
      </c>
      <c r="M26" s="605">
        <f t="shared" si="9"/>
        <v>3</v>
      </c>
      <c r="N26" s="589"/>
      <c r="O26" s="596">
        <f>((M26*45000)/2000)*$Y$26</f>
        <v>68850</v>
      </c>
      <c r="P26" s="593"/>
      <c r="Q26" s="196"/>
      <c r="R26" s="594" t="s">
        <v>152</v>
      </c>
      <c r="S26" s="595"/>
      <c r="T26" s="595"/>
      <c r="U26" s="244" t="s">
        <v>149</v>
      </c>
      <c r="V26" s="359">
        <v>1020</v>
      </c>
      <c r="W26" s="360">
        <v>1020</v>
      </c>
      <c r="X26" s="360">
        <v>1020</v>
      </c>
      <c r="Y26" s="250">
        <v>1020</v>
      </c>
      <c r="Z26" s="246" t="s">
        <v>142</v>
      </c>
      <c r="AA26" s="205">
        <f>(V26/2000)*8.34*1.04*1</f>
        <v>4.4235360000000004</v>
      </c>
      <c r="AB26" s="205">
        <f t="shared" ref="AB26:AD26" si="10">(W26/2000)*8.34*1.04*1</f>
        <v>4.4235360000000004</v>
      </c>
      <c r="AC26" s="205">
        <f t="shared" si="10"/>
        <v>4.4235360000000004</v>
      </c>
      <c r="AD26" s="205">
        <f t="shared" si="10"/>
        <v>4.4235360000000004</v>
      </c>
      <c r="AE26" s="206" t="s">
        <v>144</v>
      </c>
      <c r="AF26" s="207">
        <f t="shared" ref="AF26:AI28" si="11">V26</f>
        <v>1020</v>
      </c>
      <c r="AG26" s="207">
        <f t="shared" si="11"/>
        <v>1020</v>
      </c>
      <c r="AH26" s="207">
        <f t="shared" si="11"/>
        <v>1020</v>
      </c>
      <c r="AI26" s="208">
        <f t="shared" si="11"/>
        <v>1020</v>
      </c>
    </row>
    <row r="27" spans="1:35" x14ac:dyDescent="0.25">
      <c r="A27" s="597" t="s">
        <v>153</v>
      </c>
      <c r="B27" s="598"/>
      <c r="C27" s="599">
        <f>M15+Z15+AD15</f>
        <v>68.110132247587671</v>
      </c>
      <c r="D27" s="588"/>
      <c r="E27" s="600">
        <f>M16+Z16+AD16</f>
        <v>56190.859104259827</v>
      </c>
      <c r="F27" s="601"/>
      <c r="G27" s="602">
        <f>C27</f>
        <v>68.110132247587671</v>
      </c>
      <c r="H27" s="602"/>
      <c r="I27" s="202" t="s">
        <v>149</v>
      </c>
      <c r="J27" s="603">
        <f>G27/8</f>
        <v>8.5137665309484589</v>
      </c>
      <c r="K27" s="604"/>
      <c r="L27" s="203" t="s">
        <v>143</v>
      </c>
      <c r="M27" s="605">
        <f t="shared" si="9"/>
        <v>9</v>
      </c>
      <c r="N27" s="589"/>
      <c r="O27" s="596">
        <f>M27*8*$Y$27</f>
        <v>59400</v>
      </c>
      <c r="P27" s="593"/>
      <c r="Q27" s="196"/>
      <c r="R27" s="594" t="s">
        <v>153</v>
      </c>
      <c r="S27" s="595"/>
      <c r="T27" s="595"/>
      <c r="U27" s="244" t="s">
        <v>149</v>
      </c>
      <c r="V27" s="359">
        <v>610</v>
      </c>
      <c r="W27" s="360">
        <v>705</v>
      </c>
      <c r="X27" s="360">
        <v>825</v>
      </c>
      <c r="Y27" s="250">
        <v>825</v>
      </c>
      <c r="Z27" s="246" t="s">
        <v>146</v>
      </c>
      <c r="AA27" s="205">
        <f>V27/2000</f>
        <v>0.30499999999999999</v>
      </c>
      <c r="AB27" s="205">
        <f>W27/2000</f>
        <v>0.35249999999999998</v>
      </c>
      <c r="AC27" s="205">
        <f>X27/2000</f>
        <v>0.41249999999999998</v>
      </c>
      <c r="AD27" s="205">
        <f>Y27/2000</f>
        <v>0.41249999999999998</v>
      </c>
      <c r="AE27" s="206" t="s">
        <v>144</v>
      </c>
      <c r="AF27" s="207">
        <f t="shared" si="11"/>
        <v>610</v>
      </c>
      <c r="AG27" s="207">
        <f t="shared" si="11"/>
        <v>705</v>
      </c>
      <c r="AH27" s="207">
        <f t="shared" si="11"/>
        <v>825</v>
      </c>
      <c r="AI27" s="208">
        <f t="shared" si="11"/>
        <v>825</v>
      </c>
    </row>
    <row r="28" spans="1:35" x14ac:dyDescent="0.25">
      <c r="A28" s="597" t="s">
        <v>154</v>
      </c>
      <c r="B28" s="598"/>
      <c r="C28" s="599">
        <f>D15+L15+R15+Y15</f>
        <v>357.93519896991285</v>
      </c>
      <c r="D28" s="588"/>
      <c r="E28" s="600">
        <f>D16+L16+R16+Y16</f>
        <v>275252.16800786299</v>
      </c>
      <c r="F28" s="601"/>
      <c r="G28" s="602">
        <f>C28</f>
        <v>357.93519896991285</v>
      </c>
      <c r="H28" s="602"/>
      <c r="I28" s="202" t="s">
        <v>144</v>
      </c>
      <c r="J28" s="603">
        <f>((G28/0.38)*2000)/45000</f>
        <v>41.863765961393312</v>
      </c>
      <c r="K28" s="604"/>
      <c r="L28" s="203" t="s">
        <v>143</v>
      </c>
      <c r="M28" s="605">
        <f t="shared" si="9"/>
        <v>42</v>
      </c>
      <c r="N28" s="589"/>
      <c r="O28" s="596">
        <f>((M28*45000*0.38)/2000)*$Y$28</f>
        <v>276147.90000000002</v>
      </c>
      <c r="P28" s="593"/>
      <c r="Q28" s="196"/>
      <c r="R28" s="594" t="s">
        <v>154</v>
      </c>
      <c r="S28" s="595"/>
      <c r="T28" s="595"/>
      <c r="U28" s="244" t="s">
        <v>144</v>
      </c>
      <c r="V28" s="249">
        <v>644</v>
      </c>
      <c r="W28" s="204">
        <v>644</v>
      </c>
      <c r="X28" s="204">
        <v>694</v>
      </c>
      <c r="Y28" s="250">
        <v>769</v>
      </c>
      <c r="Z28" s="246" t="s">
        <v>142</v>
      </c>
      <c r="AA28" s="205">
        <f>(V28/2000)*8.34*1.4*0.38</f>
        <v>1.4286753599999999</v>
      </c>
      <c r="AB28" s="205">
        <f>(W28/2000)*8.34*1.4*0.38</f>
        <v>1.4286753599999999</v>
      </c>
      <c r="AC28" s="205">
        <f>(X28/2000)*8.34*1.4*0.38</f>
        <v>1.5395973599999997</v>
      </c>
      <c r="AD28" s="205">
        <f>(Y28/2000)*8.34*1.4*0.38</f>
        <v>1.7059803599999999</v>
      </c>
      <c r="AE28" s="206" t="s">
        <v>144</v>
      </c>
      <c r="AF28" s="207">
        <f t="shared" si="11"/>
        <v>644</v>
      </c>
      <c r="AG28" s="207">
        <f t="shared" si="11"/>
        <v>644</v>
      </c>
      <c r="AH28" s="207">
        <f t="shared" si="11"/>
        <v>694</v>
      </c>
      <c r="AI28" s="208">
        <f t="shared" si="11"/>
        <v>769</v>
      </c>
    </row>
    <row r="29" spans="1:35" x14ac:dyDescent="0.25">
      <c r="A29" s="597" t="s">
        <v>155</v>
      </c>
      <c r="B29" s="598"/>
      <c r="C29" s="599">
        <f>I15</f>
        <v>8.4155804092106585</v>
      </c>
      <c r="D29" s="588"/>
      <c r="E29" s="600">
        <f>I16</f>
        <v>19476.057518458951</v>
      </c>
      <c r="F29" s="601"/>
      <c r="G29" s="602">
        <f>C29/0.35</f>
        <v>24.044515454887598</v>
      </c>
      <c r="H29" s="602"/>
      <c r="I29" s="202" t="s">
        <v>149</v>
      </c>
      <c r="J29" s="603">
        <f>(G29*2000)/45000</f>
        <v>1.0686451313283376</v>
      </c>
      <c r="K29" s="604"/>
      <c r="L29" s="203" t="s">
        <v>143</v>
      </c>
      <c r="M29" s="605">
        <f t="shared" si="9"/>
        <v>2</v>
      </c>
      <c r="N29" s="589"/>
      <c r="O29" s="596">
        <f>((M29*45000)/2000)*$Y$29</f>
        <v>36450</v>
      </c>
      <c r="P29" s="593"/>
      <c r="Q29" s="196"/>
      <c r="R29" s="594" t="s">
        <v>155</v>
      </c>
      <c r="S29" s="595"/>
      <c r="T29" s="595"/>
      <c r="U29" s="244" t="s">
        <v>149</v>
      </c>
      <c r="V29" s="249">
        <v>790</v>
      </c>
      <c r="W29" s="204">
        <v>810</v>
      </c>
      <c r="X29" s="204">
        <v>810</v>
      </c>
      <c r="Y29" s="250">
        <v>810</v>
      </c>
      <c r="Z29" s="246" t="s">
        <v>142</v>
      </c>
      <c r="AA29" s="205">
        <f>(V29/2000)*8.34*1.135</f>
        <v>3.7390305000000001</v>
      </c>
      <c r="AB29" s="205">
        <f>(W29/2000)*8.34*1.135</f>
        <v>3.8336895000000006</v>
      </c>
      <c r="AC29" s="205">
        <f>(X29/2000)*8.34*1.135</f>
        <v>3.8336895000000006</v>
      </c>
      <c r="AD29" s="205">
        <f>(Y29/2000)*8.34*1.135</f>
        <v>3.8336895000000006</v>
      </c>
      <c r="AE29" s="206" t="s">
        <v>144</v>
      </c>
      <c r="AF29" s="207">
        <f>V29/0.35</f>
        <v>2257.1428571428573</v>
      </c>
      <c r="AG29" s="207">
        <f>W29/0.35</f>
        <v>2314.2857142857142</v>
      </c>
      <c r="AH29" s="207">
        <f>X29/0.35</f>
        <v>2314.2857142857142</v>
      </c>
      <c r="AI29" s="208">
        <f>Y29/0.35</f>
        <v>2314.2857142857142</v>
      </c>
    </row>
    <row r="30" spans="1:35" x14ac:dyDescent="0.25">
      <c r="A30" s="597" t="s">
        <v>156</v>
      </c>
      <c r="B30" s="598"/>
      <c r="C30" s="599">
        <f>C15+Q15+AE15</f>
        <v>7.5841216374297939</v>
      </c>
      <c r="D30" s="588"/>
      <c r="E30" s="600">
        <f>C16+Q16+AE16</f>
        <v>40499.209543875098</v>
      </c>
      <c r="F30" s="601"/>
      <c r="G30" s="602">
        <f>C30*2000</f>
        <v>15168.243274859587</v>
      </c>
      <c r="H30" s="602"/>
      <c r="I30" s="202" t="s">
        <v>151</v>
      </c>
      <c r="J30" s="603">
        <f>G30/3300</f>
        <v>4.5964373560180567</v>
      </c>
      <c r="K30" s="604"/>
      <c r="L30" s="203" t="s">
        <v>157</v>
      </c>
      <c r="M30" s="605">
        <f t="shared" si="9"/>
        <v>5</v>
      </c>
      <c r="N30" s="589"/>
      <c r="O30" s="596">
        <f>M30*3300*$Y$30</f>
        <v>44055</v>
      </c>
      <c r="P30" s="593"/>
      <c r="Q30" s="196"/>
      <c r="R30" s="594" t="s">
        <v>156</v>
      </c>
      <c r="S30" s="595"/>
      <c r="T30" s="595"/>
      <c r="U30" s="244" t="s">
        <v>151</v>
      </c>
      <c r="V30" s="249">
        <v>2.67</v>
      </c>
      <c r="W30" s="204">
        <v>2.67</v>
      </c>
      <c r="X30" s="204">
        <v>2.67</v>
      </c>
      <c r="Y30" s="250">
        <v>2.67</v>
      </c>
      <c r="Z30" s="246" t="s">
        <v>142</v>
      </c>
      <c r="AA30" s="205">
        <f>(8.34*1.029*0.03)*V30</f>
        <v>0.68740698599999983</v>
      </c>
      <c r="AB30" s="205">
        <f>(8.34*1.029*0.03)*W30</f>
        <v>0.68740698599999983</v>
      </c>
      <c r="AC30" s="205">
        <f>(8.34*1.029*0.03)*X30</f>
        <v>0.68740698599999983</v>
      </c>
      <c r="AD30" s="205">
        <f>(8.34*1.029*0.03)*Y30</f>
        <v>0.68740698599999983</v>
      </c>
      <c r="AE30" s="206" t="s">
        <v>144</v>
      </c>
      <c r="AF30" s="207">
        <f>V30*2000</f>
        <v>5340</v>
      </c>
      <c r="AG30" s="207">
        <f>W30*2000</f>
        <v>5340</v>
      </c>
      <c r="AH30" s="207">
        <f>X30*2000</f>
        <v>5340</v>
      </c>
      <c r="AI30" s="208">
        <f>Y30*2000</f>
        <v>5340</v>
      </c>
    </row>
    <row r="31" spans="1:35" ht="15.75" thickBot="1" x14ac:dyDescent="0.3">
      <c r="A31" s="609" t="s">
        <v>158</v>
      </c>
      <c r="B31" s="610"/>
      <c r="C31" s="611">
        <f>E15+O15+AB15</f>
        <v>858.98686695822857</v>
      </c>
      <c r="D31" s="612"/>
      <c r="E31" s="613">
        <f>E16+O16+AB16</f>
        <v>828664.63055460318</v>
      </c>
      <c r="F31" s="614"/>
      <c r="G31" s="615">
        <f>(C31/0.5)*2000</f>
        <v>3435947.4678329141</v>
      </c>
      <c r="H31" s="615"/>
      <c r="I31" s="209" t="s">
        <v>146</v>
      </c>
      <c r="J31" s="616">
        <f>G31/45000</f>
        <v>76.354388174064752</v>
      </c>
      <c r="K31" s="617"/>
      <c r="L31" s="210" t="s">
        <v>143</v>
      </c>
      <c r="M31" s="618">
        <f t="shared" si="9"/>
        <v>77</v>
      </c>
      <c r="N31" s="619"/>
      <c r="O31" s="620">
        <f>M31*45000*$Y$31</f>
        <v>835671.375</v>
      </c>
      <c r="P31" s="621"/>
      <c r="Q31" s="196"/>
      <c r="R31" s="622" t="s">
        <v>158</v>
      </c>
      <c r="S31" s="623"/>
      <c r="T31" s="623"/>
      <c r="U31" s="245" t="s">
        <v>146</v>
      </c>
      <c r="V31" s="251">
        <v>0.15165999999999999</v>
      </c>
      <c r="W31" s="252">
        <v>0.18362999999999999</v>
      </c>
      <c r="X31" s="252">
        <v>0.209205</v>
      </c>
      <c r="Y31" s="337">
        <v>0.241175</v>
      </c>
      <c r="Z31" s="247" t="s">
        <v>142</v>
      </c>
      <c r="AA31" s="211">
        <f>V31*8.34*1.54</f>
        <v>1.9478603759999999</v>
      </c>
      <c r="AB31" s="211">
        <f>W31*8.34*1.54</f>
        <v>2.358470268</v>
      </c>
      <c r="AC31" s="211">
        <f>X31*8.34*1.54</f>
        <v>2.6869453380000001</v>
      </c>
      <c r="AD31" s="211">
        <f>Y31*8.34*1.54</f>
        <v>3.0975552300000002</v>
      </c>
      <c r="AE31" s="212" t="s">
        <v>144</v>
      </c>
      <c r="AF31" s="213">
        <f>(V31*2000)/0.5</f>
        <v>606.64</v>
      </c>
      <c r="AG31" s="213">
        <f>(W31*2000)/0.5</f>
        <v>734.52</v>
      </c>
      <c r="AH31" s="213">
        <f>(X31*2000)/0.5</f>
        <v>836.82</v>
      </c>
      <c r="AI31" s="214">
        <f>(Y31*2000)/0.5</f>
        <v>964.7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algorithmName="SHA-512" hashValue="yzPyphs9Thh4Y1EDkX9GrtQ3PFG4p/ZEbYpwBK81hvFPPxDrT75NIGAnOU2JQtG9yW+uFuACXOdaXCr4My/SUQ==" saltValue="DGsAKDcppeNmM+SDsmigAg==" spinCount="100000" sheet="1" objects="1" scenarios="1" selectLockedCells="1" selectUnlockedCells="1"/>
  <mergeCells count="135"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63"/>
  <sheetViews>
    <sheetView zoomScale="90" zoomScaleNormal="90" workbookViewId="0">
      <selection activeCell="AJ41" sqref="AJ41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  <c r="AV5" t="s">
        <v>169</v>
      </c>
      <c r="AW5" s="335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404" t="s">
        <v>28</v>
      </c>
      <c r="AE7" s="404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44197</v>
      </c>
      <c r="B8" s="59"/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59">
        <v>190.83459052244837</v>
      </c>
      <c r="J8" s="60">
        <v>673.65379679997818</v>
      </c>
      <c r="K8" s="60">
        <v>39.75670847694083</v>
      </c>
      <c r="L8" s="60">
        <v>0</v>
      </c>
      <c r="M8" s="50">
        <v>0</v>
      </c>
      <c r="N8" s="61">
        <v>0</v>
      </c>
      <c r="O8" s="49">
        <v>0</v>
      </c>
      <c r="P8" s="60">
        <v>0</v>
      </c>
      <c r="Q8" s="50">
        <v>0</v>
      </c>
      <c r="R8" s="63">
        <v>0</v>
      </c>
      <c r="S8" s="60">
        <v>0</v>
      </c>
      <c r="T8" s="64">
        <v>0</v>
      </c>
      <c r="U8" s="65">
        <v>330.47769404517408</v>
      </c>
      <c r="V8" s="62">
        <v>0</v>
      </c>
      <c r="W8" s="62">
        <v>53.638725312550903</v>
      </c>
      <c r="X8" s="62">
        <v>0</v>
      </c>
      <c r="Y8" s="66">
        <v>240.59232299327869</v>
      </c>
      <c r="Z8" s="66">
        <v>0</v>
      </c>
      <c r="AA8" s="67">
        <v>0</v>
      </c>
      <c r="AB8" s="68">
        <v>68.772472794851183</v>
      </c>
      <c r="AC8" s="69">
        <v>0</v>
      </c>
      <c r="AD8" s="403">
        <v>15.241836070197667</v>
      </c>
      <c r="AE8" s="403">
        <v>0</v>
      </c>
      <c r="AF8" s="69">
        <v>13.364859847889983</v>
      </c>
      <c r="AG8" s="68">
        <v>13.155816691726091</v>
      </c>
      <c r="AH8" s="68">
        <v>0</v>
      </c>
      <c r="AI8" s="68">
        <v>1</v>
      </c>
      <c r="AJ8" s="69">
        <v>278.97053940296172</v>
      </c>
      <c r="AK8" s="69">
        <v>420.00004235903413</v>
      </c>
      <c r="AL8" s="69">
        <v>987.48981997172041</v>
      </c>
      <c r="AM8" s="69">
        <v>367.65545654296875</v>
      </c>
      <c r="AN8" s="69">
        <v>1516.4111022949219</v>
      </c>
      <c r="AO8" s="69">
        <v>2034.3110029856362</v>
      </c>
      <c r="AP8" s="69">
        <v>632.26101085344953</v>
      </c>
      <c r="AQ8" s="69">
        <v>2017.8995964686076</v>
      </c>
      <c r="AR8" s="69">
        <v>246.62148956457779</v>
      </c>
      <c r="AS8" s="69">
        <v>580.2219692548116</v>
      </c>
    </row>
    <row r="9" spans="1:49" x14ac:dyDescent="0.25">
      <c r="A9" s="11">
        <v>44198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204.91997159322077</v>
      </c>
      <c r="J9" s="60">
        <v>636.30250310897975</v>
      </c>
      <c r="K9" s="60">
        <v>37.050185706218159</v>
      </c>
      <c r="L9" s="60">
        <v>0</v>
      </c>
      <c r="M9" s="5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347.66725836859683</v>
      </c>
      <c r="V9" s="62">
        <v>0</v>
      </c>
      <c r="W9" s="62">
        <v>58.204670993487035</v>
      </c>
      <c r="X9" s="62">
        <v>0</v>
      </c>
      <c r="Y9" s="66">
        <v>239.54168734550456</v>
      </c>
      <c r="Z9" s="66">
        <v>0</v>
      </c>
      <c r="AA9" s="67">
        <v>0</v>
      </c>
      <c r="AB9" s="68">
        <v>65.125665373272454</v>
      </c>
      <c r="AC9" s="69">
        <v>0</v>
      </c>
      <c r="AD9" s="402">
        <v>14.396976664322981</v>
      </c>
      <c r="AE9" s="402">
        <v>0</v>
      </c>
      <c r="AF9" s="69">
        <v>14.209689834382791</v>
      </c>
      <c r="AG9" s="68">
        <v>14.00009220475838</v>
      </c>
      <c r="AH9" s="68">
        <v>0</v>
      </c>
      <c r="AI9" s="68">
        <v>1</v>
      </c>
      <c r="AJ9" s="69">
        <v>281.99499556223549</v>
      </c>
      <c r="AK9" s="69">
        <v>418.09082676569608</v>
      </c>
      <c r="AL9" s="69">
        <v>975.66010878880832</v>
      </c>
      <c r="AM9" s="69">
        <v>367.65545654296875</v>
      </c>
      <c r="AN9" s="69">
        <v>1516.4111022949219</v>
      </c>
      <c r="AO9" s="69">
        <v>1986.8144943237298</v>
      </c>
      <c r="AP9" s="69">
        <v>620.74926490783685</v>
      </c>
      <c r="AQ9" s="69">
        <v>2035.0757602691651</v>
      </c>
      <c r="AR9" s="69">
        <v>272.22487327257801</v>
      </c>
      <c r="AS9" s="69">
        <v>581.93208503723145</v>
      </c>
    </row>
    <row r="10" spans="1:49" x14ac:dyDescent="0.25">
      <c r="A10" s="11">
        <v>44199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204.90246308644637</v>
      </c>
      <c r="J10" s="60">
        <v>637.72770264943676</v>
      </c>
      <c r="K10" s="60">
        <v>37.172672927379551</v>
      </c>
      <c r="L10" s="6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342.7297867880896</v>
      </c>
      <c r="V10" s="62">
        <v>0</v>
      </c>
      <c r="W10" s="62">
        <v>56.577978769938056</v>
      </c>
      <c r="X10" s="62">
        <v>0</v>
      </c>
      <c r="Y10" s="66">
        <v>230.89745639165264</v>
      </c>
      <c r="Z10" s="66">
        <v>0</v>
      </c>
      <c r="AA10" s="67">
        <v>0</v>
      </c>
      <c r="AB10" s="68">
        <v>65.150181473626191</v>
      </c>
      <c r="AC10" s="69">
        <v>0</v>
      </c>
      <c r="AD10" s="402">
        <v>14.432667022560867</v>
      </c>
      <c r="AE10" s="402">
        <v>0</v>
      </c>
      <c r="AF10" s="69">
        <v>14.040362315707714</v>
      </c>
      <c r="AG10" s="68">
        <v>13.824738872773494</v>
      </c>
      <c r="AH10" s="68">
        <v>0</v>
      </c>
      <c r="AI10" s="68">
        <v>1</v>
      </c>
      <c r="AJ10" s="69">
        <v>274.67371163368222</v>
      </c>
      <c r="AK10" s="69">
        <v>407.39190767606107</v>
      </c>
      <c r="AL10" s="69">
        <v>895.8854655583699</v>
      </c>
      <c r="AM10" s="69">
        <v>367.65545654296875</v>
      </c>
      <c r="AN10" s="69">
        <v>1516.4111022949219</v>
      </c>
      <c r="AO10" s="69">
        <v>1998.4229469299316</v>
      </c>
      <c r="AP10" s="69">
        <v>615.55455643335983</v>
      </c>
      <c r="AQ10" s="69">
        <v>2038.4296723683674</v>
      </c>
      <c r="AR10" s="69">
        <v>267.47079901695253</v>
      </c>
      <c r="AS10" s="69">
        <v>573.20597375233967</v>
      </c>
    </row>
    <row r="11" spans="1:49" x14ac:dyDescent="0.25">
      <c r="A11" s="11">
        <v>44200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203.89298557440452</v>
      </c>
      <c r="J11" s="60">
        <v>635.65378551483298</v>
      </c>
      <c r="K11" s="60">
        <v>37.000677675008852</v>
      </c>
      <c r="L11" s="6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339.88601666556474</v>
      </c>
      <c r="V11" s="62">
        <v>0</v>
      </c>
      <c r="W11" s="62">
        <v>55.55128836631782</v>
      </c>
      <c r="X11" s="62">
        <v>0</v>
      </c>
      <c r="Y11" s="66">
        <v>229.92225490411124</v>
      </c>
      <c r="Z11" s="66">
        <v>0</v>
      </c>
      <c r="AA11" s="67">
        <v>0</v>
      </c>
      <c r="AB11" s="68">
        <v>65.009265804290749</v>
      </c>
      <c r="AC11" s="69">
        <v>0</v>
      </c>
      <c r="AD11" s="402">
        <v>14.384629456149472</v>
      </c>
      <c r="AE11" s="402">
        <v>0</v>
      </c>
      <c r="AF11" s="69">
        <v>13.921077406406395</v>
      </c>
      <c r="AG11" s="68">
        <v>13.754227276625171</v>
      </c>
      <c r="AH11" s="68">
        <v>0</v>
      </c>
      <c r="AI11" s="68">
        <v>1</v>
      </c>
      <c r="AJ11" s="69">
        <v>261.78613950411477</v>
      </c>
      <c r="AK11" s="69">
        <v>390.0997004350026</v>
      </c>
      <c r="AL11" s="69">
        <v>1037.1394587198893</v>
      </c>
      <c r="AM11" s="69">
        <v>367.65545654296875</v>
      </c>
      <c r="AN11" s="69">
        <v>1516.4111022949219</v>
      </c>
      <c r="AO11" s="69">
        <v>1988.0781295776367</v>
      </c>
      <c r="AP11" s="69">
        <v>604.87014282544453</v>
      </c>
      <c r="AQ11" s="69">
        <v>2119.6744852701822</v>
      </c>
      <c r="AR11" s="69">
        <v>326.50240489641823</v>
      </c>
      <c r="AS11" s="69">
        <v>611.95957361857086</v>
      </c>
    </row>
    <row r="12" spans="1:49" x14ac:dyDescent="0.25">
      <c r="A12" s="11">
        <v>44201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204.31063764095316</v>
      </c>
      <c r="J12" s="60">
        <v>635.23754580815819</v>
      </c>
      <c r="K12" s="60">
        <v>37.331203951438226</v>
      </c>
      <c r="L12" s="6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347.15060354867865</v>
      </c>
      <c r="V12" s="62">
        <v>0</v>
      </c>
      <c r="W12" s="62">
        <v>57.467475652694645</v>
      </c>
      <c r="X12" s="62">
        <v>0</v>
      </c>
      <c r="Y12" s="66">
        <v>230.66062998771665</v>
      </c>
      <c r="Z12" s="66">
        <v>0</v>
      </c>
      <c r="AA12" s="67">
        <v>0</v>
      </c>
      <c r="AB12" s="68">
        <v>65.08329057163705</v>
      </c>
      <c r="AC12" s="69">
        <v>0</v>
      </c>
      <c r="AD12" s="402">
        <v>14.374535934779464</v>
      </c>
      <c r="AE12" s="402">
        <v>0</v>
      </c>
      <c r="AF12" s="69">
        <v>14.154178365071596</v>
      </c>
      <c r="AG12" s="68">
        <v>13.99931749056438</v>
      </c>
      <c r="AH12" s="68">
        <v>0</v>
      </c>
      <c r="AI12" s="68">
        <v>1</v>
      </c>
      <c r="AJ12" s="69">
        <v>257.06841075420374</v>
      </c>
      <c r="AK12" s="69">
        <v>379.1599492232005</v>
      </c>
      <c r="AL12" s="69">
        <v>1053.4982749938965</v>
      </c>
      <c r="AM12" s="69">
        <v>367.65545654296875</v>
      </c>
      <c r="AN12" s="69">
        <v>1516.4111022949219</v>
      </c>
      <c r="AO12" s="69">
        <v>1965.7673474629721</v>
      </c>
      <c r="AP12" s="69">
        <v>596.29735081990555</v>
      </c>
      <c r="AQ12" s="69">
        <v>2077.6804651896155</v>
      </c>
      <c r="AR12" s="69">
        <v>316.09546032746636</v>
      </c>
      <c r="AS12" s="69">
        <v>615.07383012771606</v>
      </c>
    </row>
    <row r="13" spans="1:49" x14ac:dyDescent="0.25">
      <c r="A13" s="11">
        <v>44202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204.36731169223802</v>
      </c>
      <c r="J13" s="60">
        <v>635.12497043609631</v>
      </c>
      <c r="K13" s="60">
        <v>37.477351884047245</v>
      </c>
      <c r="L13" s="6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347.98330436282805</v>
      </c>
      <c r="V13" s="62">
        <v>0</v>
      </c>
      <c r="W13" s="62">
        <v>57.263460024197975</v>
      </c>
      <c r="X13" s="62">
        <v>0</v>
      </c>
      <c r="Y13" s="66">
        <v>228.65197207927716</v>
      </c>
      <c r="Z13" s="66">
        <v>0</v>
      </c>
      <c r="AA13" s="67">
        <v>0</v>
      </c>
      <c r="AB13" s="68">
        <v>65.084138117895435</v>
      </c>
      <c r="AC13" s="69">
        <v>0</v>
      </c>
      <c r="AD13" s="402">
        <v>14.373967496961551</v>
      </c>
      <c r="AE13" s="402">
        <v>0</v>
      </c>
      <c r="AF13" s="69">
        <v>14.02331090370812</v>
      </c>
      <c r="AG13" s="68">
        <v>13.880248380214432</v>
      </c>
      <c r="AH13" s="68">
        <v>0</v>
      </c>
      <c r="AI13" s="68">
        <v>1</v>
      </c>
      <c r="AJ13" s="69">
        <v>275.02704734802245</v>
      </c>
      <c r="AK13" s="69">
        <v>409.81030762990321</v>
      </c>
      <c r="AL13" s="69">
        <v>1000.0457773208618</v>
      </c>
      <c r="AM13" s="69">
        <v>367.65545654296875</v>
      </c>
      <c r="AN13" s="69">
        <v>1516.4111022949219</v>
      </c>
      <c r="AO13" s="69">
        <v>2003.0846500396731</v>
      </c>
      <c r="AP13" s="69">
        <v>655.55283072789518</v>
      </c>
      <c r="AQ13" s="69">
        <v>2016.3402203877763</v>
      </c>
      <c r="AR13" s="69">
        <v>303.930097023646</v>
      </c>
      <c r="AS13" s="69">
        <v>610.34540570576985</v>
      </c>
    </row>
    <row r="14" spans="1:49" x14ac:dyDescent="0.25">
      <c r="A14" s="11">
        <v>44203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207.49731969038655</v>
      </c>
      <c r="J14" s="60">
        <v>635.11234407425081</v>
      </c>
      <c r="K14" s="60">
        <v>37.454611543814345</v>
      </c>
      <c r="L14" s="6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343.61113580068337</v>
      </c>
      <c r="V14" s="62">
        <v>0</v>
      </c>
      <c r="W14" s="62">
        <v>57.459907523791031</v>
      </c>
      <c r="X14" s="62">
        <v>0</v>
      </c>
      <c r="Y14" s="66">
        <v>229.99298153718303</v>
      </c>
      <c r="Z14" s="66">
        <v>0</v>
      </c>
      <c r="AA14" s="67">
        <v>0</v>
      </c>
      <c r="AB14" s="68">
        <v>65.075659714804033</v>
      </c>
      <c r="AC14" s="69">
        <v>0</v>
      </c>
      <c r="AD14" s="402">
        <v>14.370435007923943</v>
      </c>
      <c r="AE14" s="402">
        <v>0</v>
      </c>
      <c r="AF14" s="69">
        <v>14.143118091424297</v>
      </c>
      <c r="AG14" s="68">
        <v>13.974366390460592</v>
      </c>
      <c r="AH14" s="68">
        <v>0</v>
      </c>
      <c r="AI14" s="68">
        <v>1</v>
      </c>
      <c r="AJ14" s="69">
        <v>275.18042866388953</v>
      </c>
      <c r="AK14" s="69">
        <v>410.81341767311091</v>
      </c>
      <c r="AL14" s="69">
        <v>955.28569119771328</v>
      </c>
      <c r="AM14" s="69">
        <v>367.65545654296875</v>
      </c>
      <c r="AN14" s="69">
        <v>1516.4111022949219</v>
      </c>
      <c r="AO14" s="69">
        <v>2014.3990838368734</v>
      </c>
      <c r="AP14" s="69">
        <v>631.81917215983071</v>
      </c>
      <c r="AQ14" s="69">
        <v>2022.7235382080078</v>
      </c>
      <c r="AR14" s="69">
        <v>304.17951900164286</v>
      </c>
      <c r="AS14" s="69">
        <v>611.07583583196026</v>
      </c>
    </row>
    <row r="15" spans="1:49" x14ac:dyDescent="0.25">
      <c r="A15" s="11">
        <v>44204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213.68546765645351</v>
      </c>
      <c r="J15" s="60">
        <v>635.19491408666181</v>
      </c>
      <c r="K15" s="60">
        <v>37.139349067211235</v>
      </c>
      <c r="L15" s="6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331.74121794171236</v>
      </c>
      <c r="V15" s="62">
        <v>0</v>
      </c>
      <c r="W15" s="62">
        <v>55.154762903849338</v>
      </c>
      <c r="X15" s="62">
        <v>0</v>
      </c>
      <c r="Y15" s="66">
        <v>224.15495038032518</v>
      </c>
      <c r="Z15" s="66">
        <v>0</v>
      </c>
      <c r="AA15" s="67">
        <v>0</v>
      </c>
      <c r="AB15" s="68">
        <v>65.091315987374941</v>
      </c>
      <c r="AC15" s="69">
        <v>0</v>
      </c>
      <c r="AD15" s="402">
        <v>14.37513201144318</v>
      </c>
      <c r="AE15" s="402">
        <v>0</v>
      </c>
      <c r="AF15" s="69">
        <v>13.756061199638561</v>
      </c>
      <c r="AG15" s="68">
        <v>13.59525230985663</v>
      </c>
      <c r="AH15" s="68">
        <v>0</v>
      </c>
      <c r="AI15" s="68">
        <v>1</v>
      </c>
      <c r="AJ15" s="69">
        <v>274.82115774949386</v>
      </c>
      <c r="AK15" s="69">
        <v>412.58340603510538</v>
      </c>
      <c r="AL15" s="69">
        <v>943.76997146606448</v>
      </c>
      <c r="AM15" s="69">
        <v>367.65545654296875</v>
      </c>
      <c r="AN15" s="69">
        <v>1516.4111022949219</v>
      </c>
      <c r="AO15" s="69">
        <v>2026.4226622263593</v>
      </c>
      <c r="AP15" s="69">
        <v>632.13633165359499</v>
      </c>
      <c r="AQ15" s="69">
        <v>2024.8738529841105</v>
      </c>
      <c r="AR15" s="69">
        <v>306.45821294784542</v>
      </c>
      <c r="AS15" s="69">
        <v>579.96623620986941</v>
      </c>
    </row>
    <row r="16" spans="1:49" x14ac:dyDescent="0.25">
      <c r="A16" s="11">
        <v>44205</v>
      </c>
      <c r="B16" s="49"/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1">
        <v>0</v>
      </c>
      <c r="I16" s="49">
        <v>213.83164642651877</v>
      </c>
      <c r="J16" s="50">
        <v>635.53286307652957</v>
      </c>
      <c r="K16" s="50">
        <v>37.187299789985033</v>
      </c>
      <c r="L16" s="6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327.84370311101424</v>
      </c>
      <c r="V16" s="66">
        <v>0</v>
      </c>
      <c r="W16" s="62">
        <v>54.705809636910651</v>
      </c>
      <c r="X16" s="62">
        <v>0</v>
      </c>
      <c r="Y16" s="66">
        <v>224.92668317159024</v>
      </c>
      <c r="Z16" s="66">
        <v>0</v>
      </c>
      <c r="AA16" s="67">
        <v>0</v>
      </c>
      <c r="AB16" s="68">
        <v>64.821098581950892</v>
      </c>
      <c r="AC16" s="69">
        <v>0</v>
      </c>
      <c r="AD16" s="402">
        <v>14.382297427158633</v>
      </c>
      <c r="AE16" s="402">
        <v>0</v>
      </c>
      <c r="AF16" s="69">
        <v>13.593519547912832</v>
      </c>
      <c r="AG16" s="68">
        <v>13.440042420301561</v>
      </c>
      <c r="AH16" s="68">
        <v>0</v>
      </c>
      <c r="AI16" s="68">
        <v>1</v>
      </c>
      <c r="AJ16" s="69">
        <v>286.99891858100892</v>
      </c>
      <c r="AK16" s="69">
        <v>434.583179918925</v>
      </c>
      <c r="AL16" s="69">
        <v>804.96238485972083</v>
      </c>
      <c r="AM16" s="69">
        <v>396.26369762420654</v>
      </c>
      <c r="AN16" s="69">
        <v>1516.4111022949219</v>
      </c>
      <c r="AO16" s="69">
        <v>2051.3412705739343</v>
      </c>
      <c r="AP16" s="69">
        <v>671.16818060874925</v>
      </c>
      <c r="AQ16" s="69">
        <v>2020.7122073491416</v>
      </c>
      <c r="AR16" s="69">
        <v>329.81924289067581</v>
      </c>
      <c r="AS16" s="69">
        <v>549.55768353144322</v>
      </c>
    </row>
    <row r="17" spans="1:45" x14ac:dyDescent="0.25">
      <c r="A17" s="11">
        <v>44206</v>
      </c>
      <c r="B17" s="59"/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1">
        <v>0</v>
      </c>
      <c r="I17" s="59">
        <v>213.52888650894164</v>
      </c>
      <c r="J17" s="60">
        <v>634.44783379236924</v>
      </c>
      <c r="K17" s="60">
        <v>37.439561998844127</v>
      </c>
      <c r="L17" s="6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336.88855412801195</v>
      </c>
      <c r="V17" s="62">
        <v>0</v>
      </c>
      <c r="W17" s="62">
        <v>56.291203316052787</v>
      </c>
      <c r="X17" s="62">
        <v>0</v>
      </c>
      <c r="Y17" s="66">
        <v>231.77452495892865</v>
      </c>
      <c r="Z17" s="66">
        <v>0</v>
      </c>
      <c r="AA17" s="67">
        <v>0</v>
      </c>
      <c r="AB17" s="68">
        <v>64.421251095666562</v>
      </c>
      <c r="AC17" s="69">
        <v>0</v>
      </c>
      <c r="AD17" s="402">
        <v>14.356698898434374</v>
      </c>
      <c r="AE17" s="402">
        <v>0</v>
      </c>
      <c r="AF17" s="69">
        <v>13.991160891453452</v>
      </c>
      <c r="AG17" s="68">
        <v>13.845197059851266</v>
      </c>
      <c r="AH17" s="68">
        <v>0</v>
      </c>
      <c r="AI17" s="68">
        <v>1</v>
      </c>
      <c r="AJ17" s="69">
        <v>288.82488566239681</v>
      </c>
      <c r="AK17" s="69">
        <v>434.97293155988046</v>
      </c>
      <c r="AL17" s="69">
        <v>938.93932704925521</v>
      </c>
      <c r="AM17" s="69">
        <v>448.59036254882813</v>
      </c>
      <c r="AN17" s="69">
        <v>1516.4111022949219</v>
      </c>
      <c r="AO17" s="69">
        <v>2047.3422552744546</v>
      </c>
      <c r="AP17" s="69">
        <v>664.81768229802447</v>
      </c>
      <c r="AQ17" s="69">
        <v>2057.1813616434733</v>
      </c>
      <c r="AR17" s="69">
        <v>344.19711648623149</v>
      </c>
      <c r="AS17" s="69">
        <v>574.17334079742443</v>
      </c>
    </row>
    <row r="18" spans="1:45" x14ac:dyDescent="0.25">
      <c r="A18" s="11">
        <v>44207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209.77430448532104</v>
      </c>
      <c r="J18" s="60">
        <v>616.46867167154949</v>
      </c>
      <c r="K18" s="60">
        <v>36.172263300418862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329.09110061857757</v>
      </c>
      <c r="V18" s="62">
        <v>0</v>
      </c>
      <c r="W18" s="62">
        <v>55.173340280850724</v>
      </c>
      <c r="X18" s="62">
        <v>0</v>
      </c>
      <c r="Y18" s="66">
        <v>226.69893720149989</v>
      </c>
      <c r="Z18" s="66">
        <v>0</v>
      </c>
      <c r="AA18" s="67">
        <v>0</v>
      </c>
      <c r="AB18" s="68">
        <v>62.656187017759493</v>
      </c>
      <c r="AC18" s="69">
        <v>0</v>
      </c>
      <c r="AD18" s="402">
        <v>13.947272706393615</v>
      </c>
      <c r="AE18" s="402">
        <v>0</v>
      </c>
      <c r="AF18" s="69">
        <v>13.69054820007746</v>
      </c>
      <c r="AG18" s="68">
        <v>13.522136158962583</v>
      </c>
      <c r="AH18" s="68">
        <v>0</v>
      </c>
      <c r="AI18" s="68">
        <v>1</v>
      </c>
      <c r="AJ18" s="69">
        <v>278.28378800551093</v>
      </c>
      <c r="AK18" s="69">
        <v>422.02119894027709</v>
      </c>
      <c r="AL18" s="69">
        <v>880.07589181264245</v>
      </c>
      <c r="AM18" s="69">
        <v>448.59036254882813</v>
      </c>
      <c r="AN18" s="69">
        <v>1516.4111022949219</v>
      </c>
      <c r="AO18" s="69">
        <v>2032.7816790262859</v>
      </c>
      <c r="AP18" s="69">
        <v>635.53524680137627</v>
      </c>
      <c r="AQ18" s="69">
        <v>2038.389215278625</v>
      </c>
      <c r="AR18" s="69">
        <v>337.31911619504302</v>
      </c>
      <c r="AS18" s="69">
        <v>608.15162766774495</v>
      </c>
    </row>
    <row r="19" spans="1:45" x14ac:dyDescent="0.25">
      <c r="A19" s="11">
        <v>44208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116.25211274623867</v>
      </c>
      <c r="J19" s="60">
        <v>372.49180094401021</v>
      </c>
      <c r="K19" s="60">
        <v>22.476611461242062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221.60824900733056</v>
      </c>
      <c r="V19" s="62">
        <v>0</v>
      </c>
      <c r="W19" s="62">
        <v>31.696743142604852</v>
      </c>
      <c r="X19" s="62">
        <v>0</v>
      </c>
      <c r="Y19" s="66">
        <v>130.76840000947308</v>
      </c>
      <c r="Z19" s="66">
        <v>0</v>
      </c>
      <c r="AA19" s="67">
        <v>0</v>
      </c>
      <c r="AB19" s="68">
        <v>37.519975015852374</v>
      </c>
      <c r="AC19" s="69">
        <v>0</v>
      </c>
      <c r="AD19" s="402">
        <v>8.425866616065381</v>
      </c>
      <c r="AE19" s="402">
        <v>0</v>
      </c>
      <c r="AF19" s="69">
        <v>7.9302123496929875</v>
      </c>
      <c r="AG19" s="68">
        <v>7.8277491225417561</v>
      </c>
      <c r="AH19" s="68">
        <v>0</v>
      </c>
      <c r="AI19" s="68">
        <v>1</v>
      </c>
      <c r="AJ19" s="69">
        <v>258.90945611794791</v>
      </c>
      <c r="AK19" s="69">
        <v>392.26586151123047</v>
      </c>
      <c r="AL19" s="69">
        <v>923.88554350535082</v>
      </c>
      <c r="AM19" s="69">
        <v>448.59036254882813</v>
      </c>
      <c r="AN19" s="69">
        <v>1516.4111022949219</v>
      </c>
      <c r="AO19" s="69">
        <v>2001.7970211029058</v>
      </c>
      <c r="AP19" s="69">
        <v>635.23222242991142</v>
      </c>
      <c r="AQ19" s="69">
        <v>1567.4815693537396</v>
      </c>
      <c r="AR19" s="69">
        <v>355.91880313555401</v>
      </c>
      <c r="AS19" s="69">
        <v>602.79227094650264</v>
      </c>
    </row>
    <row r="20" spans="1:45" x14ac:dyDescent="0.25">
      <c r="A20" s="11">
        <v>44209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30.63</v>
      </c>
      <c r="J20" s="60">
        <v>168.41</v>
      </c>
      <c r="K20" s="60">
        <v>10.06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99.43</v>
      </c>
      <c r="V20" s="62">
        <v>0</v>
      </c>
      <c r="W20" s="62">
        <v>15.02</v>
      </c>
      <c r="X20" s="62">
        <v>0</v>
      </c>
      <c r="Y20" s="66">
        <v>60.97</v>
      </c>
      <c r="Z20" s="66">
        <v>0</v>
      </c>
      <c r="AA20" s="67">
        <v>0</v>
      </c>
      <c r="AB20" s="68">
        <v>23.23</v>
      </c>
      <c r="AC20" s="69">
        <v>0</v>
      </c>
      <c r="AD20" s="402">
        <v>4</v>
      </c>
      <c r="AE20" s="402">
        <v>0</v>
      </c>
      <c r="AF20" s="69">
        <v>3.68</v>
      </c>
      <c r="AG20" s="68">
        <v>3.34</v>
      </c>
      <c r="AH20" s="68">
        <v>0</v>
      </c>
      <c r="AI20" s="68">
        <v>1</v>
      </c>
      <c r="AJ20" s="69">
        <v>244.37</v>
      </c>
      <c r="AK20" s="69">
        <v>365.5</v>
      </c>
      <c r="AL20" s="69">
        <v>1038.1600000000001</v>
      </c>
      <c r="AM20" s="69">
        <v>448.59</v>
      </c>
      <c r="AN20" s="69">
        <v>1516.41</v>
      </c>
      <c r="AO20" s="69">
        <v>1973.83</v>
      </c>
      <c r="AP20" s="69">
        <v>609.04</v>
      </c>
      <c r="AQ20" s="69">
        <v>953.16</v>
      </c>
      <c r="AR20" s="69">
        <v>276.68</v>
      </c>
      <c r="AS20" s="69">
        <v>626.42999999999995</v>
      </c>
    </row>
    <row r="21" spans="1:45" x14ac:dyDescent="0.25">
      <c r="A21" s="11">
        <v>44210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11.891130572557529</v>
      </c>
      <c r="AC21" s="69">
        <v>0</v>
      </c>
      <c r="AD21" s="402">
        <v>0</v>
      </c>
      <c r="AE21" s="402">
        <v>0</v>
      </c>
      <c r="AF21" s="69">
        <v>0</v>
      </c>
      <c r="AG21" s="68">
        <v>0</v>
      </c>
      <c r="AH21" s="68">
        <v>0</v>
      </c>
      <c r="AI21" s="68">
        <v>0</v>
      </c>
      <c r="AJ21" s="69">
        <v>270.94089088439944</v>
      </c>
      <c r="AK21" s="69">
        <v>399.40055500666301</v>
      </c>
      <c r="AL21" s="69">
        <v>965.8649536768595</v>
      </c>
      <c r="AM21" s="69">
        <v>448.59036254882813</v>
      </c>
      <c r="AN21" s="69">
        <v>1516.4111022949219</v>
      </c>
      <c r="AO21" s="69">
        <v>1999.5347524007161</v>
      </c>
      <c r="AP21" s="69">
        <v>636.73010749816888</v>
      </c>
      <c r="AQ21" s="69">
        <v>376.40044207572936</v>
      </c>
      <c r="AR21" s="69">
        <v>289.81132198969527</v>
      </c>
      <c r="AS21" s="69">
        <v>592.54455871582047</v>
      </c>
    </row>
    <row r="22" spans="1:45" x14ac:dyDescent="0.25">
      <c r="A22" s="11">
        <v>44211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11.891487850745577</v>
      </c>
      <c r="AC22" s="69">
        <v>0</v>
      </c>
      <c r="AD22" s="402">
        <v>0</v>
      </c>
      <c r="AE22" s="402">
        <v>0</v>
      </c>
      <c r="AF22" s="69">
        <v>0</v>
      </c>
      <c r="AG22" s="68">
        <v>0</v>
      </c>
      <c r="AH22" s="68">
        <v>0</v>
      </c>
      <c r="AI22" s="68">
        <v>0</v>
      </c>
      <c r="AJ22" s="69">
        <v>276.96266208489737</v>
      </c>
      <c r="AK22" s="69">
        <v>420.25037678082776</v>
      </c>
      <c r="AL22" s="69">
        <v>850.6299893697103</v>
      </c>
      <c r="AM22" s="69">
        <v>354.83667184511819</v>
      </c>
      <c r="AN22" s="69">
        <v>1516.4111022949219</v>
      </c>
      <c r="AO22" s="69">
        <v>2015.7283760070802</v>
      </c>
      <c r="AP22" s="69">
        <v>645.88620100021365</v>
      </c>
      <c r="AQ22" s="69">
        <v>394.35361081759135</v>
      </c>
      <c r="AR22" s="69">
        <v>263.14881970882413</v>
      </c>
      <c r="AS22" s="69">
        <v>616.71259028116856</v>
      </c>
    </row>
    <row r="23" spans="1:45" x14ac:dyDescent="0.25">
      <c r="A23" s="11">
        <v>44212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6.3445446199840658</v>
      </c>
      <c r="AC23" s="69">
        <v>0</v>
      </c>
      <c r="AD23" s="402">
        <v>0</v>
      </c>
      <c r="AE23" s="402">
        <v>0</v>
      </c>
      <c r="AF23" s="69">
        <v>0</v>
      </c>
      <c r="AG23" s="68">
        <v>0</v>
      </c>
      <c r="AH23" s="68">
        <v>0</v>
      </c>
      <c r="AI23" s="68">
        <v>0</v>
      </c>
      <c r="AJ23" s="69">
        <v>241.01308960914614</v>
      </c>
      <c r="AK23" s="69">
        <v>372.99895181655876</v>
      </c>
      <c r="AL23" s="69">
        <v>983.58640282948818</v>
      </c>
      <c r="AM23" s="69">
        <v>193.38182830810547</v>
      </c>
      <c r="AN23" s="69">
        <v>1516.4111022949219</v>
      </c>
      <c r="AO23" s="69">
        <v>1966.5500769297287</v>
      </c>
      <c r="AP23" s="69">
        <v>617.14861097335813</v>
      </c>
      <c r="AQ23" s="69">
        <v>399.91553643544518</v>
      </c>
      <c r="AR23" s="69">
        <v>167.81165126164757</v>
      </c>
      <c r="AS23" s="69">
        <v>587.75523192087803</v>
      </c>
    </row>
    <row r="24" spans="1:45" x14ac:dyDescent="0.25">
      <c r="A24" s="11">
        <v>44213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402">
        <v>0</v>
      </c>
      <c r="AE24" s="402">
        <v>0</v>
      </c>
      <c r="AF24" s="69">
        <v>0</v>
      </c>
      <c r="AG24" s="68">
        <v>0</v>
      </c>
      <c r="AH24" s="68">
        <v>0</v>
      </c>
      <c r="AI24" s="68">
        <v>0</v>
      </c>
      <c r="AJ24" s="69">
        <v>236.9661719957987</v>
      </c>
      <c r="AK24" s="69">
        <v>369.08381665547694</v>
      </c>
      <c r="AL24" s="69">
        <v>904.56958427429186</v>
      </c>
      <c r="AM24" s="69">
        <v>193.38182830810547</v>
      </c>
      <c r="AN24" s="69">
        <v>1516.4111022949219</v>
      </c>
      <c r="AO24" s="69">
        <v>1953.6913674672444</v>
      </c>
      <c r="AP24" s="69">
        <v>624.01802401542659</v>
      </c>
      <c r="AQ24" s="69">
        <v>384.48999656041468</v>
      </c>
      <c r="AR24" s="69">
        <v>156.70162825981777</v>
      </c>
      <c r="AS24" s="69">
        <v>572.1414628982543</v>
      </c>
    </row>
    <row r="25" spans="1:45" x14ac:dyDescent="0.25">
      <c r="A25" s="11">
        <v>44214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402">
        <v>0</v>
      </c>
      <c r="AE25" s="402">
        <v>0</v>
      </c>
      <c r="AF25" s="69">
        <v>0</v>
      </c>
      <c r="AG25" s="68">
        <v>0</v>
      </c>
      <c r="AH25" s="68">
        <v>0</v>
      </c>
      <c r="AI25" s="68">
        <v>0</v>
      </c>
      <c r="AJ25" s="69">
        <v>236.28911880652109</v>
      </c>
      <c r="AK25" s="69">
        <v>366.64415160814917</v>
      </c>
      <c r="AL25" s="69">
        <v>968.90036760965995</v>
      </c>
      <c r="AM25" s="69">
        <v>193.38182830810547</v>
      </c>
      <c r="AN25" s="69">
        <v>1336.8350757598878</v>
      </c>
      <c r="AO25" s="69">
        <v>1950.2664583841959</v>
      </c>
      <c r="AP25" s="69">
        <v>622.5350595315299</v>
      </c>
      <c r="AQ25" s="69">
        <v>375.92099776268003</v>
      </c>
      <c r="AR25" s="69">
        <v>157.64423166116083</v>
      </c>
      <c r="AS25" s="69">
        <v>574.20612611770628</v>
      </c>
    </row>
    <row r="26" spans="1:45" x14ac:dyDescent="0.25">
      <c r="A26" s="11">
        <v>44215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72">
        <v>0</v>
      </c>
      <c r="AB26" s="69">
        <v>0</v>
      </c>
      <c r="AC26" s="69">
        <v>0</v>
      </c>
      <c r="AD26" s="402">
        <v>0</v>
      </c>
      <c r="AE26" s="402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249.78054559230802</v>
      </c>
      <c r="AK26" s="69">
        <v>385.48458908398942</v>
      </c>
      <c r="AL26" s="69">
        <v>875.79711360931401</v>
      </c>
      <c r="AM26" s="69">
        <v>193.38182830810547</v>
      </c>
      <c r="AN26" s="69">
        <v>1320.2807006835938</v>
      </c>
      <c r="AO26" s="69">
        <v>1989.0368665059409</v>
      </c>
      <c r="AP26" s="69">
        <v>627.4380192279815</v>
      </c>
      <c r="AQ26" s="69">
        <v>419.17056099573767</v>
      </c>
      <c r="AR26" s="69">
        <v>169.97854432264961</v>
      </c>
      <c r="AS26" s="69">
        <v>597.84608659744265</v>
      </c>
    </row>
    <row r="27" spans="1:45" x14ac:dyDescent="0.25">
      <c r="A27" s="11">
        <v>44216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6">
        <v>0</v>
      </c>
      <c r="Z27" s="66">
        <v>0</v>
      </c>
      <c r="AA27" s="67">
        <v>0</v>
      </c>
      <c r="AB27" s="68">
        <v>0</v>
      </c>
      <c r="AC27" s="69">
        <v>0</v>
      </c>
      <c r="AD27" s="402">
        <v>4.0682720212697983E-2</v>
      </c>
      <c r="AE27" s="402">
        <v>0</v>
      </c>
      <c r="AF27" s="69">
        <v>0</v>
      </c>
      <c r="AG27" s="68">
        <v>0</v>
      </c>
      <c r="AH27" s="68">
        <v>0</v>
      </c>
      <c r="AI27" s="68">
        <v>0</v>
      </c>
      <c r="AJ27" s="69">
        <v>233.66955402692156</v>
      </c>
      <c r="AK27" s="69">
        <v>362.62625439961749</v>
      </c>
      <c r="AL27" s="69">
        <v>971.44888947804759</v>
      </c>
      <c r="AM27" s="69">
        <v>193.38182830810547</v>
      </c>
      <c r="AN27" s="69">
        <v>1320.2807006835938</v>
      </c>
      <c r="AO27" s="69">
        <v>1956.6883843739831</v>
      </c>
      <c r="AP27" s="69">
        <v>612.56985845565794</v>
      </c>
      <c r="AQ27" s="69">
        <v>446.11914258003236</v>
      </c>
      <c r="AR27" s="69">
        <v>145.72689189116161</v>
      </c>
      <c r="AS27" s="69">
        <v>615.97197662989311</v>
      </c>
    </row>
    <row r="28" spans="1:45" x14ac:dyDescent="0.25">
      <c r="A28" s="11">
        <v>44217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402">
        <v>0</v>
      </c>
      <c r="AE28" s="402">
        <v>0</v>
      </c>
      <c r="AF28" s="69">
        <v>0</v>
      </c>
      <c r="AG28" s="68">
        <v>0</v>
      </c>
      <c r="AH28" s="68">
        <v>0</v>
      </c>
      <c r="AI28" s="68">
        <v>0</v>
      </c>
      <c r="AJ28" s="69">
        <v>231.77341862519577</v>
      </c>
      <c r="AK28" s="69">
        <v>354.45436921119688</v>
      </c>
      <c r="AL28" s="69">
        <v>1054.3128234227497</v>
      </c>
      <c r="AM28" s="69">
        <v>193.38182830810547</v>
      </c>
      <c r="AN28" s="69">
        <v>1320.2807006835938</v>
      </c>
      <c r="AO28" s="69">
        <v>1936.9067026774089</v>
      </c>
      <c r="AP28" s="69">
        <v>602.80942878723135</v>
      </c>
      <c r="AQ28" s="69">
        <v>402.02082118988051</v>
      </c>
      <c r="AR28" s="69">
        <v>138.58200103839238</v>
      </c>
      <c r="AS28" s="69">
        <v>582.65093342463172</v>
      </c>
    </row>
    <row r="29" spans="1:45" x14ac:dyDescent="0.25">
      <c r="A29" s="11">
        <v>44218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402">
        <v>0</v>
      </c>
      <c r="AE29" s="402">
        <v>0</v>
      </c>
      <c r="AF29" s="69">
        <v>0</v>
      </c>
      <c r="AG29" s="68">
        <v>0</v>
      </c>
      <c r="AH29" s="68">
        <v>0</v>
      </c>
      <c r="AI29" s="68">
        <v>0</v>
      </c>
      <c r="AJ29" s="69">
        <v>258.75519688924152</v>
      </c>
      <c r="AK29" s="69">
        <v>381.38490295410162</v>
      </c>
      <c r="AL29" s="69">
        <v>1011.9091859817505</v>
      </c>
      <c r="AM29" s="69">
        <v>193.38182830810547</v>
      </c>
      <c r="AN29" s="69">
        <v>1320.2807006835938</v>
      </c>
      <c r="AO29" s="69">
        <v>1944.8444062550866</v>
      </c>
      <c r="AP29" s="69">
        <v>611.8554960886637</v>
      </c>
      <c r="AQ29" s="69">
        <v>394.25373452504471</v>
      </c>
      <c r="AR29" s="69">
        <v>153.60337379376091</v>
      </c>
      <c r="AS29" s="69">
        <v>574.68095423380532</v>
      </c>
    </row>
    <row r="30" spans="1:45" x14ac:dyDescent="0.25">
      <c r="A30" s="11">
        <v>44219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402">
        <v>0</v>
      </c>
      <c r="AE30" s="402">
        <v>0</v>
      </c>
      <c r="AF30" s="69">
        <v>0</v>
      </c>
      <c r="AG30" s="68">
        <v>0</v>
      </c>
      <c r="AH30" s="68">
        <v>0</v>
      </c>
      <c r="AI30" s="68">
        <v>0</v>
      </c>
      <c r="AJ30" s="69">
        <v>242.11716531912487</v>
      </c>
      <c r="AK30" s="69">
        <v>367.2966747919719</v>
      </c>
      <c r="AL30" s="69">
        <v>860.23587379455569</v>
      </c>
      <c r="AM30" s="69">
        <v>193.38182830810547</v>
      </c>
      <c r="AN30" s="69">
        <v>1320.2807006835938</v>
      </c>
      <c r="AO30" s="69">
        <v>1928.1261497497558</v>
      </c>
      <c r="AP30" s="69">
        <v>579.05801839828496</v>
      </c>
      <c r="AQ30" s="69">
        <v>394.01181329091384</v>
      </c>
      <c r="AR30" s="69">
        <v>148.5197483023008</v>
      </c>
      <c r="AS30" s="69">
        <v>563.71308495203652</v>
      </c>
    </row>
    <row r="31" spans="1:45" x14ac:dyDescent="0.25">
      <c r="A31" s="11">
        <v>44220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402">
        <v>0</v>
      </c>
      <c r="AE31" s="402">
        <v>0</v>
      </c>
      <c r="AF31" s="69">
        <v>0</v>
      </c>
      <c r="AG31" s="68">
        <v>0</v>
      </c>
      <c r="AH31" s="68">
        <v>0</v>
      </c>
      <c r="AI31" s="68">
        <v>0</v>
      </c>
      <c r="AJ31" s="69">
        <v>250.50041282176969</v>
      </c>
      <c r="AK31" s="69">
        <v>381.18420956929532</v>
      </c>
      <c r="AL31" s="69">
        <v>833.39250103632605</v>
      </c>
      <c r="AM31" s="69">
        <v>193.38182830810547</v>
      </c>
      <c r="AN31" s="69">
        <v>1320.2807006835938</v>
      </c>
      <c r="AO31" s="69">
        <v>1932.0219464619954</v>
      </c>
      <c r="AP31" s="69">
        <v>607.0884297529858</v>
      </c>
      <c r="AQ31" s="69">
        <v>424.80201609929401</v>
      </c>
      <c r="AR31" s="69">
        <v>159.44730353752777</v>
      </c>
      <c r="AS31" s="69">
        <v>573.18105586369836</v>
      </c>
    </row>
    <row r="32" spans="1:45" x14ac:dyDescent="0.25">
      <c r="A32" s="11">
        <v>44221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402">
        <v>0</v>
      </c>
      <c r="AE32" s="402">
        <v>0</v>
      </c>
      <c r="AF32" s="69">
        <v>0</v>
      </c>
      <c r="AG32" s="68">
        <v>0</v>
      </c>
      <c r="AH32" s="68">
        <v>0</v>
      </c>
      <c r="AI32" s="68">
        <v>0</v>
      </c>
      <c r="AJ32" s="69">
        <v>270.55471200942998</v>
      </c>
      <c r="AK32" s="69">
        <v>410.12570899327591</v>
      </c>
      <c r="AL32" s="69">
        <v>168422.15</v>
      </c>
      <c r="AM32" s="69">
        <v>193.38182830810547</v>
      </c>
      <c r="AN32" s="69">
        <v>1320.2807006835938</v>
      </c>
      <c r="AO32" s="69">
        <v>1965.2390226999921</v>
      </c>
      <c r="AP32" s="69">
        <v>605.97653754552209</v>
      </c>
      <c r="AQ32" s="69">
        <v>377.88825418154397</v>
      </c>
      <c r="AR32" s="69">
        <v>173.29426787694294</v>
      </c>
      <c r="AS32" s="69">
        <v>602.93107852935782</v>
      </c>
    </row>
    <row r="33" spans="1:45" x14ac:dyDescent="0.25">
      <c r="A33" s="11">
        <v>44222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402">
        <v>0</v>
      </c>
      <c r="AE33" s="402">
        <v>0</v>
      </c>
      <c r="AF33" s="69">
        <v>0</v>
      </c>
      <c r="AG33" s="68">
        <v>0</v>
      </c>
      <c r="AH33" s="68">
        <v>0</v>
      </c>
      <c r="AI33" s="68">
        <v>0</v>
      </c>
      <c r="AJ33" s="69">
        <v>304.66736979484557</v>
      </c>
      <c r="AK33" s="69">
        <v>460.91060611406959</v>
      </c>
      <c r="AL33" s="69">
        <v>837.74669666290288</v>
      </c>
      <c r="AM33" s="69">
        <v>187.78639206886291</v>
      </c>
      <c r="AN33" s="69">
        <v>1320.2807006835938</v>
      </c>
      <c r="AO33" s="69">
        <v>2072.0189215342198</v>
      </c>
      <c r="AP33" s="69">
        <v>800.13507897059128</v>
      </c>
      <c r="AQ33" s="69">
        <v>392.64576862653098</v>
      </c>
      <c r="AR33" s="69">
        <v>193.41924617687863</v>
      </c>
      <c r="AS33" s="69">
        <v>605.79447313944513</v>
      </c>
    </row>
    <row r="34" spans="1:45" x14ac:dyDescent="0.25">
      <c r="A34" s="11">
        <v>44223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402">
        <v>0</v>
      </c>
      <c r="AE34" s="402">
        <v>0</v>
      </c>
      <c r="AF34" s="69">
        <v>0</v>
      </c>
      <c r="AG34" s="68">
        <v>0</v>
      </c>
      <c r="AH34" s="68">
        <v>0</v>
      </c>
      <c r="AI34" s="68">
        <v>0</v>
      </c>
      <c r="AJ34" s="69">
        <v>292.18318573633832</v>
      </c>
      <c r="AK34" s="69">
        <v>440.12141772906</v>
      </c>
      <c r="AL34" s="69">
        <v>845.05171330769838</v>
      </c>
      <c r="AM34" s="69">
        <v>184.4091911315918</v>
      </c>
      <c r="AN34" s="69">
        <v>1320.2807006835938</v>
      </c>
      <c r="AO34" s="69">
        <v>2033.541347630819</v>
      </c>
      <c r="AP34" s="69">
        <v>697.27789832750955</v>
      </c>
      <c r="AQ34" s="69">
        <v>392.11382304827379</v>
      </c>
      <c r="AR34" s="69">
        <v>187.97714860836666</v>
      </c>
      <c r="AS34" s="69">
        <v>631.63259251912427</v>
      </c>
    </row>
    <row r="35" spans="1:45" x14ac:dyDescent="0.25">
      <c r="A35" s="11">
        <v>44224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402">
        <v>0</v>
      </c>
      <c r="AE35" s="402">
        <v>0</v>
      </c>
      <c r="AF35" s="69">
        <v>0</v>
      </c>
      <c r="AG35" s="68">
        <v>0</v>
      </c>
      <c r="AH35" s="68">
        <v>0</v>
      </c>
      <c r="AI35" s="68">
        <v>0</v>
      </c>
      <c r="AJ35" s="69">
        <v>262.80114663441981</v>
      </c>
      <c r="AK35" s="69">
        <v>388.38354256947832</v>
      </c>
      <c r="AL35" s="69">
        <v>890.66409060160322</v>
      </c>
      <c r="AM35" s="69">
        <v>184.4091911315918</v>
      </c>
      <c r="AN35" s="69">
        <v>1449.6047707875568</v>
      </c>
      <c r="AO35" s="69">
        <v>2042.0134318033856</v>
      </c>
      <c r="AP35" s="69">
        <v>672.17339436213172</v>
      </c>
      <c r="AQ35" s="69">
        <v>380.97626204490666</v>
      </c>
      <c r="AR35" s="69">
        <v>148.35922727187474</v>
      </c>
      <c r="AS35" s="69">
        <v>631.33789621988944</v>
      </c>
    </row>
    <row r="36" spans="1:45" x14ac:dyDescent="0.25">
      <c r="A36" s="11">
        <v>44225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599.71131528219121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486.26830700768596</v>
      </c>
      <c r="AC36" s="69">
        <v>0</v>
      </c>
      <c r="AD36" s="402">
        <v>0</v>
      </c>
      <c r="AE36" s="402">
        <v>0</v>
      </c>
      <c r="AF36" s="69">
        <v>0</v>
      </c>
      <c r="AG36" s="68">
        <v>0</v>
      </c>
      <c r="AH36" s="68">
        <v>0</v>
      </c>
      <c r="AI36" s="68">
        <v>0</v>
      </c>
      <c r="AJ36" s="69">
        <v>253.2832421143849</v>
      </c>
      <c r="AK36" s="69">
        <v>372.84902076721187</v>
      </c>
      <c r="AL36" s="69">
        <v>939.54118731816607</v>
      </c>
      <c r="AM36" s="69">
        <v>184.4091911315918</v>
      </c>
      <c r="AN36" s="69">
        <v>1616.6325073242188</v>
      </c>
      <c r="AO36" s="69">
        <v>1996.7224745432534</v>
      </c>
      <c r="AP36" s="69">
        <v>601.59772814114888</v>
      </c>
      <c r="AQ36" s="69">
        <v>391.70478189786269</v>
      </c>
      <c r="AR36" s="69">
        <v>125.92527165015539</v>
      </c>
      <c r="AS36" s="69">
        <v>649.94466864267974</v>
      </c>
    </row>
    <row r="37" spans="1:45" x14ac:dyDescent="0.25">
      <c r="A37" s="11">
        <v>44226</v>
      </c>
      <c r="B37" s="65"/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90">
        <v>0</v>
      </c>
      <c r="I37" s="379">
        <v>0</v>
      </c>
      <c r="J37" s="380">
        <v>0</v>
      </c>
      <c r="K37" s="380">
        <v>0</v>
      </c>
      <c r="L37" s="60">
        <v>0</v>
      </c>
      <c r="M37" s="380">
        <v>0</v>
      </c>
      <c r="N37" s="390">
        <v>0</v>
      </c>
      <c r="O37" s="379">
        <v>0</v>
      </c>
      <c r="P37" s="380">
        <v>0</v>
      </c>
      <c r="Q37" s="380">
        <v>0</v>
      </c>
      <c r="R37" s="391">
        <v>0</v>
      </c>
      <c r="S37" s="380">
        <v>0</v>
      </c>
      <c r="T37" s="392">
        <v>0</v>
      </c>
      <c r="U37" s="393">
        <v>0</v>
      </c>
      <c r="V37" s="81">
        <v>599.72184172736354</v>
      </c>
      <c r="W37" s="81">
        <v>0</v>
      </c>
      <c r="X37" s="81">
        <v>0</v>
      </c>
      <c r="Y37" s="80">
        <v>0</v>
      </c>
      <c r="Z37" s="80">
        <v>0</v>
      </c>
      <c r="AA37" s="82">
        <v>0</v>
      </c>
      <c r="AB37" s="394">
        <v>486.18934972551943</v>
      </c>
      <c r="AC37" s="85">
        <v>0</v>
      </c>
      <c r="AD37" s="402">
        <v>0</v>
      </c>
      <c r="AE37" s="402">
        <v>0</v>
      </c>
      <c r="AF37" s="85">
        <v>0</v>
      </c>
      <c r="AG37" s="394">
        <v>0</v>
      </c>
      <c r="AH37" s="394">
        <v>0</v>
      </c>
      <c r="AI37" s="394">
        <v>0</v>
      </c>
      <c r="AJ37" s="85">
        <v>256.03399562835693</v>
      </c>
      <c r="AK37" s="85">
        <v>376.42991959253953</v>
      </c>
      <c r="AL37" s="85">
        <v>885.09981470108039</v>
      </c>
      <c r="AM37" s="85">
        <v>184.4091911315918</v>
      </c>
      <c r="AN37" s="85">
        <v>1616.6325073242188</v>
      </c>
      <c r="AO37" s="85">
        <v>1952.6181091308595</v>
      </c>
      <c r="AP37" s="85">
        <v>576.20490369796755</v>
      </c>
      <c r="AQ37" s="85">
        <v>391.95118484497073</v>
      </c>
      <c r="AR37" s="85">
        <v>137.45574921766917</v>
      </c>
      <c r="AS37" s="85">
        <v>559.63166116078696</v>
      </c>
    </row>
    <row r="38" spans="1:45" ht="15.75" thickBot="1" x14ac:dyDescent="0.3">
      <c r="A38" s="11">
        <v>44227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0</v>
      </c>
      <c r="J38" s="74">
        <v>0</v>
      </c>
      <c r="K38" s="74">
        <v>0</v>
      </c>
      <c r="L38" s="60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0</v>
      </c>
      <c r="V38" s="80">
        <v>599.72127988603916</v>
      </c>
      <c r="W38" s="81">
        <v>0</v>
      </c>
      <c r="X38" s="81">
        <v>0</v>
      </c>
      <c r="Y38" s="80">
        <v>0</v>
      </c>
      <c r="Z38" s="80">
        <v>0</v>
      </c>
      <c r="AA38" s="82">
        <v>0</v>
      </c>
      <c r="AB38" s="83">
        <v>486.18899642097074</v>
      </c>
      <c r="AC38" s="84">
        <v>0</v>
      </c>
      <c r="AD38" s="402">
        <v>0</v>
      </c>
      <c r="AE38" s="402">
        <v>0</v>
      </c>
      <c r="AF38" s="85">
        <v>0</v>
      </c>
      <c r="AG38" s="83">
        <v>0</v>
      </c>
      <c r="AH38" s="83">
        <v>0</v>
      </c>
      <c r="AI38" s="83">
        <v>0</v>
      </c>
      <c r="AJ38" s="84">
        <v>259.57703272501629</v>
      </c>
      <c r="AK38" s="84">
        <v>384.05490986506146</v>
      </c>
      <c r="AL38" s="84">
        <v>900.95955842336014</v>
      </c>
      <c r="AM38" s="84">
        <v>184.4091911315918</v>
      </c>
      <c r="AN38" s="84">
        <v>1616.6325073242188</v>
      </c>
      <c r="AO38" s="84">
        <v>1960.3485084533695</v>
      </c>
      <c r="AP38" s="84">
        <v>584.68904821077967</v>
      </c>
      <c r="AQ38" s="84">
        <v>387.45118182500204</v>
      </c>
      <c r="AR38" s="84">
        <v>147.5165602564812</v>
      </c>
      <c r="AS38" s="84">
        <v>581.27296644846604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2418.4276976235715</v>
      </c>
      <c r="J39" s="30">
        <f t="shared" si="0"/>
        <v>7551.3587319628532</v>
      </c>
      <c r="K39" s="30">
        <f t="shared" si="0"/>
        <v>443.71849778254852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4046.1086243862615</v>
      </c>
      <c r="V39" s="261">
        <f t="shared" si="0"/>
        <v>1799.1544368955938</v>
      </c>
      <c r="W39" s="261">
        <f t="shared" si="0"/>
        <v>664.20536592324595</v>
      </c>
      <c r="X39" s="261">
        <f t="shared" si="0"/>
        <v>0</v>
      </c>
      <c r="Y39" s="261">
        <f t="shared" si="0"/>
        <v>2729.5528009605409</v>
      </c>
      <c r="Z39" s="261">
        <f t="shared" si="0"/>
        <v>0</v>
      </c>
      <c r="AA39" s="269">
        <f t="shared" si="0"/>
        <v>0</v>
      </c>
      <c r="AB39" s="272">
        <f t="shared" si="0"/>
        <v>2265.8143177464444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8164.7783902835836</v>
      </c>
      <c r="AK39" s="272">
        <f t="shared" si="1"/>
        <v>12290.97670723597</v>
      </c>
      <c r="AL39" s="272">
        <f t="shared" si="1"/>
        <v>196436.65846134184</v>
      </c>
      <c r="AM39" s="272">
        <f t="shared" si="1"/>
        <v>8978.9461028162641</v>
      </c>
      <c r="AN39" s="272">
        <f t="shared" si="1"/>
        <v>45297.85131139119</v>
      </c>
      <c r="AO39" s="272">
        <f t="shared" si="1"/>
        <v>61720.289846369429</v>
      </c>
      <c r="AP39" s="272">
        <f t="shared" si="1"/>
        <v>19530.225835504538</v>
      </c>
      <c r="AQ39" s="272">
        <f t="shared" si="1"/>
        <v>32115.811873572668</v>
      </c>
      <c r="AR39" s="272">
        <f t="shared" si="1"/>
        <v>7052.3401215839385</v>
      </c>
      <c r="AS39" s="272">
        <f t="shared" si="1"/>
        <v>18438.835230776465</v>
      </c>
    </row>
    <row r="40" spans="1:45" ht="15.75" thickBot="1" x14ac:dyDescent="0.3">
      <c r="A40" s="47" t="s">
        <v>172</v>
      </c>
      <c r="B40" s="32">
        <f>Projection!$AA$30</f>
        <v>0.68740698599999983</v>
      </c>
      <c r="C40" s="33">
        <f>Projection!$AA$28</f>
        <v>1.4286753599999999</v>
      </c>
      <c r="D40" s="33">
        <f>Projection!$AA$31</f>
        <v>1.9478603759999999</v>
      </c>
      <c r="E40" s="33">
        <f>Projection!$AA$26</f>
        <v>4.4235360000000004</v>
      </c>
      <c r="F40" s="33">
        <f>Projection!$AA$23</f>
        <v>0</v>
      </c>
      <c r="G40" s="33">
        <f>Projection!$AA$24</f>
        <v>7.2805000000000009E-2</v>
      </c>
      <c r="H40" s="34">
        <f>Projection!$AA$29</f>
        <v>3.7390305000000001</v>
      </c>
      <c r="I40" s="32">
        <f>Projection!$AA$30</f>
        <v>0.68740698599999983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1.4286753599999999</v>
      </c>
      <c r="T40" s="38">
        <f>Projection!$AA$28</f>
        <v>1.4286753599999999</v>
      </c>
      <c r="U40" s="26">
        <f>Projection!$AA$27</f>
        <v>0.30499999999999999</v>
      </c>
      <c r="V40" s="27">
        <f>Projection!$AA$27</f>
        <v>0.30499999999999999</v>
      </c>
      <c r="W40" s="27">
        <f>Projection!$AA$22</f>
        <v>1.0660271400000001</v>
      </c>
      <c r="X40" s="27">
        <f>Projection!$AA$22</f>
        <v>1.0660271400000001</v>
      </c>
      <c r="Y40" s="27">
        <f>Projection!$AA$31</f>
        <v>1.9478603759999999</v>
      </c>
      <c r="Z40" s="27">
        <f>Projection!$AA$31</f>
        <v>1.9478603759999999</v>
      </c>
      <c r="AA40" s="28">
        <v>0</v>
      </c>
      <c r="AB40" s="41">
        <f>Projection!$AA$27</f>
        <v>0.30499999999999999</v>
      </c>
      <c r="AC40" s="41">
        <f>Projection!$AA$30</f>
        <v>0.68740698599999983</v>
      </c>
      <c r="AD40" s="397">
        <f>SUM(AD8:AD38)</f>
        <v>171.10299803260384</v>
      </c>
      <c r="AE40" s="397">
        <f>SUM(AE8:AE38)</f>
        <v>0</v>
      </c>
      <c r="AF40" s="276">
        <f>SUM(AF8:AF38)</f>
        <v>164.49809895336622</v>
      </c>
      <c r="AG40" s="276">
        <f>SUM(AG8:AG38)</f>
        <v>162.15918437863633</v>
      </c>
      <c r="AH40" s="276">
        <f>SUM(AH8:AH38)</f>
        <v>0</v>
      </c>
      <c r="AI40" s="276">
        <f>IF(SUM(AG40:AH40)&gt;0, AG40/(AG40+AH40), 0)</f>
        <v>1</v>
      </c>
      <c r="AJ40" s="311">
        <v>7.1999999999999995E-2</v>
      </c>
      <c r="AK40" s="311">
        <f t="shared" ref="AK40:AS40" si="2">$AJ$40</f>
        <v>7.1999999999999995E-2</v>
      </c>
      <c r="AL40" s="311">
        <f t="shared" si="2"/>
        <v>7.1999999999999995E-2</v>
      </c>
      <c r="AM40" s="311">
        <f t="shared" si="2"/>
        <v>7.1999999999999995E-2</v>
      </c>
      <c r="AN40" s="311">
        <f t="shared" si="2"/>
        <v>7.1999999999999995E-2</v>
      </c>
      <c r="AO40" s="311">
        <f t="shared" si="2"/>
        <v>7.1999999999999995E-2</v>
      </c>
      <c r="AP40" s="311">
        <f t="shared" si="2"/>
        <v>7.1999999999999995E-2</v>
      </c>
      <c r="AQ40" s="311">
        <f t="shared" si="2"/>
        <v>7.1999999999999995E-2</v>
      </c>
      <c r="AR40" s="311">
        <f t="shared" si="2"/>
        <v>7.1999999999999995E-2</v>
      </c>
      <c r="AS40" s="311">
        <f t="shared" si="2"/>
        <v>7.1999999999999995E-2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1662.4440944823382</v>
      </c>
      <c r="J41" s="36">
        <f t="shared" si="3"/>
        <v>10788.440154876173</v>
      </c>
      <c r="K41" s="36">
        <f t="shared" si="3"/>
        <v>1962.8047488070238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1234.0631304378096</v>
      </c>
      <c r="V41" s="267">
        <f t="shared" si="3"/>
        <v>548.74210325315607</v>
      </c>
      <c r="W41" s="267">
        <f t="shared" si="3"/>
        <v>708.06094660781139</v>
      </c>
      <c r="X41" s="267">
        <f t="shared" si="3"/>
        <v>0</v>
      </c>
      <c r="Y41" s="267">
        <f t="shared" si="3"/>
        <v>5316.7877451908525</v>
      </c>
      <c r="Z41" s="267">
        <f t="shared" si="3"/>
        <v>0</v>
      </c>
      <c r="AA41" s="271">
        <f t="shared" si="3"/>
        <v>0</v>
      </c>
      <c r="AB41" s="274">
        <f t="shared" si="3"/>
        <v>691.07336691266551</v>
      </c>
      <c r="AC41" s="274">
        <f t="shared" si="3"/>
        <v>0</v>
      </c>
      <c r="AJ41" s="277">
        <f t="shared" ref="AJ41:AS41" si="4">AJ40*AJ39</f>
        <v>587.86404410041803</v>
      </c>
      <c r="AK41" s="277">
        <f t="shared" si="4"/>
        <v>884.95032292098972</v>
      </c>
      <c r="AL41" s="277">
        <f t="shared" si="4"/>
        <v>14143.439409216611</v>
      </c>
      <c r="AM41" s="277">
        <f t="shared" si="4"/>
        <v>646.48411940277094</v>
      </c>
      <c r="AN41" s="277">
        <f t="shared" si="4"/>
        <v>3261.4452944201653</v>
      </c>
      <c r="AO41" s="277">
        <f t="shared" si="4"/>
        <v>4443.8608689385983</v>
      </c>
      <c r="AP41" s="277">
        <f t="shared" si="4"/>
        <v>1406.1762601563266</v>
      </c>
      <c r="AQ41" s="277">
        <f t="shared" si="4"/>
        <v>2312.3384548972317</v>
      </c>
      <c r="AR41" s="277">
        <f t="shared" si="4"/>
        <v>507.76848875404352</v>
      </c>
      <c r="AS41" s="277">
        <f t="shared" si="4"/>
        <v>1327.5961366159054</v>
      </c>
    </row>
    <row r="42" spans="1:45" ht="49.5" customHeight="1" thickTop="1" thickBot="1" x14ac:dyDescent="0.3">
      <c r="A42" s="643">
        <v>44197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1501.27</v>
      </c>
      <c r="AK42" s="277" t="s">
        <v>197</v>
      </c>
      <c r="AL42" s="277">
        <v>2647.97</v>
      </c>
      <c r="AM42" s="277">
        <v>822.04</v>
      </c>
      <c r="AN42" s="277">
        <v>1287.21</v>
      </c>
      <c r="AO42" s="277">
        <v>7786.64</v>
      </c>
      <c r="AP42" s="277">
        <v>2037.65</v>
      </c>
      <c r="AQ42" s="277" t="s">
        <v>197</v>
      </c>
      <c r="AR42" s="277">
        <v>184.06</v>
      </c>
      <c r="AS42" s="277">
        <v>511.68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22912.416290567831</v>
      </c>
      <c r="C44" s="12"/>
      <c r="D44" s="281" t="s">
        <v>135</v>
      </c>
      <c r="E44" s="282">
        <f>SUM(B41:H41)+P41+R41+T41+V41+X41+Z41</f>
        <v>548.74210325315607</v>
      </c>
      <c r="F44" s="12"/>
      <c r="G44" s="281" t="s">
        <v>135</v>
      </c>
      <c r="H44" s="282">
        <f>SUM(I41:N41)+O41+Q41+S41+U41+W41+Y41</f>
        <v>21672.600820402007</v>
      </c>
      <c r="I44" s="12"/>
      <c r="J44" s="281" t="s">
        <v>198</v>
      </c>
      <c r="K44" s="282">
        <v>168422.15</v>
      </c>
      <c r="L44" s="12"/>
      <c r="M44" s="12"/>
      <c r="N44" s="12"/>
      <c r="O44" s="12"/>
      <c r="P44" s="12"/>
      <c r="Q44" s="12"/>
      <c r="R44" s="299" t="s">
        <v>135</v>
      </c>
      <c r="S44" s="300"/>
      <c r="T44" s="296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29521.92339942306</v>
      </c>
      <c r="C45" s="12"/>
      <c r="D45" s="283" t="s">
        <v>183</v>
      </c>
      <c r="E45" s="284">
        <f>AJ41*(1-$AI$40)+AK41+AL41*0.5+AN41+AO41*(1-$AI$40)+AP41*(1-$AI$40)+AQ41*(1-$AI$40)+AR41*0.5+AS41*0.5</f>
        <v>12135.797634634435</v>
      </c>
      <c r="F45" s="24"/>
      <c r="G45" s="283" t="s">
        <v>183</v>
      </c>
      <c r="H45" s="284">
        <f>AJ41*AI40+AL41*0.5+AM41+AO41*AI40+AP41*AI40+AQ41*AI40+AR41*0.5+AS41*0.5</f>
        <v>17386.125764788627</v>
      </c>
      <c r="I45" s="12"/>
      <c r="J45" s="12"/>
      <c r="K45" s="287"/>
      <c r="L45" s="12"/>
      <c r="M45" s="12"/>
      <c r="N45" s="12"/>
      <c r="O45" s="12"/>
      <c r="P45" s="12"/>
      <c r="Q45" s="12"/>
      <c r="R45" s="297" t="s">
        <v>141</v>
      </c>
      <c r="S45" s="298"/>
      <c r="T45" s="253">
        <f>$W$39+$X$39</f>
        <v>664.20536592324595</v>
      </c>
      <c r="U45" s="255">
        <f>(T45*8.34*0.895)/27000</f>
        <v>0.183623263439292</v>
      </c>
    </row>
    <row r="46" spans="1:45" ht="32.25" thickBot="1" x14ac:dyDescent="0.3">
      <c r="A46" s="285" t="s">
        <v>184</v>
      </c>
      <c r="B46" s="286">
        <f>SUM(AJ42:AS42)</f>
        <v>16778.52</v>
      </c>
      <c r="C46" s="12"/>
      <c r="D46" s="285" t="s">
        <v>184</v>
      </c>
      <c r="E46" s="286">
        <f>AJ42*(1-$AI$40)+AL42*0.5+AN42+AO42*(1-$AI$40)+AP42*(1-$AI$40)+AR42*0.5+AS42*0.5</f>
        <v>2959.0650000000001</v>
      </c>
      <c r="F46" s="23"/>
      <c r="G46" s="285" t="s">
        <v>184</v>
      </c>
      <c r="H46" s="286">
        <f>AJ42*AI40+AL42*0.5+AM42+AO42*AI40+AP42*AI40+AR42*0.5+AS42*0.5</f>
        <v>13819.455000000002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297" t="s">
        <v>145</v>
      </c>
      <c r="S46" s="298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168422.15</v>
      </c>
      <c r="C47" s="12"/>
      <c r="D47" s="285" t="s">
        <v>187</v>
      </c>
      <c r="E47" s="286">
        <f>K44*0.5</f>
        <v>84211.074999999997</v>
      </c>
      <c r="F47" s="24"/>
      <c r="G47" s="285" t="s">
        <v>185</v>
      </c>
      <c r="H47" s="286">
        <f>K44*0.5</f>
        <v>84211.074999999997</v>
      </c>
      <c r="I47" s="12"/>
      <c r="J47" s="281" t="s">
        <v>198</v>
      </c>
      <c r="K47" s="282">
        <v>29674.95</v>
      </c>
      <c r="L47" s="12"/>
      <c r="M47" s="12"/>
      <c r="N47" s="12"/>
      <c r="O47" s="12"/>
      <c r="P47" s="12"/>
      <c r="Q47" s="12"/>
      <c r="R47" s="297" t="s">
        <v>148</v>
      </c>
      <c r="S47" s="298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29674.95</v>
      </c>
      <c r="C48" s="12"/>
      <c r="D48" s="285" t="s">
        <v>186</v>
      </c>
      <c r="E48" s="286">
        <f>K47*0.5</f>
        <v>14837.475</v>
      </c>
      <c r="F48" s="23"/>
      <c r="G48" s="285" t="s">
        <v>186</v>
      </c>
      <c r="H48" s="286">
        <f>K47*0.5</f>
        <v>14837.475</v>
      </c>
      <c r="I48" s="12"/>
      <c r="J48" s="12"/>
      <c r="K48" s="86"/>
      <c r="L48" s="12"/>
      <c r="M48" s="12"/>
      <c r="N48" s="12"/>
      <c r="O48" s="12"/>
      <c r="P48" s="12"/>
      <c r="Q48" s="12"/>
      <c r="R48" s="297" t="s">
        <v>150</v>
      </c>
      <c r="S48" s="298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164.49809895336622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162.15918437863633</v>
      </c>
      <c r="I49" s="12"/>
      <c r="J49" s="12"/>
      <c r="K49" s="86"/>
      <c r="L49" s="12"/>
      <c r="M49" s="12"/>
      <c r="N49" s="12"/>
      <c r="O49" s="12"/>
      <c r="P49" s="12"/>
      <c r="Q49" s="12"/>
      <c r="R49" s="297" t="s">
        <v>152</v>
      </c>
      <c r="S49" s="298"/>
      <c r="T49" s="253">
        <f>$E$39+$K$39</f>
        <v>443.71849778254852</v>
      </c>
      <c r="U49" s="255">
        <f>(T49*8.34*1.04)/45000</f>
        <v>8.5525261385926962E-2</v>
      </c>
    </row>
    <row r="50" spans="1:25" ht="48" customHeight="1" thickTop="1" thickBot="1" x14ac:dyDescent="0.3">
      <c r="A50" s="290" t="s">
        <v>223</v>
      </c>
      <c r="B50" s="291">
        <f>SUM(E50,H50)</f>
        <v>171.10299803260384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171.10299803260384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1562.275136985354</v>
      </c>
      <c r="C51" s="12"/>
      <c r="D51" s="290" t="s">
        <v>188</v>
      </c>
      <c r="E51" s="292" t="e">
        <f>SUM(E44:E48)/E50</f>
        <v>#DIV/0!</v>
      </c>
      <c r="F51" s="23"/>
      <c r="G51" s="290" t="s">
        <v>189</v>
      </c>
      <c r="H51" s="292">
        <f>SUM(H44:H48)/H50</f>
        <v>887.92559646582492</v>
      </c>
      <c r="I51" s="12"/>
      <c r="J51" s="12"/>
      <c r="K51" s="86"/>
      <c r="L51" s="12"/>
      <c r="M51" s="12"/>
      <c r="N51" s="12"/>
      <c r="O51" s="12"/>
      <c r="P51" s="12"/>
      <c r="Q51" s="12"/>
      <c r="R51" s="297" t="s">
        <v>153</v>
      </c>
      <c r="S51" s="298"/>
      <c r="T51" s="253">
        <f>$U$39+$V$39+$AB$39</f>
        <v>8111.0773790283001</v>
      </c>
      <c r="U51" s="255">
        <f>T51/2000/8</f>
        <v>0.50694233618926876</v>
      </c>
    </row>
    <row r="52" spans="1:25" ht="47.25" customHeight="1" thickTop="1" thickBot="1" x14ac:dyDescent="0.3">
      <c r="A52" s="280" t="s">
        <v>191</v>
      </c>
      <c r="B52" s="293">
        <f>B51/1000</f>
        <v>1.562275136985354</v>
      </c>
      <c r="C52" s="12"/>
      <c r="D52" s="280" t="s">
        <v>192</v>
      </c>
      <c r="E52" s="293" t="e">
        <f>E51/1000</f>
        <v>#DIV/0!</v>
      </c>
      <c r="F52" s="370" t="e">
        <f>E44/E49</f>
        <v>#DIV/0!</v>
      </c>
      <c r="G52" s="280" t="s">
        <v>193</v>
      </c>
      <c r="H52" s="293">
        <f>H51/1000</f>
        <v>0.88792559646582492</v>
      </c>
      <c r="I52" s="370">
        <f>H44/H49</f>
        <v>133.65015927680793</v>
      </c>
      <c r="J52" s="12"/>
      <c r="K52" s="86"/>
      <c r="L52" s="12"/>
      <c r="M52" s="12"/>
      <c r="N52" s="12"/>
      <c r="O52" s="12"/>
      <c r="P52" s="12"/>
      <c r="Q52" s="12"/>
      <c r="R52" s="297" t="s">
        <v>154</v>
      </c>
      <c r="S52" s="298"/>
      <c r="T52" s="253">
        <f>$C$39+$J$39+$S$39+$T$39</f>
        <v>7551.3587319628532</v>
      </c>
      <c r="U52" s="255">
        <f>(T52*8.34*1.4)/45000</f>
        <v>1.9593258789866284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7" t="s">
        <v>155</v>
      </c>
      <c r="S53" s="298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7" t="s">
        <v>156</v>
      </c>
      <c r="S54" s="298"/>
      <c r="T54" s="253">
        <f>$B$39+$I$39+$AC$39</f>
        <v>2418.4276976235715</v>
      </c>
      <c r="U54" s="255">
        <f>(T54*8.34*1.029*0.03)/3300</f>
        <v>0.18867825382843476</v>
      </c>
    </row>
    <row r="55" spans="1:25" ht="57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2729.5528009605409</v>
      </c>
      <c r="U55" s="258">
        <f>(T55*1.54*8.34)/45000</f>
        <v>0.77905076343148438</v>
      </c>
    </row>
    <row r="56" spans="1:25" ht="15.75" thickTop="1" x14ac:dyDescent="0.25">
      <c r="A56" s="302"/>
      <c r="B56" s="302"/>
      <c r="C56" s="302"/>
      <c r="D56" s="302"/>
      <c r="E56" s="30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624"/>
      <c r="S56" s="624"/>
      <c r="T56" s="309"/>
      <c r="U56" s="310"/>
    </row>
    <row r="57" spans="1:25" x14ac:dyDescent="0.25">
      <c r="A57" s="313"/>
      <c r="B57" s="31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20"/>
      <c r="B58" s="31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14"/>
      <c r="B59" s="31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20"/>
      <c r="B60" s="31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314"/>
      <c r="B61" s="314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h27AhA/b2/sQ5mkEp6tWbCYM7wOPvt9E3aAAmDytvjU9BRCVxGIs5RdXAh2BHU3g6uvDJJdKgp4y0HLGt5ixUg==" saltValue="wJ0wBl+DrmzjuUI13YJMbA==" spinCount="100000" sheet="1" selectLockedCells="1" selectUnlockedCells="1"/>
  <mergeCells count="33">
    <mergeCell ref="AP4:AP5"/>
    <mergeCell ref="AQ4:AQ5"/>
    <mergeCell ref="AR4:AR5"/>
    <mergeCell ref="AS4:AS5"/>
    <mergeCell ref="AJ4:AJ5"/>
    <mergeCell ref="AK4:AK5"/>
    <mergeCell ref="AL4:AL5"/>
    <mergeCell ref="AM4:AM5"/>
    <mergeCell ref="AO4:AO5"/>
    <mergeCell ref="AN4:AN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E4:AE5"/>
    <mergeCell ref="R56:S56"/>
    <mergeCell ref="R43:U43"/>
    <mergeCell ref="A54:E54"/>
    <mergeCell ref="AD4:AD5"/>
    <mergeCell ref="A55:E55"/>
    <mergeCell ref="J43:K43"/>
    <mergeCell ref="J46:K46"/>
    <mergeCell ref="A43:B43"/>
    <mergeCell ref="D43:E43"/>
    <mergeCell ref="G43:H43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W64"/>
  <sheetViews>
    <sheetView topLeftCell="AH35" zoomScale="90" zoomScaleNormal="90" workbookViewId="0">
      <selection activeCell="AJ44" sqref="AJ44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6" width="20.28515625" customWidth="1"/>
    <col min="47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  <c r="AV5" t="s">
        <v>169</v>
      </c>
      <c r="AW5" s="336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44228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405">
        <v>0</v>
      </c>
      <c r="AE8" s="405">
        <v>0</v>
      </c>
      <c r="AF8" s="57">
        <v>0</v>
      </c>
      <c r="AG8" s="58">
        <v>0</v>
      </c>
      <c r="AH8" s="58">
        <v>0</v>
      </c>
      <c r="AI8" s="58">
        <v>0</v>
      </c>
      <c r="AJ8" s="57">
        <v>259.99172744750973</v>
      </c>
      <c r="AK8" s="57">
        <v>382.41432644526168</v>
      </c>
      <c r="AL8" s="57">
        <v>1002.1323074340821</v>
      </c>
      <c r="AM8" s="57">
        <v>184.4091911315918</v>
      </c>
      <c r="AN8" s="57">
        <v>1616.6325073242188</v>
      </c>
      <c r="AO8" s="57">
        <v>1997.7957393646243</v>
      </c>
      <c r="AP8" s="57">
        <v>562.48559743563317</v>
      </c>
      <c r="AQ8" s="57">
        <v>397.16287229855857</v>
      </c>
      <c r="AR8" s="57">
        <v>140.21428296566015</v>
      </c>
      <c r="AS8" s="57">
        <v>627.85120118459088</v>
      </c>
    </row>
    <row r="9" spans="1:49" x14ac:dyDescent="0.25">
      <c r="A9" s="11">
        <v>44229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406">
        <v>0</v>
      </c>
      <c r="AE9" s="406">
        <v>3.739196304073334E-3</v>
      </c>
      <c r="AF9" s="69">
        <v>0</v>
      </c>
      <c r="AG9" s="68">
        <v>0</v>
      </c>
      <c r="AH9" s="68">
        <v>0</v>
      </c>
      <c r="AI9" s="68">
        <v>0</v>
      </c>
      <c r="AJ9" s="69">
        <v>224.49130069414772</v>
      </c>
      <c r="AK9" s="69">
        <v>346.97596007982884</v>
      </c>
      <c r="AL9" s="69">
        <v>1060.5038248697917</v>
      </c>
      <c r="AM9" s="69">
        <v>184.4091911315918</v>
      </c>
      <c r="AN9" s="69">
        <v>1616.6325073242188</v>
      </c>
      <c r="AO9" s="69">
        <v>1895.5017065684001</v>
      </c>
      <c r="AP9" s="69">
        <v>528.80319862365718</v>
      </c>
      <c r="AQ9" s="69">
        <v>398.38705989519752</v>
      </c>
      <c r="AR9" s="69">
        <v>111.51077612837155</v>
      </c>
      <c r="AS9" s="69">
        <v>630.60978263219204</v>
      </c>
    </row>
    <row r="10" spans="1:49" x14ac:dyDescent="0.25">
      <c r="A10" s="11">
        <v>44230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406">
        <v>0</v>
      </c>
      <c r="AE10" s="406">
        <v>0</v>
      </c>
      <c r="AF10" s="69">
        <v>0</v>
      </c>
      <c r="AG10" s="68">
        <v>0</v>
      </c>
      <c r="AH10" s="68">
        <v>0</v>
      </c>
      <c r="AI10" s="68">
        <v>0</v>
      </c>
      <c r="AJ10" s="69">
        <v>218.1697643995285</v>
      </c>
      <c r="AK10" s="69">
        <v>337.96428780555726</v>
      </c>
      <c r="AL10" s="69">
        <v>916.00908778508517</v>
      </c>
      <c r="AM10" s="69">
        <v>184.4091911315918</v>
      </c>
      <c r="AN10" s="69">
        <v>1616.6325073242188</v>
      </c>
      <c r="AO10" s="69">
        <v>1887.0038007100422</v>
      </c>
      <c r="AP10" s="69">
        <v>531.02615098953243</v>
      </c>
      <c r="AQ10" s="69">
        <v>387.26263068517051</v>
      </c>
      <c r="AR10" s="69">
        <v>112.57223696509996</v>
      </c>
      <c r="AS10" s="69">
        <v>629.72610950469959</v>
      </c>
    </row>
    <row r="11" spans="1:49" x14ac:dyDescent="0.25">
      <c r="A11" s="11">
        <v>44231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406">
        <v>0</v>
      </c>
      <c r="AE11" s="406">
        <v>0</v>
      </c>
      <c r="AF11" s="69">
        <v>0</v>
      </c>
      <c r="AG11" s="68">
        <v>0</v>
      </c>
      <c r="AH11" s="68">
        <v>0</v>
      </c>
      <c r="AI11" s="68">
        <v>0</v>
      </c>
      <c r="AJ11" s="69">
        <v>265.61988373597467</v>
      </c>
      <c r="AK11" s="69">
        <v>387.87411290804545</v>
      </c>
      <c r="AL11" s="69">
        <v>765.10752894083657</v>
      </c>
      <c r="AM11" s="69">
        <v>177.26503381729125</v>
      </c>
      <c r="AN11" s="69">
        <v>1616.6325073242188</v>
      </c>
      <c r="AO11" s="69">
        <v>1993.4334309895835</v>
      </c>
      <c r="AP11" s="69">
        <v>601.10158513387046</v>
      </c>
      <c r="AQ11" s="69">
        <v>372.09183185895284</v>
      </c>
      <c r="AR11" s="69">
        <v>157.15215758879978</v>
      </c>
      <c r="AS11" s="69">
        <v>582.7695584297179</v>
      </c>
    </row>
    <row r="12" spans="1:49" x14ac:dyDescent="0.25">
      <c r="A12" s="11">
        <v>44232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406">
        <v>0</v>
      </c>
      <c r="AE12" s="406">
        <v>0</v>
      </c>
      <c r="AF12" s="69">
        <v>0</v>
      </c>
      <c r="AG12" s="68">
        <v>0</v>
      </c>
      <c r="AH12" s="68">
        <v>0</v>
      </c>
      <c r="AI12" s="68">
        <v>0</v>
      </c>
      <c r="AJ12" s="69">
        <v>275.66600039800011</v>
      </c>
      <c r="AK12" s="69">
        <v>409.85589164098104</v>
      </c>
      <c r="AL12" s="69">
        <v>868.31899067560835</v>
      </c>
      <c r="AM12" s="69">
        <v>166.45528793334961</v>
      </c>
      <c r="AN12" s="69">
        <v>1616.6325073242188</v>
      </c>
      <c r="AO12" s="69">
        <v>1949.3240713755288</v>
      </c>
      <c r="AP12" s="69">
        <v>611.80672284762068</v>
      </c>
      <c r="AQ12" s="69">
        <v>375.03681054115293</v>
      </c>
      <c r="AR12" s="69">
        <v>169.89321958223979</v>
      </c>
      <c r="AS12" s="69">
        <v>542.63117685317991</v>
      </c>
    </row>
    <row r="13" spans="1:49" x14ac:dyDescent="0.25">
      <c r="A13" s="11">
        <v>44233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406">
        <v>0</v>
      </c>
      <c r="AE13" s="406">
        <v>0</v>
      </c>
      <c r="AF13" s="69">
        <v>0</v>
      </c>
      <c r="AG13" s="68">
        <v>0</v>
      </c>
      <c r="AH13" s="68">
        <v>0</v>
      </c>
      <c r="AI13" s="68">
        <v>0</v>
      </c>
      <c r="AJ13" s="69">
        <v>263.37</v>
      </c>
      <c r="AK13" s="69">
        <v>392.05</v>
      </c>
      <c r="AL13" s="69">
        <v>981.49</v>
      </c>
      <c r="AM13" s="69">
        <v>166.46</v>
      </c>
      <c r="AN13" s="69">
        <v>1616.63</v>
      </c>
      <c r="AO13" s="69">
        <v>1917.7</v>
      </c>
      <c r="AP13" s="69">
        <v>607.91</v>
      </c>
      <c r="AQ13" s="69">
        <v>371.25</v>
      </c>
      <c r="AR13" s="69">
        <v>160.33000000000001</v>
      </c>
      <c r="AS13" s="69">
        <v>537.58000000000004</v>
      </c>
    </row>
    <row r="14" spans="1:49" x14ac:dyDescent="0.25">
      <c r="A14" s="11">
        <v>44234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406">
        <v>0</v>
      </c>
      <c r="AE14" s="406">
        <v>0</v>
      </c>
      <c r="AF14" s="69">
        <v>0</v>
      </c>
      <c r="AG14" s="68">
        <v>0</v>
      </c>
      <c r="AH14" s="68">
        <v>0</v>
      </c>
      <c r="AI14" s="68">
        <v>0</v>
      </c>
      <c r="AJ14" s="69">
        <v>255.93899574279783</v>
      </c>
      <c r="AK14" s="69">
        <v>381.66629004478455</v>
      </c>
      <c r="AL14" s="69">
        <v>1152.0477994918824</v>
      </c>
      <c r="AM14" s="69">
        <v>166.45528793334961</v>
      </c>
      <c r="AN14" s="69">
        <v>1616.6325073242188</v>
      </c>
      <c r="AO14" s="69">
        <v>1913.5766766866047</v>
      </c>
      <c r="AP14" s="69">
        <v>646.52793639500942</v>
      </c>
      <c r="AQ14" s="69">
        <v>387.58653688430786</v>
      </c>
      <c r="AR14" s="69">
        <v>153.55111622413</v>
      </c>
      <c r="AS14" s="69">
        <v>540.16809781392419</v>
      </c>
    </row>
    <row r="15" spans="1:49" x14ac:dyDescent="0.25">
      <c r="A15" s="11">
        <v>44235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406">
        <v>0</v>
      </c>
      <c r="AE15" s="406">
        <v>0</v>
      </c>
      <c r="AF15" s="69">
        <v>0</v>
      </c>
      <c r="AG15" s="68">
        <v>0</v>
      </c>
      <c r="AH15" s="68">
        <v>0</v>
      </c>
      <c r="AI15" s="68">
        <v>0</v>
      </c>
      <c r="AJ15" s="69">
        <v>275.45078734556836</v>
      </c>
      <c r="AK15" s="69">
        <v>414.51103833516436</v>
      </c>
      <c r="AL15" s="69">
        <v>826.00276425679522</v>
      </c>
      <c r="AM15" s="69">
        <v>166.45528793334961</v>
      </c>
      <c r="AN15" s="69">
        <v>1616.6325073242188</v>
      </c>
      <c r="AO15" s="69">
        <v>1948.3405511220294</v>
      </c>
      <c r="AP15" s="69">
        <v>622.444492371877</v>
      </c>
      <c r="AQ15" s="69">
        <v>384.54574632644653</v>
      </c>
      <c r="AR15" s="69">
        <v>181.4766726096471</v>
      </c>
      <c r="AS15" s="69">
        <v>570.20593926111849</v>
      </c>
    </row>
    <row r="16" spans="1:49" x14ac:dyDescent="0.25">
      <c r="A16" s="11">
        <v>44236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406">
        <v>0</v>
      </c>
      <c r="AE16" s="406">
        <v>0</v>
      </c>
      <c r="AF16" s="69">
        <v>0</v>
      </c>
      <c r="AG16" s="68">
        <v>0</v>
      </c>
      <c r="AH16" s="68">
        <v>0</v>
      </c>
      <c r="AI16" s="68">
        <v>0</v>
      </c>
      <c r="AJ16" s="69">
        <v>270.61447935899099</v>
      </c>
      <c r="AK16" s="69">
        <v>413.92848827044173</v>
      </c>
      <c r="AL16" s="69">
        <v>832.02259813944499</v>
      </c>
      <c r="AM16" s="69">
        <v>166.45528793334961</v>
      </c>
      <c r="AN16" s="69">
        <v>1616.6325073242188</v>
      </c>
      <c r="AO16" s="69">
        <v>2054.2207595825193</v>
      </c>
      <c r="AP16" s="69">
        <v>636.2555548350017</v>
      </c>
      <c r="AQ16" s="69">
        <v>375.23509680430089</v>
      </c>
      <c r="AR16" s="69">
        <v>187.62273455063504</v>
      </c>
      <c r="AS16" s="69">
        <v>580.22755088806161</v>
      </c>
    </row>
    <row r="17" spans="1:45" x14ac:dyDescent="0.25">
      <c r="A17" s="11">
        <v>44237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2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406">
        <v>0</v>
      </c>
      <c r="AE17" s="406">
        <v>0</v>
      </c>
      <c r="AF17" s="69">
        <v>0</v>
      </c>
      <c r="AG17" s="68">
        <v>0</v>
      </c>
      <c r="AH17" s="68">
        <v>0</v>
      </c>
      <c r="AI17" s="68">
        <v>0</v>
      </c>
      <c r="AJ17" s="69">
        <v>271.77986454168962</v>
      </c>
      <c r="AK17" s="69">
        <v>420.77708458900463</v>
      </c>
      <c r="AL17" s="69">
        <v>853.46208667755127</v>
      </c>
      <c r="AM17" s="69">
        <v>169.37045340538026</v>
      </c>
      <c r="AN17" s="69">
        <v>1616.6325073242188</v>
      </c>
      <c r="AO17" s="69">
        <v>2093.1979696909584</v>
      </c>
      <c r="AP17" s="69">
        <v>687.66871484120691</v>
      </c>
      <c r="AQ17" s="69">
        <v>379.99140423138937</v>
      </c>
      <c r="AR17" s="69">
        <v>194.06863166491192</v>
      </c>
      <c r="AS17" s="69">
        <v>615.82434190114327</v>
      </c>
    </row>
    <row r="18" spans="1:45" x14ac:dyDescent="0.25">
      <c r="A18" s="11">
        <v>44238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406">
        <v>0</v>
      </c>
      <c r="AE18" s="406">
        <v>0</v>
      </c>
      <c r="AF18" s="69">
        <v>0</v>
      </c>
      <c r="AG18" s="68">
        <v>0</v>
      </c>
      <c r="AH18" s="68">
        <v>0</v>
      </c>
      <c r="AI18" s="68">
        <v>0</v>
      </c>
      <c r="AJ18" s="69">
        <v>284.06022953987116</v>
      </c>
      <c r="AK18" s="69">
        <v>437.89625938733417</v>
      </c>
      <c r="AL18" s="69">
        <v>866.86734898885084</v>
      </c>
      <c r="AM18" s="69">
        <v>170.71273040771484</v>
      </c>
      <c r="AN18" s="69">
        <v>1616.6325073242188</v>
      </c>
      <c r="AO18" s="69">
        <v>2125.5056413014727</v>
      </c>
      <c r="AP18" s="69">
        <v>675.48596309026084</v>
      </c>
      <c r="AQ18" s="69">
        <v>379.67191859881086</v>
      </c>
      <c r="AR18" s="69">
        <v>209.54224399328234</v>
      </c>
      <c r="AS18" s="69">
        <v>583.65276460647601</v>
      </c>
    </row>
    <row r="19" spans="1:45" x14ac:dyDescent="0.25">
      <c r="A19" s="11">
        <v>44239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406">
        <v>0</v>
      </c>
      <c r="AE19" s="406">
        <v>0</v>
      </c>
      <c r="AF19" s="69">
        <v>0</v>
      </c>
      <c r="AG19" s="68">
        <v>0</v>
      </c>
      <c r="AH19" s="68">
        <v>0</v>
      </c>
      <c r="AI19" s="68">
        <v>0</v>
      </c>
      <c r="AJ19" s="69">
        <v>317.72878140608464</v>
      </c>
      <c r="AK19" s="69">
        <v>494.81899805068974</v>
      </c>
      <c r="AL19" s="69">
        <v>858.27715301513672</v>
      </c>
      <c r="AM19" s="69">
        <v>170.71273040771484</v>
      </c>
      <c r="AN19" s="69">
        <v>1616.6325073242188</v>
      </c>
      <c r="AO19" s="69">
        <v>2123.6714492797855</v>
      </c>
      <c r="AP19" s="69">
        <v>879.23013439178465</v>
      </c>
      <c r="AQ19" s="69">
        <v>415.65398197174068</v>
      </c>
      <c r="AR19" s="69">
        <v>241.70671504735949</v>
      </c>
      <c r="AS19" s="69">
        <v>571.08841244379687</v>
      </c>
    </row>
    <row r="20" spans="1:45" x14ac:dyDescent="0.25">
      <c r="A20" s="11">
        <v>44240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406">
        <v>0</v>
      </c>
      <c r="AE20" s="406">
        <v>0</v>
      </c>
      <c r="AF20" s="69">
        <v>0</v>
      </c>
      <c r="AG20" s="68">
        <v>0</v>
      </c>
      <c r="AH20" s="68">
        <v>0</v>
      </c>
      <c r="AI20" s="68">
        <v>0</v>
      </c>
      <c r="AJ20" s="69">
        <v>348.81814854145057</v>
      </c>
      <c r="AK20" s="69">
        <v>542.0563156922658</v>
      </c>
      <c r="AL20" s="69">
        <v>860.55114320119219</v>
      </c>
      <c r="AM20" s="69">
        <v>170.71273040771484</v>
      </c>
      <c r="AN20" s="69">
        <v>1616.6325073242188</v>
      </c>
      <c r="AO20" s="69">
        <v>2212.5460132598873</v>
      </c>
      <c r="AP20" s="69">
        <v>1263.5707930882772</v>
      </c>
      <c r="AQ20" s="69">
        <v>440.00266823768612</v>
      </c>
      <c r="AR20" s="69">
        <v>269.57361396551136</v>
      </c>
      <c r="AS20" s="69">
        <v>574.05546242396042</v>
      </c>
    </row>
    <row r="21" spans="1:45" x14ac:dyDescent="0.25">
      <c r="A21" s="11">
        <v>44241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406">
        <v>0</v>
      </c>
      <c r="AE21" s="406">
        <v>0</v>
      </c>
      <c r="AF21" s="69">
        <v>0</v>
      </c>
      <c r="AG21" s="68">
        <v>0</v>
      </c>
      <c r="AH21" s="68">
        <v>0</v>
      </c>
      <c r="AI21" s="68">
        <v>0</v>
      </c>
      <c r="AJ21" s="69">
        <v>351.64852978388461</v>
      </c>
      <c r="AK21" s="69">
        <v>550.59208898544307</v>
      </c>
      <c r="AL21" s="69">
        <v>831.72763938903813</v>
      </c>
      <c r="AM21" s="69">
        <v>334.82456666628519</v>
      </c>
      <c r="AN21" s="69">
        <v>1616.6325073242188</v>
      </c>
      <c r="AO21" s="69">
        <v>2243.4975616455081</v>
      </c>
      <c r="AP21" s="69">
        <v>1289.6591712315878</v>
      </c>
      <c r="AQ21" s="69">
        <v>438.05616602897646</v>
      </c>
      <c r="AR21" s="69">
        <v>278.46386729876201</v>
      </c>
      <c r="AS21" s="69">
        <v>582.00932966868072</v>
      </c>
    </row>
    <row r="22" spans="1:45" x14ac:dyDescent="0.25">
      <c r="A22" s="11">
        <v>44242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406">
        <v>0</v>
      </c>
      <c r="AE22" s="406">
        <v>0</v>
      </c>
      <c r="AF22" s="69">
        <v>0</v>
      </c>
      <c r="AG22" s="68">
        <v>0</v>
      </c>
      <c r="AH22" s="68">
        <v>0</v>
      </c>
      <c r="AI22" s="68">
        <v>0</v>
      </c>
      <c r="AJ22" s="69">
        <v>326.94376931985221</v>
      </c>
      <c r="AK22" s="69">
        <v>511.17791021664937</v>
      </c>
      <c r="AL22" s="69">
        <v>855.49312413533528</v>
      </c>
      <c r="AM22" s="69">
        <v>513.70408630371094</v>
      </c>
      <c r="AN22" s="69">
        <v>1616.6325073242188</v>
      </c>
      <c r="AO22" s="69">
        <v>2171.0490472157799</v>
      </c>
      <c r="AP22" s="69">
        <v>1196.0610813140868</v>
      </c>
      <c r="AQ22" s="69">
        <v>423.31290481885276</v>
      </c>
      <c r="AR22" s="69">
        <v>238.56220011711125</v>
      </c>
      <c r="AS22" s="69">
        <v>619.58016144434623</v>
      </c>
    </row>
    <row r="23" spans="1:45" x14ac:dyDescent="0.25">
      <c r="A23" s="11">
        <v>44243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406">
        <v>0</v>
      </c>
      <c r="AE23" s="406">
        <v>0</v>
      </c>
      <c r="AF23" s="69">
        <v>0</v>
      </c>
      <c r="AG23" s="68">
        <v>0</v>
      </c>
      <c r="AH23" s="68">
        <v>0</v>
      </c>
      <c r="AI23" s="68">
        <v>0</v>
      </c>
      <c r="AJ23" s="69">
        <v>278.98480151494346</v>
      </c>
      <c r="AK23" s="69">
        <v>426.39405291875198</v>
      </c>
      <c r="AL23" s="69">
        <v>816.77348556518564</v>
      </c>
      <c r="AM23" s="69">
        <v>513.70408630371094</v>
      </c>
      <c r="AN23" s="69">
        <v>1616.6325073242188</v>
      </c>
      <c r="AO23" s="69">
        <v>2020.9215437571206</v>
      </c>
      <c r="AP23" s="69">
        <v>700.9881227811178</v>
      </c>
      <c r="AQ23" s="69">
        <v>385.05824036598204</v>
      </c>
      <c r="AR23" s="69">
        <v>185.40923451185228</v>
      </c>
      <c r="AS23" s="69">
        <v>634.74911896387744</v>
      </c>
    </row>
    <row r="24" spans="1:45" x14ac:dyDescent="0.25">
      <c r="A24" s="11">
        <v>44244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406">
        <v>3.8905596750640871E-3</v>
      </c>
      <c r="AE24" s="406">
        <v>0</v>
      </c>
      <c r="AF24" s="69">
        <v>0</v>
      </c>
      <c r="AG24" s="68">
        <v>0</v>
      </c>
      <c r="AH24" s="68">
        <v>0</v>
      </c>
      <c r="AI24" s="68">
        <v>0</v>
      </c>
      <c r="AJ24" s="69">
        <v>285.8513384024302</v>
      </c>
      <c r="AK24" s="69">
        <v>440.72414132754005</v>
      </c>
      <c r="AL24" s="69">
        <v>824.9425612131754</v>
      </c>
      <c r="AM24" s="69">
        <v>513.70408630371094</v>
      </c>
      <c r="AN24" s="69">
        <v>1616.6325073242188</v>
      </c>
      <c r="AO24" s="69">
        <v>2200.4869598388668</v>
      </c>
      <c r="AP24" s="69">
        <v>661.06847349802649</v>
      </c>
      <c r="AQ24" s="69">
        <v>388.52995274861655</v>
      </c>
      <c r="AR24" s="69">
        <v>193.28611490329106</v>
      </c>
      <c r="AS24" s="69">
        <v>613.70658699671424</v>
      </c>
    </row>
    <row r="25" spans="1:45" x14ac:dyDescent="0.25">
      <c r="A25" s="11">
        <v>44245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406">
        <v>0</v>
      </c>
      <c r="AE25" s="406">
        <v>0</v>
      </c>
      <c r="AF25" s="69">
        <v>0</v>
      </c>
      <c r="AG25" s="68">
        <v>0</v>
      </c>
      <c r="AH25" s="68">
        <v>0</v>
      </c>
      <c r="AI25" s="68">
        <v>0</v>
      </c>
      <c r="AJ25" s="69">
        <v>282.24305862585709</v>
      </c>
      <c r="AK25" s="69">
        <v>433.45776524543754</v>
      </c>
      <c r="AL25" s="69">
        <v>846.45132427215583</v>
      </c>
      <c r="AM25" s="69">
        <v>286.81349886258442</v>
      </c>
      <c r="AN25" s="69">
        <v>1576.0078402201334</v>
      </c>
      <c r="AO25" s="69">
        <v>2219.0730757395431</v>
      </c>
      <c r="AP25" s="69">
        <v>717.63965546290092</v>
      </c>
      <c r="AQ25" s="69">
        <v>384.99165007273359</v>
      </c>
      <c r="AR25" s="69">
        <v>193.59441435734431</v>
      </c>
      <c r="AS25" s="69">
        <v>598.4713494936625</v>
      </c>
    </row>
    <row r="26" spans="1:45" x14ac:dyDescent="0.25">
      <c r="A26" s="11">
        <v>44246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72">
        <v>0</v>
      </c>
      <c r="AB26" s="69">
        <v>0</v>
      </c>
      <c r="AC26" s="69">
        <v>0</v>
      </c>
      <c r="AD26" s="406">
        <v>0</v>
      </c>
      <c r="AE26" s="406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277.96406133174895</v>
      </c>
      <c r="AK26" s="69">
        <v>424.57433929443363</v>
      </c>
      <c r="AL26" s="69">
        <v>872.031639289856</v>
      </c>
      <c r="AM26" s="69">
        <v>153.90594863891602</v>
      </c>
      <c r="AN26" s="69">
        <v>1546.417236328125</v>
      </c>
      <c r="AO26" s="69">
        <v>2182.7508753458665</v>
      </c>
      <c r="AP26" s="69">
        <v>627.13993938763929</v>
      </c>
      <c r="AQ26" s="69">
        <v>393.00448193550113</v>
      </c>
      <c r="AR26" s="69">
        <v>179.48640146255494</v>
      </c>
      <c r="AS26" s="69">
        <v>606.09483283360805</v>
      </c>
    </row>
    <row r="27" spans="1:45" x14ac:dyDescent="0.25">
      <c r="A27" s="11">
        <v>44247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6">
        <v>0</v>
      </c>
      <c r="Z27" s="66">
        <v>0</v>
      </c>
      <c r="AA27" s="67">
        <v>0</v>
      </c>
      <c r="AB27" s="68">
        <v>0</v>
      </c>
      <c r="AC27" s="69">
        <v>0</v>
      </c>
      <c r="AD27" s="406">
        <v>0</v>
      </c>
      <c r="AE27" s="406">
        <v>0</v>
      </c>
      <c r="AF27" s="69">
        <v>0</v>
      </c>
      <c r="AG27" s="68">
        <v>0</v>
      </c>
      <c r="AH27" s="68">
        <v>0</v>
      </c>
      <c r="AI27" s="68">
        <v>0</v>
      </c>
      <c r="AJ27" s="69">
        <v>269.76366908550261</v>
      </c>
      <c r="AK27" s="69">
        <v>400.74061598777769</v>
      </c>
      <c r="AL27" s="69">
        <v>942.30703811645515</v>
      </c>
      <c r="AM27" s="69">
        <v>153.90594863891602</v>
      </c>
      <c r="AN27" s="69">
        <v>1546.417236328125</v>
      </c>
      <c r="AO27" s="69">
        <v>2043.3823939005533</v>
      </c>
      <c r="AP27" s="69">
        <v>660.54115931193019</v>
      </c>
      <c r="AQ27" s="69">
        <v>376.61378073692327</v>
      </c>
      <c r="AR27" s="69">
        <v>160.24131822586065</v>
      </c>
      <c r="AS27" s="69">
        <v>569.29002463022857</v>
      </c>
    </row>
    <row r="28" spans="1:45" s="368" customFormat="1" ht="15" customHeight="1" x14ac:dyDescent="0.25">
      <c r="A28" s="398">
        <v>44248</v>
      </c>
      <c r="B28" s="362"/>
      <c r="C28" s="363">
        <v>0</v>
      </c>
      <c r="D28" s="363">
        <v>0</v>
      </c>
      <c r="E28" s="363">
        <v>0</v>
      </c>
      <c r="F28" s="363">
        <v>0</v>
      </c>
      <c r="G28" s="363">
        <v>0</v>
      </c>
      <c r="H28" s="364">
        <v>0</v>
      </c>
      <c r="I28" s="362">
        <v>0</v>
      </c>
      <c r="J28" s="363">
        <v>0</v>
      </c>
      <c r="K28" s="363">
        <v>0</v>
      </c>
      <c r="L28" s="50">
        <v>0</v>
      </c>
      <c r="M28" s="363">
        <v>0</v>
      </c>
      <c r="N28" s="364">
        <v>0</v>
      </c>
      <c r="O28" s="362">
        <v>0</v>
      </c>
      <c r="P28" s="363">
        <v>0</v>
      </c>
      <c r="Q28" s="363">
        <v>0</v>
      </c>
      <c r="R28" s="363">
        <v>0</v>
      </c>
      <c r="S28" s="363">
        <v>0</v>
      </c>
      <c r="T28" s="364">
        <v>0</v>
      </c>
      <c r="U28" s="362">
        <v>0</v>
      </c>
      <c r="V28" s="363">
        <v>0</v>
      </c>
      <c r="W28" s="363">
        <v>0</v>
      </c>
      <c r="X28" s="363">
        <v>0</v>
      </c>
      <c r="Y28" s="363">
        <v>0</v>
      </c>
      <c r="Z28" s="363">
        <v>0</v>
      </c>
      <c r="AA28" s="364">
        <v>0</v>
      </c>
      <c r="AB28" s="366">
        <v>0</v>
      </c>
      <c r="AC28" s="367">
        <v>0</v>
      </c>
      <c r="AD28" s="406">
        <v>0</v>
      </c>
      <c r="AE28" s="406">
        <v>0</v>
      </c>
      <c r="AF28" s="367">
        <v>0</v>
      </c>
      <c r="AG28" s="367">
        <v>0</v>
      </c>
      <c r="AH28" s="367">
        <v>0</v>
      </c>
      <c r="AI28" s="367">
        <v>0</v>
      </c>
      <c r="AJ28" s="367">
        <v>273.60000000000002</v>
      </c>
      <c r="AK28" s="367">
        <v>402.27</v>
      </c>
      <c r="AL28" s="367">
        <v>982.39</v>
      </c>
      <c r="AM28" s="367">
        <v>153.91</v>
      </c>
      <c r="AN28" s="367">
        <v>1546.42</v>
      </c>
      <c r="AO28" s="367">
        <v>2068.27</v>
      </c>
      <c r="AP28" s="367">
        <v>669.17</v>
      </c>
      <c r="AQ28" s="367">
        <v>371.81</v>
      </c>
      <c r="AR28" s="367">
        <v>151.46</v>
      </c>
      <c r="AS28" s="367">
        <v>552.82000000000005</v>
      </c>
    </row>
    <row r="29" spans="1:45" x14ac:dyDescent="0.25">
      <c r="A29" s="11">
        <v>44249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406">
        <v>0</v>
      </c>
      <c r="AE29" s="406">
        <v>0</v>
      </c>
      <c r="AF29" s="69">
        <v>2.0961370733049186E-3</v>
      </c>
      <c r="AG29" s="68">
        <v>0</v>
      </c>
      <c r="AH29" s="68">
        <v>0</v>
      </c>
      <c r="AI29" s="68">
        <v>0</v>
      </c>
      <c r="AJ29" s="69">
        <v>257.46474564870198</v>
      </c>
      <c r="AK29" s="69">
        <v>409.71338782310477</v>
      </c>
      <c r="AL29" s="69">
        <v>988.34688746134429</v>
      </c>
      <c r="AM29" s="69">
        <v>153.90594863891602</v>
      </c>
      <c r="AN29" s="69">
        <v>1546.417236328125</v>
      </c>
      <c r="AO29" s="69">
        <v>2074.4533785502117</v>
      </c>
      <c r="AP29" s="69">
        <v>677.68834365208943</v>
      </c>
      <c r="AQ29" s="69">
        <v>392.67377794583643</v>
      </c>
      <c r="AR29" s="69">
        <v>139.28063850800197</v>
      </c>
      <c r="AS29" s="69">
        <v>595.17126452128093</v>
      </c>
    </row>
    <row r="30" spans="1:45" x14ac:dyDescent="0.25">
      <c r="A30" s="11">
        <v>44250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406">
        <v>0</v>
      </c>
      <c r="AE30" s="406">
        <v>0</v>
      </c>
      <c r="AF30" s="69">
        <v>0</v>
      </c>
      <c r="AG30" s="68">
        <v>0</v>
      </c>
      <c r="AH30" s="68">
        <v>0</v>
      </c>
      <c r="AI30" s="68">
        <v>0</v>
      </c>
      <c r="AJ30" s="69">
        <v>239.92980923652644</v>
      </c>
      <c r="AK30" s="69">
        <v>384.41418671607971</v>
      </c>
      <c r="AL30" s="69">
        <v>1074.2409323374432</v>
      </c>
      <c r="AM30" s="69">
        <v>153.90594863891602</v>
      </c>
      <c r="AN30" s="69">
        <v>1546.417236328125</v>
      </c>
      <c r="AO30" s="69">
        <v>2058.4013688405357</v>
      </c>
      <c r="AP30" s="69">
        <v>530.09503103892018</v>
      </c>
      <c r="AQ30" s="69">
        <v>423.18245234489439</v>
      </c>
      <c r="AR30" s="69">
        <v>121.76361039479572</v>
      </c>
      <c r="AS30" s="69">
        <v>582.11976690292363</v>
      </c>
    </row>
    <row r="31" spans="1:45" x14ac:dyDescent="0.25">
      <c r="A31" s="11">
        <v>44251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406">
        <v>0</v>
      </c>
      <c r="AE31" s="406">
        <v>0</v>
      </c>
      <c r="AF31" s="69">
        <v>0</v>
      </c>
      <c r="AG31" s="68">
        <v>0</v>
      </c>
      <c r="AH31" s="68">
        <v>0</v>
      </c>
      <c r="AI31" s="68">
        <v>0</v>
      </c>
      <c r="AJ31" s="69">
        <v>298.98230206171672</v>
      </c>
      <c r="AK31" s="69">
        <v>469.06123394966119</v>
      </c>
      <c r="AL31" s="69">
        <v>885.44768606821708</v>
      </c>
      <c r="AM31" s="69">
        <v>153.90594863891602</v>
      </c>
      <c r="AN31" s="69">
        <v>1546.417236328125</v>
      </c>
      <c r="AO31" s="69">
        <v>2078.1090933481855</v>
      </c>
      <c r="AP31" s="69">
        <v>624.14407299359652</v>
      </c>
      <c r="AQ31" s="69">
        <v>414.10318126678459</v>
      </c>
      <c r="AR31" s="69">
        <v>156.1202726562818</v>
      </c>
      <c r="AS31" s="69">
        <v>580.33328720728548</v>
      </c>
    </row>
    <row r="32" spans="1:45" x14ac:dyDescent="0.25">
      <c r="A32" s="11">
        <v>44252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0.19686330904563271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406">
        <v>0</v>
      </c>
      <c r="AE32" s="406">
        <v>0</v>
      </c>
      <c r="AF32" s="69">
        <v>0</v>
      </c>
      <c r="AG32" s="68">
        <v>0</v>
      </c>
      <c r="AH32" s="68">
        <v>0</v>
      </c>
      <c r="AI32" s="68">
        <v>0</v>
      </c>
      <c r="AJ32" s="69">
        <v>282.511189977328</v>
      </c>
      <c r="AK32" s="69">
        <v>462.27685033480316</v>
      </c>
      <c r="AL32" s="69">
        <v>937.54015394846601</v>
      </c>
      <c r="AM32" s="69">
        <v>153.90594863891602</v>
      </c>
      <c r="AN32" s="69">
        <v>1546.417236328125</v>
      </c>
      <c r="AO32" s="69">
        <v>2077.378308995565</v>
      </c>
      <c r="AP32" s="69">
        <v>632.82103430430095</v>
      </c>
      <c r="AQ32" s="69">
        <v>375.33059101104737</v>
      </c>
      <c r="AR32" s="69">
        <v>168.40316768089932</v>
      </c>
      <c r="AS32" s="69">
        <v>576.61577062606818</v>
      </c>
    </row>
    <row r="33" spans="1:45" x14ac:dyDescent="0.25">
      <c r="A33" s="11">
        <v>44253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38.152637946605665</v>
      </c>
      <c r="J33" s="60">
        <v>0</v>
      </c>
      <c r="K33" s="60">
        <v>0.34474880596001944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406">
        <v>0</v>
      </c>
      <c r="AE33" s="406">
        <v>0</v>
      </c>
      <c r="AF33" s="69">
        <v>0</v>
      </c>
      <c r="AG33" s="68">
        <v>0</v>
      </c>
      <c r="AH33" s="68">
        <v>0</v>
      </c>
      <c r="AI33" s="68">
        <v>0</v>
      </c>
      <c r="AJ33" s="69">
        <v>284.96271478335063</v>
      </c>
      <c r="AK33" s="69">
        <v>491.64663316408792</v>
      </c>
      <c r="AL33" s="69">
        <v>933.28884582519538</v>
      </c>
      <c r="AM33" s="69">
        <v>153.90594863891602</v>
      </c>
      <c r="AN33" s="69">
        <v>1546.417236328125</v>
      </c>
      <c r="AO33" s="69">
        <v>2094.0667577107752</v>
      </c>
      <c r="AP33" s="69">
        <v>615.25722451210027</v>
      </c>
      <c r="AQ33" s="69">
        <v>407.04966559410099</v>
      </c>
      <c r="AR33" s="69">
        <v>167.63712055683135</v>
      </c>
      <c r="AS33" s="69">
        <v>588.3426240285238</v>
      </c>
    </row>
    <row r="34" spans="1:45" x14ac:dyDescent="0.25">
      <c r="A34" s="11">
        <v>44254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406">
        <v>0</v>
      </c>
      <c r="AE34" s="406">
        <v>0</v>
      </c>
      <c r="AF34" s="69">
        <v>0</v>
      </c>
      <c r="AG34" s="68">
        <v>0</v>
      </c>
      <c r="AH34" s="68">
        <v>0</v>
      </c>
      <c r="AI34" s="68">
        <v>0</v>
      </c>
      <c r="AJ34" s="69">
        <v>287.72006948788959</v>
      </c>
      <c r="AK34" s="69">
        <v>527.19221970240278</v>
      </c>
      <c r="AL34" s="69">
        <v>882.27955665588377</v>
      </c>
      <c r="AM34" s="69">
        <v>153.90594863891602</v>
      </c>
      <c r="AN34" s="69">
        <v>1546.417236328125</v>
      </c>
      <c r="AO34" s="69">
        <v>2066.1726085662845</v>
      </c>
      <c r="AP34" s="69">
        <v>622.19309027989709</v>
      </c>
      <c r="AQ34" s="69">
        <v>399.84176680246986</v>
      </c>
      <c r="AR34" s="69">
        <v>170.06306662559507</v>
      </c>
      <c r="AS34" s="69">
        <v>550.35035839080831</v>
      </c>
    </row>
    <row r="35" spans="1:45" x14ac:dyDescent="0.25">
      <c r="A35" s="11">
        <v>44255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406">
        <v>0</v>
      </c>
      <c r="AE35" s="406">
        <v>0</v>
      </c>
      <c r="AF35" s="69">
        <v>0</v>
      </c>
      <c r="AG35" s="68">
        <v>0</v>
      </c>
      <c r="AH35" s="68">
        <v>0</v>
      </c>
      <c r="AI35" s="68">
        <v>0</v>
      </c>
      <c r="AJ35" s="69">
        <v>287.95592256387079</v>
      </c>
      <c r="AK35" s="69">
        <v>532.40630928675341</v>
      </c>
      <c r="AL35" s="69">
        <v>973.86568984985342</v>
      </c>
      <c r="AM35" s="69">
        <v>153.90594863891602</v>
      </c>
      <c r="AN35" s="69">
        <v>1546.417236328125</v>
      </c>
      <c r="AO35" s="69">
        <v>2082.2327653249108</v>
      </c>
      <c r="AP35" s="69">
        <v>621.76281150182092</v>
      </c>
      <c r="AQ35" s="69">
        <v>375.36681375503537</v>
      </c>
      <c r="AR35" s="69">
        <v>176.96523596445715</v>
      </c>
      <c r="AS35" s="69">
        <v>561.44691905975333</v>
      </c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6"/>
      <c r="AE36" s="406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65"/>
      <c r="C37" s="380"/>
      <c r="D37" s="380"/>
      <c r="E37" s="380"/>
      <c r="F37" s="380"/>
      <c r="G37" s="380"/>
      <c r="H37" s="390"/>
      <c r="I37" s="379"/>
      <c r="J37" s="380"/>
      <c r="K37" s="380"/>
      <c r="L37" s="380"/>
      <c r="M37" s="380"/>
      <c r="N37" s="390"/>
      <c r="O37" s="379"/>
      <c r="P37" s="380"/>
      <c r="Q37" s="380"/>
      <c r="R37" s="391"/>
      <c r="S37" s="380"/>
      <c r="T37" s="392"/>
      <c r="U37" s="393"/>
      <c r="V37" s="81"/>
      <c r="W37" s="81"/>
      <c r="X37" s="81"/>
      <c r="Y37" s="80"/>
      <c r="Z37" s="80"/>
      <c r="AA37" s="82"/>
      <c r="AB37" s="394"/>
      <c r="AC37" s="388"/>
      <c r="AD37" s="406"/>
      <c r="AE37" s="406"/>
      <c r="AF37" s="388"/>
      <c r="AG37" s="394"/>
      <c r="AH37" s="394"/>
      <c r="AI37" s="394"/>
      <c r="AJ37" s="388"/>
      <c r="AK37" s="388"/>
      <c r="AL37" s="388"/>
      <c r="AM37" s="388"/>
      <c r="AN37" s="388"/>
      <c r="AO37" s="388"/>
      <c r="AP37" s="388"/>
      <c r="AQ37" s="388"/>
      <c r="AR37" s="388"/>
      <c r="AS37" s="388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6"/>
      <c r="AE38" s="406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38.152637946605665</v>
      </c>
      <c r="J39" s="30">
        <f t="shared" si="0"/>
        <v>0</v>
      </c>
      <c r="K39" s="30">
        <f t="shared" si="0"/>
        <v>0.54161211500565209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7818.2259449752164</v>
      </c>
      <c r="AK39" s="272">
        <f t="shared" si="1"/>
        <v>12229.430788202286</v>
      </c>
      <c r="AL39" s="272">
        <f t="shared" si="1"/>
        <v>25489.91919760386</v>
      </c>
      <c r="AM39" s="272">
        <f t="shared" si="1"/>
        <v>5946.0962657642358</v>
      </c>
      <c r="AN39" s="272">
        <f t="shared" si="1"/>
        <v>44522.93308436076</v>
      </c>
      <c r="AO39" s="272">
        <f t="shared" si="1"/>
        <v>57792.063548711136</v>
      </c>
      <c r="AP39" s="272">
        <f t="shared" si="1"/>
        <v>19700.546055313742</v>
      </c>
      <c r="AQ39" s="272">
        <f t="shared" si="1"/>
        <v>11012.803983761469</v>
      </c>
      <c r="AR39" s="272">
        <f t="shared" si="1"/>
        <v>4969.9510645492865</v>
      </c>
      <c r="AS39" s="272">
        <f t="shared" si="1"/>
        <v>16397.491792710622</v>
      </c>
    </row>
    <row r="40" spans="1:45" ht="15.75" thickBot="1" x14ac:dyDescent="0.3">
      <c r="A40" s="47" t="s">
        <v>172</v>
      </c>
      <c r="B40" s="32">
        <f>Projection!$AA$30</f>
        <v>0.68740698599999983</v>
      </c>
      <c r="C40" s="33">
        <f>Projection!$AA$28</f>
        <v>1.4286753599999999</v>
      </c>
      <c r="D40" s="33">
        <f>Projection!$AA$31</f>
        <v>1.9478603759999999</v>
      </c>
      <c r="E40" s="33">
        <f>Projection!$AA$26</f>
        <v>4.4235360000000004</v>
      </c>
      <c r="F40" s="33">
        <f>Projection!$AA$23</f>
        <v>0</v>
      </c>
      <c r="G40" s="33">
        <f>Projection!$AA$24</f>
        <v>7.2805000000000009E-2</v>
      </c>
      <c r="H40" s="34">
        <f>Projection!$AA$29</f>
        <v>3.7390305000000001</v>
      </c>
      <c r="I40" s="32">
        <f>Projection!$AA$30</f>
        <v>0.68740698599999983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1.4286753599999999</v>
      </c>
      <c r="T40" s="38">
        <f>Projection!$AA$28</f>
        <v>1.4286753599999999</v>
      </c>
      <c r="U40" s="26">
        <f>Projection!$AA$27</f>
        <v>0.30499999999999999</v>
      </c>
      <c r="V40" s="27">
        <f>Projection!$AA$27</f>
        <v>0.30499999999999999</v>
      </c>
      <c r="W40" s="27">
        <f>Projection!$AA$22</f>
        <v>1.0660271400000001</v>
      </c>
      <c r="X40" s="27">
        <f>Projection!$AA$22</f>
        <v>1.0660271400000001</v>
      </c>
      <c r="Y40" s="27">
        <f>Projection!$AA$31</f>
        <v>1.9478603759999999</v>
      </c>
      <c r="Z40" s="27">
        <f>Projection!$AA$31</f>
        <v>1.9478603759999999</v>
      </c>
      <c r="AA40" s="28">
        <v>0</v>
      </c>
      <c r="AB40" s="41">
        <f>Projection!$AA$27</f>
        <v>0.30499999999999999</v>
      </c>
      <c r="AC40" s="41">
        <f>Projection!$AA$30</f>
        <v>0.68740698599999983</v>
      </c>
      <c r="AD40" s="397">
        <f>SUM(AD8:AD38)</f>
        <v>3.8905596750640871E-3</v>
      </c>
      <c r="AE40" s="397">
        <f>SUM(AE8:AE38)</f>
        <v>3.739196304073334E-3</v>
      </c>
      <c r="AF40" s="276">
        <f>SUM(AF8:AF38)</f>
        <v>2.0961370733049186E-3</v>
      </c>
      <c r="AG40" s="276">
        <f>SUM(AG8:AG38)</f>
        <v>0</v>
      </c>
      <c r="AH40" s="276">
        <f>SUM(AH8:AH38)</f>
        <v>0</v>
      </c>
      <c r="AI40" s="276">
        <f>IF(SUM(AG40:AH40)&gt;0, AG40/(AG40+AH40), 0)</f>
        <v>0</v>
      </c>
      <c r="AJ40" s="311">
        <v>7.1999999999999995E-2</v>
      </c>
      <c r="AK40" s="311">
        <f t="shared" ref="AK40:AS40" si="2">$AJ$40</f>
        <v>7.1999999999999995E-2</v>
      </c>
      <c r="AL40" s="311">
        <f t="shared" si="2"/>
        <v>7.1999999999999995E-2</v>
      </c>
      <c r="AM40" s="311">
        <f t="shared" si="2"/>
        <v>7.1999999999999995E-2</v>
      </c>
      <c r="AN40" s="311">
        <f t="shared" si="2"/>
        <v>7.1999999999999995E-2</v>
      </c>
      <c r="AO40" s="311">
        <f t="shared" si="2"/>
        <v>7.1999999999999995E-2</v>
      </c>
      <c r="AP40" s="311">
        <f t="shared" si="2"/>
        <v>7.1999999999999995E-2</v>
      </c>
      <c r="AQ40" s="311">
        <f t="shared" si="2"/>
        <v>7.1999999999999995E-2</v>
      </c>
      <c r="AR40" s="311">
        <f t="shared" si="2"/>
        <v>7.1999999999999995E-2</v>
      </c>
      <c r="AS40" s="311">
        <f t="shared" si="2"/>
        <v>7.1999999999999995E-2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26.226389858825424</v>
      </c>
      <c r="J41" s="36">
        <f t="shared" si="3"/>
        <v>0</v>
      </c>
      <c r="K41" s="36">
        <f t="shared" si="3"/>
        <v>2.3958406887636423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562.91226803821553</v>
      </c>
      <c r="AK41" s="277">
        <f t="shared" si="4"/>
        <v>880.51901675056456</v>
      </c>
      <c r="AL41" s="277">
        <f t="shared" si="4"/>
        <v>1835.2741822274777</v>
      </c>
      <c r="AM41" s="277">
        <f t="shared" si="4"/>
        <v>428.11893113502492</v>
      </c>
      <c r="AN41" s="277">
        <f t="shared" si="4"/>
        <v>3205.6511820739747</v>
      </c>
      <c r="AO41" s="277">
        <f t="shared" si="4"/>
        <v>4161.0285755072018</v>
      </c>
      <c r="AP41" s="277">
        <f t="shared" si="4"/>
        <v>1418.4393159825893</v>
      </c>
      <c r="AQ41" s="277">
        <f t="shared" si="4"/>
        <v>792.92188683082566</v>
      </c>
      <c r="AR41" s="277">
        <f t="shared" si="4"/>
        <v>357.83647664754858</v>
      </c>
      <c r="AS41" s="277">
        <f t="shared" si="4"/>
        <v>1180.6194090751646</v>
      </c>
    </row>
    <row r="42" spans="1:45" ht="49.5" customHeight="1" thickTop="1" thickBot="1" x14ac:dyDescent="0.3">
      <c r="A42" s="643">
        <f>JANUARY!$A$42+31</f>
        <v>44228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1339.37</v>
      </c>
      <c r="AK42" s="277" t="s">
        <v>197</v>
      </c>
      <c r="AL42" s="277">
        <v>2596.09</v>
      </c>
      <c r="AM42" s="277">
        <v>839.16</v>
      </c>
      <c r="AN42" s="277">
        <v>1422.58</v>
      </c>
      <c r="AO42" s="277">
        <v>7313.22</v>
      </c>
      <c r="AP42" s="277">
        <v>1574.01</v>
      </c>
      <c r="AQ42" s="277" t="s">
        <v>197</v>
      </c>
      <c r="AR42" s="277">
        <v>156.99</v>
      </c>
      <c r="AS42" s="277">
        <v>467.93</v>
      </c>
    </row>
    <row r="43" spans="1:45" ht="38.25" customHeight="1" thickTop="1" thickBot="1" x14ac:dyDescent="0.3">
      <c r="A43" s="640" t="s">
        <v>234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28.622230547589066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28.622230547589066</v>
      </c>
      <c r="I44" s="12"/>
      <c r="J44" s="281" t="s">
        <v>198</v>
      </c>
      <c r="K44" s="282">
        <v>136982.9</v>
      </c>
      <c r="L44" s="12"/>
      <c r="M44" s="12"/>
      <c r="N44" s="12"/>
      <c r="O44" s="12"/>
      <c r="P44" s="12"/>
      <c r="Q44" s="12"/>
      <c r="R44" s="305" t="s">
        <v>135</v>
      </c>
      <c r="S44" s="306"/>
      <c r="T44" s="303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14823.321244268585</v>
      </c>
      <c r="C45" s="12"/>
      <c r="D45" s="283" t="s">
        <v>183</v>
      </c>
      <c r="E45" s="284">
        <f>AJ41*(1-$AI$40)+AK41+AL41*0.5+AN41+AO41*(1-$AI$40)+AP41*(1-$AI$40)+AQ41*(1-$AI$40)+AR41*0.5+AS41*0.5</f>
        <v>12708.337279158466</v>
      </c>
      <c r="F45" s="24"/>
      <c r="G45" s="283" t="s">
        <v>183</v>
      </c>
      <c r="H45" s="284">
        <f>AJ41*AI40+AL41*0.5+AM41+AO41*AI40+AP41*AI40+AQ41*AI40+AR41*0.5+AS41*0.5</f>
        <v>2114.9839651101202</v>
      </c>
      <c r="I45" s="12"/>
      <c r="J45" s="12"/>
      <c r="K45" s="287"/>
      <c r="L45" s="12"/>
      <c r="M45" s="12"/>
      <c r="N45" s="12"/>
      <c r="O45" s="12"/>
      <c r="P45" s="12"/>
      <c r="Q45" s="12"/>
      <c r="R45" s="307" t="s">
        <v>141</v>
      </c>
      <c r="S45" s="308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15709.35</v>
      </c>
      <c r="C46" s="12"/>
      <c r="D46" s="285" t="s">
        <v>184</v>
      </c>
      <c r="E46" s="286">
        <f>AJ42*(1-$AI$40)+AL42*0.5+AN42+AO42*(1-$AI$40)+AP42*(1-$AI$40)+AR42*0.5+AS42*0.5</f>
        <v>13259.685000000001</v>
      </c>
      <c r="F46" s="23"/>
      <c r="G46" s="285" t="s">
        <v>184</v>
      </c>
      <c r="H46" s="286">
        <f>AJ42*AI40+AL42*0.5+AM42+AO42*AI40+AP42*AI40+AR42*0.5+AS42*0.5</f>
        <v>2449.665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07" t="s">
        <v>145</v>
      </c>
      <c r="S46" s="308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136982.9</v>
      </c>
      <c r="C47" s="12"/>
      <c r="D47" s="285" t="s">
        <v>187</v>
      </c>
      <c r="E47" s="286">
        <f>K44*0.5</f>
        <v>68491.45</v>
      </c>
      <c r="F47" s="24"/>
      <c r="G47" s="285" t="s">
        <v>185</v>
      </c>
      <c r="H47" s="286">
        <f>K44*0.5</f>
        <v>68491.45</v>
      </c>
      <c r="I47" s="12"/>
      <c r="J47" s="281" t="s">
        <v>198</v>
      </c>
      <c r="K47" s="282">
        <v>49700.12000000001</v>
      </c>
      <c r="L47" s="12"/>
      <c r="M47" s="12"/>
      <c r="N47" s="12"/>
      <c r="O47" s="12"/>
      <c r="P47" s="12"/>
      <c r="Q47" s="12"/>
      <c r="R47" s="307" t="s">
        <v>148</v>
      </c>
      <c r="S47" s="308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49700.12000000001</v>
      </c>
      <c r="C48" s="12"/>
      <c r="D48" s="285" t="s">
        <v>186</v>
      </c>
      <c r="E48" s="286">
        <f>K47*0.5</f>
        <v>24850.060000000005</v>
      </c>
      <c r="F48" s="23"/>
      <c r="G48" s="285" t="s">
        <v>186</v>
      </c>
      <c r="H48" s="286">
        <f>K47*0.5</f>
        <v>24850.060000000005</v>
      </c>
      <c r="I48" s="12"/>
      <c r="J48" s="12"/>
      <c r="K48" s="86"/>
      <c r="L48" s="12"/>
      <c r="M48" s="12"/>
      <c r="N48" s="12"/>
      <c r="O48" s="12"/>
      <c r="P48" s="12"/>
      <c r="Q48" s="12"/>
      <c r="R48" s="307" t="s">
        <v>150</v>
      </c>
      <c r="S48" s="308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2.0961370733049186E-3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444" t="e">
        <f t="shared" ref="K49" si="5">SUM(#REF!-#REF!+#REF!+K15+K30+K35+K37)</f>
        <v>#REF!</v>
      </c>
      <c r="L49" s="12"/>
      <c r="M49" s="12"/>
      <c r="N49" s="12"/>
      <c r="O49" s="12"/>
      <c r="P49" s="12"/>
      <c r="Q49" s="12"/>
      <c r="R49" s="307" t="s">
        <v>152</v>
      </c>
      <c r="S49" s="308"/>
      <c r="T49" s="253">
        <f>$E$39+$K$39</f>
        <v>0.54161211500565209</v>
      </c>
      <c r="U49" s="255">
        <f>(T49*8.34*1.04)/45000</f>
        <v>1.0439392979362275E-4</v>
      </c>
    </row>
    <row r="50" spans="1:25" ht="48" customHeight="1" thickTop="1" thickBot="1" x14ac:dyDescent="0.3">
      <c r="A50" s="290" t="s">
        <v>223</v>
      </c>
      <c r="B50" s="291">
        <f>SUM(E50+H50)</f>
        <v>7.6297559791374207E-3</v>
      </c>
      <c r="C50" s="12"/>
      <c r="D50" s="290" t="s">
        <v>224</v>
      </c>
      <c r="E50" s="291">
        <f>AE40</f>
        <v>3.739196304073334E-3</v>
      </c>
      <c r="F50" s="23"/>
      <c r="G50" s="290" t="s">
        <v>225</v>
      </c>
      <c r="H50" s="291">
        <f>AD40</f>
        <v>3.8905596750640871E-3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28473297.713431805</v>
      </c>
      <c r="C51" s="12"/>
      <c r="D51" s="290" t="s">
        <v>188</v>
      </c>
      <c r="E51" s="396">
        <f>SUM(E44:E48)/E50</f>
        <v>31907801.189573102</v>
      </c>
      <c r="F51" s="23"/>
      <c r="G51" s="290" t="s">
        <v>189</v>
      </c>
      <c r="H51" s="396">
        <f>SUM(H44:H48)/H50</f>
        <v>25172414.607429065</v>
      </c>
      <c r="I51" s="12"/>
      <c r="J51" s="12"/>
      <c r="K51" s="86"/>
      <c r="L51" s="12"/>
      <c r="M51" s="12"/>
      <c r="N51" s="12"/>
      <c r="O51" s="12"/>
      <c r="P51" s="12"/>
      <c r="Q51" s="12"/>
      <c r="R51" s="307" t="s">
        <v>153</v>
      </c>
      <c r="S51" s="308"/>
      <c r="T51" s="253">
        <f>$U$39+$V$39+$AB$39</f>
        <v>0</v>
      </c>
      <c r="U51" s="255">
        <f>T51/2000/8</f>
        <v>0</v>
      </c>
    </row>
    <row r="52" spans="1:25" ht="47.25" customHeight="1" thickTop="1" thickBot="1" x14ac:dyDescent="0.3">
      <c r="A52" s="280" t="s">
        <v>191</v>
      </c>
      <c r="B52" s="293">
        <f>B51/1000</f>
        <v>28473.297713431806</v>
      </c>
      <c r="C52" s="12"/>
      <c r="D52" s="280" t="s">
        <v>192</v>
      </c>
      <c r="E52" s="293">
        <f>E51/1000</f>
        <v>31907.801189573103</v>
      </c>
      <c r="F52" s="370" t="e">
        <f>E44/E49</f>
        <v>#DIV/0!</v>
      </c>
      <c r="G52" s="280" t="s">
        <v>193</v>
      </c>
      <c r="H52" s="293">
        <f>H51/1000</f>
        <v>25172.414607429066</v>
      </c>
      <c r="I52" s="370" t="e">
        <f>H44/H49</f>
        <v>#DIV/0!</v>
      </c>
      <c r="J52" s="12"/>
      <c r="K52" s="86"/>
      <c r="L52" s="12"/>
      <c r="M52" s="12"/>
      <c r="N52" s="12"/>
      <c r="O52" s="12"/>
      <c r="P52" s="12"/>
      <c r="Q52" s="12"/>
      <c r="R52" s="307" t="s">
        <v>154</v>
      </c>
      <c r="S52" s="308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7" t="s">
        <v>155</v>
      </c>
      <c r="S53" s="308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07" t="s">
        <v>156</v>
      </c>
      <c r="S54" s="308"/>
      <c r="T54" s="253">
        <f>$B$39+$I$39+$AC$39</f>
        <v>38.152637946605665</v>
      </c>
      <c r="U54" s="255">
        <f>(T54*8.34*1.029*0.03)/3300</f>
        <v>2.976550886258702E-3</v>
      </c>
    </row>
    <row r="55" spans="1:25" ht="42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0</v>
      </c>
      <c r="U55" s="258">
        <f>(T55*1.54*8.34)/45000</f>
        <v>0</v>
      </c>
    </row>
    <row r="56" spans="1:25" ht="24" thickTop="1" x14ac:dyDescent="0.25">
      <c r="A56" s="671"/>
      <c r="B56" s="67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3"/>
      <c r="B57" s="67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9"/>
      <c r="B58" s="67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70"/>
      <c r="B59" s="67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9"/>
      <c r="B60" s="67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70"/>
      <c r="B61" s="67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+NAyl7NJYDcO5jIHRWfJirQZahOGWPwURCWWuNUYZEdI39Uk+mIsaLf+q9Pkm4fOXTS34mXbDIGOAC8Q2LsRtw==" saltValue="RIyY2vWR6R9QIcWGPv82nQ==" spinCount="100000" sheet="1" objects="1" scenarios="1" selectLockedCells="1" selectUnlockedCells="1"/>
  <mergeCells count="36">
    <mergeCell ref="AR4:AR5"/>
    <mergeCell ref="AS4:AS5"/>
    <mergeCell ref="AJ4:AJ5"/>
    <mergeCell ref="AK4:AK5"/>
    <mergeCell ref="AL4:AL5"/>
    <mergeCell ref="AM4:AM5"/>
    <mergeCell ref="AN4:AN5"/>
    <mergeCell ref="AO4:AO5"/>
    <mergeCell ref="I4:N5"/>
    <mergeCell ref="AQ4:AQ5"/>
    <mergeCell ref="AP4:AP5"/>
    <mergeCell ref="R43:U43"/>
    <mergeCell ref="AF4:AF5"/>
    <mergeCell ref="AG4:AG5"/>
    <mergeCell ref="AH4:AH5"/>
    <mergeCell ref="AI4:AI5"/>
    <mergeCell ref="O4:T5"/>
    <mergeCell ref="AD4:AD5"/>
    <mergeCell ref="AE4:AE5"/>
    <mergeCell ref="AC4:AC5"/>
    <mergeCell ref="A58:B59"/>
    <mergeCell ref="A60:B61"/>
    <mergeCell ref="A56:B56"/>
    <mergeCell ref="A57:B57"/>
    <mergeCell ref="AB4:AB5"/>
    <mergeCell ref="A54:E54"/>
    <mergeCell ref="A55:E55"/>
    <mergeCell ref="R55:S55"/>
    <mergeCell ref="U4:AA5"/>
    <mergeCell ref="J43:K43"/>
    <mergeCell ref="J46:K46"/>
    <mergeCell ref="A42:K42"/>
    <mergeCell ref="A43:B43"/>
    <mergeCell ref="D43:E43"/>
    <mergeCell ref="G43:H43"/>
    <mergeCell ref="B4:H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64"/>
  <sheetViews>
    <sheetView topLeftCell="AH26" zoomScale="90" zoomScaleNormal="90" workbookViewId="0">
      <selection activeCell="AJ41" sqref="AJ41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49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44256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43.081218473116664</v>
      </c>
      <c r="AC8" s="57">
        <v>0</v>
      </c>
      <c r="AD8" s="405">
        <v>0</v>
      </c>
      <c r="AE8" s="405">
        <v>0</v>
      </c>
      <c r="AF8" s="57">
        <v>0</v>
      </c>
      <c r="AG8" s="58">
        <v>0</v>
      </c>
      <c r="AH8" s="58">
        <v>0</v>
      </c>
      <c r="AI8" s="58">
        <v>0</v>
      </c>
      <c r="AJ8" s="57">
        <v>272.77175424098971</v>
      </c>
      <c r="AK8" s="57">
        <v>505.3220838228861</v>
      </c>
      <c r="AL8" s="57">
        <v>1013.2377557118733</v>
      </c>
      <c r="AM8" s="57">
        <v>153.90594863891602</v>
      </c>
      <c r="AN8" s="57">
        <v>1546.417236328125</v>
      </c>
      <c r="AO8" s="57">
        <v>2157.2059675852456</v>
      </c>
      <c r="AP8" s="57">
        <v>691.44548350969944</v>
      </c>
      <c r="AQ8" s="57">
        <v>473.96531653404242</v>
      </c>
      <c r="AR8" s="57">
        <v>158.32001359462737</v>
      </c>
      <c r="AS8" s="57">
        <v>595.35441220601399</v>
      </c>
    </row>
    <row r="9" spans="1:49" x14ac:dyDescent="0.25">
      <c r="A9" s="11">
        <v>44257</v>
      </c>
      <c r="B9" s="59"/>
      <c r="C9" s="5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51.577099307378113</v>
      </c>
      <c r="J9" s="60">
        <v>151.63368061383568</v>
      </c>
      <c r="K9" s="60">
        <v>8.0899317984779664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21.578470403617956</v>
      </c>
      <c r="AC9" s="69">
        <v>0</v>
      </c>
      <c r="AD9" s="406">
        <v>3.9351583723605601</v>
      </c>
      <c r="AE9" s="406">
        <v>0</v>
      </c>
      <c r="AF9" s="69">
        <v>0</v>
      </c>
      <c r="AG9" s="68">
        <v>0</v>
      </c>
      <c r="AH9" s="68">
        <v>0</v>
      </c>
      <c r="AI9" s="68">
        <v>0</v>
      </c>
      <c r="AJ9" s="69">
        <v>246.84326008955634</v>
      </c>
      <c r="AK9" s="69">
        <v>473.16341133117675</v>
      </c>
      <c r="AL9" s="69">
        <v>1061.7800388336182</v>
      </c>
      <c r="AM9" s="69">
        <v>153.90594863891602</v>
      </c>
      <c r="AN9" s="69">
        <v>1546.417236328125</v>
      </c>
      <c r="AO9" s="69">
        <v>2180.9313340504959</v>
      </c>
      <c r="AP9" s="69">
        <v>581.0442569096881</v>
      </c>
      <c r="AQ9" s="69">
        <v>401.22905001640311</v>
      </c>
      <c r="AR9" s="69">
        <v>167.05420082807541</v>
      </c>
      <c r="AS9" s="69">
        <v>579.03924633661893</v>
      </c>
    </row>
    <row r="10" spans="1:49" x14ac:dyDescent="0.25">
      <c r="A10" s="11">
        <v>44258</v>
      </c>
      <c r="B10" s="59"/>
      <c r="C10" s="5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123.14941526651387</v>
      </c>
      <c r="J10" s="60">
        <v>324.8746423085538</v>
      </c>
      <c r="K10" s="60">
        <v>17.690639550487219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127.39378125402678</v>
      </c>
      <c r="V10" s="62">
        <v>0</v>
      </c>
      <c r="W10" s="62">
        <v>12.596818164984379</v>
      </c>
      <c r="X10" s="62">
        <v>0</v>
      </c>
      <c r="Y10" s="66">
        <v>43.256807533899966</v>
      </c>
      <c r="Z10" s="66">
        <v>0</v>
      </c>
      <c r="AA10" s="67">
        <v>0</v>
      </c>
      <c r="AB10" s="68">
        <v>29.097434030638951</v>
      </c>
      <c r="AC10" s="69">
        <v>0</v>
      </c>
      <c r="AD10" s="406">
        <v>8.3519871803980941</v>
      </c>
      <c r="AE10" s="406">
        <v>0</v>
      </c>
      <c r="AF10" s="69">
        <v>0</v>
      </c>
      <c r="AG10" s="68">
        <v>3.3834522899340564</v>
      </c>
      <c r="AH10" s="68">
        <v>0</v>
      </c>
      <c r="AI10" s="68">
        <v>1</v>
      </c>
      <c r="AJ10" s="69">
        <v>237.38986907005312</v>
      </c>
      <c r="AK10" s="69">
        <v>453.27543888092038</v>
      </c>
      <c r="AL10" s="69">
        <v>1047.6413828531902</v>
      </c>
      <c r="AM10" s="69">
        <v>153.90594863891602</v>
      </c>
      <c r="AN10" s="69">
        <v>1546.417236328125</v>
      </c>
      <c r="AO10" s="69">
        <v>2122.7585158030192</v>
      </c>
      <c r="AP10" s="69">
        <v>556.69264934857665</v>
      </c>
      <c r="AQ10" s="69">
        <v>792.47480891545615</v>
      </c>
      <c r="AR10" s="69">
        <v>203.73756685256956</v>
      </c>
      <c r="AS10" s="69">
        <v>622.64956137339277</v>
      </c>
    </row>
    <row r="11" spans="1:49" x14ac:dyDescent="0.25">
      <c r="A11" s="11">
        <v>44259</v>
      </c>
      <c r="B11" s="59"/>
      <c r="C11" s="5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171.32192897001883</v>
      </c>
      <c r="J11" s="60">
        <v>371.7087644577025</v>
      </c>
      <c r="K11" s="60">
        <v>20.223498010635367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284.63992389043352</v>
      </c>
      <c r="V11" s="62">
        <v>0</v>
      </c>
      <c r="W11" s="62">
        <v>40.311755323410047</v>
      </c>
      <c r="X11" s="62">
        <v>0</v>
      </c>
      <c r="Y11" s="66">
        <v>125.71366662979133</v>
      </c>
      <c r="Z11" s="66">
        <v>0</v>
      </c>
      <c r="AA11" s="67">
        <v>0</v>
      </c>
      <c r="AB11" s="68">
        <v>35.847449131806584</v>
      </c>
      <c r="AC11" s="69">
        <v>0</v>
      </c>
      <c r="AD11" s="406">
        <v>9.5573331868906664</v>
      </c>
      <c r="AE11" s="406">
        <v>0</v>
      </c>
      <c r="AF11" s="69">
        <v>6.0164288371801318</v>
      </c>
      <c r="AG11" s="68">
        <v>8.897427901366628</v>
      </c>
      <c r="AH11" s="68">
        <v>0</v>
      </c>
      <c r="AI11" s="68">
        <v>1</v>
      </c>
      <c r="AJ11" s="69">
        <v>256.80044153531389</v>
      </c>
      <c r="AK11" s="69">
        <v>512.57590864499423</v>
      </c>
      <c r="AL11" s="69">
        <v>1050.3276839574178</v>
      </c>
      <c r="AM11" s="69">
        <v>162.08462370236714</v>
      </c>
      <c r="AN11" s="69">
        <v>1546.417236328125</v>
      </c>
      <c r="AO11" s="69">
        <v>2142.4629188537597</v>
      </c>
      <c r="AP11" s="69">
        <v>605.71241614023836</v>
      </c>
      <c r="AQ11" s="69">
        <v>1503.2754434585572</v>
      </c>
      <c r="AR11" s="69">
        <v>263.47031443913778</v>
      </c>
      <c r="AS11" s="69">
        <v>592.53946456909182</v>
      </c>
    </row>
    <row r="12" spans="1:49" x14ac:dyDescent="0.25">
      <c r="A12" s="11">
        <v>44260</v>
      </c>
      <c r="B12" s="59"/>
      <c r="C12" s="60">
        <v>8.6883535722891487</v>
      </c>
      <c r="D12" s="60">
        <v>0</v>
      </c>
      <c r="E12" s="60">
        <v>1.8779419591029485</v>
      </c>
      <c r="F12" s="60">
        <v>0</v>
      </c>
      <c r="G12" s="60">
        <v>0</v>
      </c>
      <c r="H12" s="61">
        <v>0</v>
      </c>
      <c r="I12" s="59">
        <v>251.14630025625223</v>
      </c>
      <c r="J12" s="60">
        <v>569.73488833109559</v>
      </c>
      <c r="K12" s="60">
        <v>31.148183424274162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367.04946952395994</v>
      </c>
      <c r="V12" s="62">
        <v>0</v>
      </c>
      <c r="W12" s="62">
        <v>55.587669885158512</v>
      </c>
      <c r="X12" s="62">
        <v>0</v>
      </c>
      <c r="Y12" s="66">
        <v>194.41422754923454</v>
      </c>
      <c r="Z12" s="66">
        <v>0</v>
      </c>
      <c r="AA12" s="67">
        <v>0</v>
      </c>
      <c r="AB12" s="68">
        <v>62.131185460090485</v>
      </c>
      <c r="AC12" s="69">
        <v>0</v>
      </c>
      <c r="AD12" s="406">
        <v>14.653818432065615</v>
      </c>
      <c r="AE12" s="406">
        <v>0</v>
      </c>
      <c r="AF12" s="69">
        <v>13.283236223459246</v>
      </c>
      <c r="AG12" s="68">
        <v>13.093761253324271</v>
      </c>
      <c r="AH12" s="68">
        <v>0</v>
      </c>
      <c r="AI12" s="68">
        <v>1</v>
      </c>
      <c r="AJ12" s="69">
        <v>257.08526763916018</v>
      </c>
      <c r="AK12" s="69">
        <v>502.33379996617623</v>
      </c>
      <c r="AL12" s="69">
        <v>1122.7494825998942</v>
      </c>
      <c r="AM12" s="69">
        <v>173.96947860717773</v>
      </c>
      <c r="AN12" s="69">
        <v>1546.417236328125</v>
      </c>
      <c r="AO12" s="69">
        <v>2138.1072174072265</v>
      </c>
      <c r="AP12" s="69">
        <v>597.41462456385295</v>
      </c>
      <c r="AQ12" s="69">
        <v>1976.4291739781697</v>
      </c>
      <c r="AR12" s="69">
        <v>266.99634378751119</v>
      </c>
      <c r="AS12" s="69">
        <v>593.52539145151775</v>
      </c>
    </row>
    <row r="13" spans="1:49" x14ac:dyDescent="0.25">
      <c r="A13" s="11">
        <v>44261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271.4075422922769</v>
      </c>
      <c r="J13" s="60">
        <v>600.50264228184881</v>
      </c>
      <c r="K13" s="60">
        <v>32.724049278100367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376.58805673386979</v>
      </c>
      <c r="V13" s="62">
        <v>0</v>
      </c>
      <c r="W13" s="62">
        <v>59.160809791088141</v>
      </c>
      <c r="X13" s="62">
        <v>0</v>
      </c>
      <c r="Y13" s="66">
        <v>217.82483488718694</v>
      </c>
      <c r="Z13" s="66">
        <v>0</v>
      </c>
      <c r="AA13" s="67">
        <v>0</v>
      </c>
      <c r="AB13" s="68">
        <v>69.779621982574426</v>
      </c>
      <c r="AC13" s="69">
        <v>0</v>
      </c>
      <c r="AD13" s="406">
        <v>15.436502882972295</v>
      </c>
      <c r="AE13" s="406">
        <v>0</v>
      </c>
      <c r="AF13" s="69">
        <v>14.734561687707901</v>
      </c>
      <c r="AG13" s="68">
        <v>14.527139321483091</v>
      </c>
      <c r="AH13" s="68">
        <v>0</v>
      </c>
      <c r="AI13" s="68">
        <v>1</v>
      </c>
      <c r="AJ13" s="69">
        <v>229.73215199311574</v>
      </c>
      <c r="AK13" s="69">
        <v>410.47365784645081</v>
      </c>
      <c r="AL13" s="69">
        <v>1096.6082103729248</v>
      </c>
      <c r="AM13" s="69">
        <v>357.51127905845641</v>
      </c>
      <c r="AN13" s="69">
        <v>1583.814533996582</v>
      </c>
      <c r="AO13" s="69">
        <v>2088.4080841064456</v>
      </c>
      <c r="AP13" s="69">
        <v>558.51645585695917</v>
      </c>
      <c r="AQ13" s="69">
        <v>2046.026409022013</v>
      </c>
      <c r="AR13" s="69">
        <v>238.88054399490352</v>
      </c>
      <c r="AS13" s="69">
        <v>610.32076196670528</v>
      </c>
    </row>
    <row r="14" spans="1:49" x14ac:dyDescent="0.25">
      <c r="A14" s="11">
        <v>44262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274.91916179656971</v>
      </c>
      <c r="J14" s="60">
        <v>600.27945473988768</v>
      </c>
      <c r="K14" s="60">
        <v>32.562985454003027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388.76206205156291</v>
      </c>
      <c r="V14" s="62">
        <v>0</v>
      </c>
      <c r="W14" s="62">
        <v>61.593925317128551</v>
      </c>
      <c r="X14" s="62">
        <v>0</v>
      </c>
      <c r="Y14" s="66">
        <v>226.58376807371829</v>
      </c>
      <c r="Z14" s="66">
        <v>0</v>
      </c>
      <c r="AA14" s="67">
        <v>0</v>
      </c>
      <c r="AB14" s="68">
        <v>69.703836547003732</v>
      </c>
      <c r="AC14" s="69">
        <v>0</v>
      </c>
      <c r="AD14" s="406">
        <v>15.433963278772255</v>
      </c>
      <c r="AE14" s="406">
        <v>0</v>
      </c>
      <c r="AF14" s="69">
        <v>15.206491589546218</v>
      </c>
      <c r="AG14" s="68">
        <v>14.998122942822123</v>
      </c>
      <c r="AH14" s="68">
        <v>0</v>
      </c>
      <c r="AI14" s="68">
        <v>1</v>
      </c>
      <c r="AJ14" s="69">
        <v>212.63001591364545</v>
      </c>
      <c r="AK14" s="69">
        <v>385.70455937385555</v>
      </c>
      <c r="AL14" s="69">
        <v>1123.1489568074544</v>
      </c>
      <c r="AM14" s="69">
        <v>461.63470458984375</v>
      </c>
      <c r="AN14" s="69">
        <v>1606.1202392578125</v>
      </c>
      <c r="AO14" s="69">
        <v>2028.2045730590821</v>
      </c>
      <c r="AP14" s="69">
        <v>534.9765989780426</v>
      </c>
      <c r="AQ14" s="69">
        <v>1994.4770950317381</v>
      </c>
      <c r="AR14" s="69">
        <v>219.76500912507373</v>
      </c>
      <c r="AS14" s="69">
        <v>688.10150766372669</v>
      </c>
    </row>
    <row r="15" spans="1:49" x14ac:dyDescent="0.25">
      <c r="A15" s="11">
        <v>44263</v>
      </c>
      <c r="B15" s="59"/>
      <c r="C15" s="60">
        <v>2.8959633151690163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270.22799862225833</v>
      </c>
      <c r="J15" s="60">
        <v>600.16310942967573</v>
      </c>
      <c r="K15" s="60">
        <v>32.51104658246048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389.04705967373036</v>
      </c>
      <c r="V15" s="62">
        <v>0</v>
      </c>
      <c r="W15" s="62">
        <v>61.114383041858652</v>
      </c>
      <c r="X15" s="62">
        <v>0</v>
      </c>
      <c r="Y15" s="66">
        <v>236.46919206778225</v>
      </c>
      <c r="Z15" s="66">
        <v>0</v>
      </c>
      <c r="AA15" s="67">
        <v>0</v>
      </c>
      <c r="AB15" s="68">
        <v>69.700871594746999</v>
      </c>
      <c r="AC15" s="69">
        <v>0</v>
      </c>
      <c r="AD15" s="406">
        <v>15.430629869573245</v>
      </c>
      <c r="AE15" s="406">
        <v>0</v>
      </c>
      <c r="AF15" s="69">
        <v>15.182494943009479</v>
      </c>
      <c r="AG15" s="68">
        <v>14.970303963765367</v>
      </c>
      <c r="AH15" s="68">
        <v>0</v>
      </c>
      <c r="AI15" s="68">
        <v>1</v>
      </c>
      <c r="AJ15" s="69">
        <v>218.26277120113375</v>
      </c>
      <c r="AK15" s="69">
        <v>369.5645176728566</v>
      </c>
      <c r="AL15" s="69">
        <v>2009.0850212097171</v>
      </c>
      <c r="AM15" s="69">
        <v>461.09307781855267</v>
      </c>
      <c r="AN15" s="69">
        <v>1598.130906041463</v>
      </c>
      <c r="AO15" s="69">
        <v>2003.2142171223957</v>
      </c>
      <c r="AP15" s="69">
        <v>537.64222238858542</v>
      </c>
      <c r="AQ15" s="69">
        <v>1974.4613876342773</v>
      </c>
      <c r="AR15" s="69">
        <v>231.82331589063008</v>
      </c>
      <c r="AS15" s="69">
        <v>668.07033446629828</v>
      </c>
    </row>
    <row r="16" spans="1:49" x14ac:dyDescent="0.25">
      <c r="A16" s="11">
        <v>44264</v>
      </c>
      <c r="B16" s="59"/>
      <c r="C16" s="60">
        <v>41.360966088374482</v>
      </c>
      <c r="D16" s="60">
        <v>604.32839708328322</v>
      </c>
      <c r="E16" s="60">
        <v>10.159795378148569</v>
      </c>
      <c r="F16" s="60">
        <v>0</v>
      </c>
      <c r="G16" s="60">
        <v>1943.4156005859393</v>
      </c>
      <c r="H16" s="61">
        <v>0</v>
      </c>
      <c r="I16" s="59">
        <v>217.55091190338152</v>
      </c>
      <c r="J16" s="60">
        <v>600.57596686680938</v>
      </c>
      <c r="K16" s="60">
        <v>32.52751057744026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389.97284980349968</v>
      </c>
      <c r="V16" s="62">
        <v>0</v>
      </c>
      <c r="W16" s="62">
        <v>61.806245287259436</v>
      </c>
      <c r="X16" s="62">
        <v>0</v>
      </c>
      <c r="Y16" s="66">
        <v>232.13338309923819</v>
      </c>
      <c r="Z16" s="66">
        <v>0</v>
      </c>
      <c r="AA16" s="67">
        <v>0</v>
      </c>
      <c r="AB16" s="68">
        <v>86.393232790630265</v>
      </c>
      <c r="AC16" s="69">
        <v>0</v>
      </c>
      <c r="AD16" s="406">
        <v>15.445498971957722</v>
      </c>
      <c r="AE16" s="406">
        <v>3.9858988081860303</v>
      </c>
      <c r="AF16" s="69">
        <v>15.211938272582154</v>
      </c>
      <c r="AG16" s="68">
        <v>14.999281578175669</v>
      </c>
      <c r="AH16" s="68">
        <v>0</v>
      </c>
      <c r="AI16" s="68">
        <v>1</v>
      </c>
      <c r="AJ16" s="69">
        <v>224.3348593235016</v>
      </c>
      <c r="AK16" s="69">
        <v>578.91134748458853</v>
      </c>
      <c r="AL16" s="69">
        <v>2989.2312693277991</v>
      </c>
      <c r="AM16" s="69">
        <v>425.384033203125</v>
      </c>
      <c r="AN16" s="69">
        <v>1579.8343505859375</v>
      </c>
      <c r="AO16" s="69">
        <v>2048.4879617055253</v>
      </c>
      <c r="AP16" s="69">
        <v>540.84945572217305</v>
      </c>
      <c r="AQ16" s="69">
        <v>2001.9695575714109</v>
      </c>
      <c r="AR16" s="69">
        <v>279.77431325117749</v>
      </c>
      <c r="AS16" s="69">
        <v>721.16560379664111</v>
      </c>
    </row>
    <row r="17" spans="1:45" x14ac:dyDescent="0.25">
      <c r="A17" s="11">
        <v>44265</v>
      </c>
      <c r="B17" s="49"/>
      <c r="C17" s="50">
        <v>73.738145530224088</v>
      </c>
      <c r="D17" s="50">
        <v>1001.6446399688725</v>
      </c>
      <c r="E17" s="50">
        <v>17.674413436154524</v>
      </c>
      <c r="F17" s="50">
        <v>0</v>
      </c>
      <c r="G17" s="50">
        <v>5185.3268657048457</v>
      </c>
      <c r="H17" s="51">
        <v>15.683468147118854</v>
      </c>
      <c r="I17" s="49">
        <v>185.87739627361293</v>
      </c>
      <c r="J17" s="50">
        <v>525.5637245178217</v>
      </c>
      <c r="K17" s="50">
        <v>28.61610428591565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428.24875259635144</v>
      </c>
      <c r="V17" s="66">
        <v>91.754220748240158</v>
      </c>
      <c r="W17" s="62">
        <v>55.589792082015251</v>
      </c>
      <c r="X17" s="62">
        <v>11.910362898008486</v>
      </c>
      <c r="Y17" s="66">
        <v>222.85659683108179</v>
      </c>
      <c r="Z17" s="66">
        <v>47.748027885358624</v>
      </c>
      <c r="AA17" s="67">
        <v>0</v>
      </c>
      <c r="AB17" s="68">
        <v>90.12686454984906</v>
      </c>
      <c r="AC17" s="69">
        <v>0</v>
      </c>
      <c r="AD17" s="406">
        <v>13.516420316598015</v>
      </c>
      <c r="AE17" s="406">
        <v>6.9647404565222724</v>
      </c>
      <c r="AF17" s="69">
        <v>15.75161123938028</v>
      </c>
      <c r="AG17" s="68">
        <v>12.941954309883165</v>
      </c>
      <c r="AH17" s="68">
        <v>2.772871900883092</v>
      </c>
      <c r="AI17" s="68">
        <v>0.82355058441668338</v>
      </c>
      <c r="AJ17" s="69">
        <v>241.10574723879495</v>
      </c>
      <c r="AK17" s="69">
        <v>780.70116672515871</v>
      </c>
      <c r="AL17" s="69">
        <v>2859.5694028218586</v>
      </c>
      <c r="AM17" s="69">
        <v>425.384033203125</v>
      </c>
      <c r="AN17" s="69">
        <v>1579.8343505859375</v>
      </c>
      <c r="AO17" s="69">
        <v>2358.7690850575768</v>
      </c>
      <c r="AP17" s="69">
        <v>573.08738918304448</v>
      </c>
      <c r="AQ17" s="69">
        <v>2176.6909268697104</v>
      </c>
      <c r="AR17" s="69">
        <v>386.6713958740234</v>
      </c>
      <c r="AS17" s="69">
        <v>607.31371847788489</v>
      </c>
    </row>
    <row r="18" spans="1:45" x14ac:dyDescent="0.25">
      <c r="A18" s="11">
        <v>44266</v>
      </c>
      <c r="B18" s="59"/>
      <c r="C18" s="60">
        <v>74.133706935246906</v>
      </c>
      <c r="D18" s="60">
        <v>1010.6000437418653</v>
      </c>
      <c r="E18" s="60">
        <v>17.679742725690215</v>
      </c>
      <c r="F18" s="60">
        <v>0</v>
      </c>
      <c r="G18" s="60">
        <v>5131.2143496195467</v>
      </c>
      <c r="H18" s="61">
        <v>27.809726701180185</v>
      </c>
      <c r="I18" s="59">
        <v>162.38281486829118</v>
      </c>
      <c r="J18" s="60">
        <v>407.48452526728357</v>
      </c>
      <c r="K18" s="60">
        <v>22.326923198501316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363.22804926077509</v>
      </c>
      <c r="V18" s="62">
        <v>224.60323029252842</v>
      </c>
      <c r="W18" s="62">
        <v>41.614064082912002</v>
      </c>
      <c r="X18" s="62">
        <v>25.732190114844368</v>
      </c>
      <c r="Y18" s="66">
        <v>203.37829840798639</v>
      </c>
      <c r="Z18" s="66">
        <v>125.75962370416102</v>
      </c>
      <c r="AA18" s="67">
        <v>0</v>
      </c>
      <c r="AB18" s="68">
        <v>78.109740082423002</v>
      </c>
      <c r="AC18" s="69">
        <v>0</v>
      </c>
      <c r="AD18" s="406">
        <v>10.483174966004803</v>
      </c>
      <c r="AE18" s="406">
        <v>6.9599583127661226</v>
      </c>
      <c r="AF18" s="69">
        <v>15.87251543203992</v>
      </c>
      <c r="AG18" s="68">
        <v>9.6757218273270258</v>
      </c>
      <c r="AH18" s="68">
        <v>5.983013652861799</v>
      </c>
      <c r="AI18" s="68">
        <v>0.61791208105971196</v>
      </c>
      <c r="AJ18" s="69">
        <v>260.68655052185051</v>
      </c>
      <c r="AK18" s="69">
        <v>825.78095712661741</v>
      </c>
      <c r="AL18" s="69">
        <v>3148.7734244028725</v>
      </c>
      <c r="AM18" s="69">
        <v>425.384033203125</v>
      </c>
      <c r="AN18" s="69">
        <v>1579.8343505859375</v>
      </c>
      <c r="AO18" s="69">
        <v>2670.7128331502281</v>
      </c>
      <c r="AP18" s="69">
        <v>631.19037790298466</v>
      </c>
      <c r="AQ18" s="69">
        <v>2192.9127716064454</v>
      </c>
      <c r="AR18" s="69">
        <v>436.66440141995736</v>
      </c>
      <c r="AS18" s="69">
        <v>587.34989983240769</v>
      </c>
    </row>
    <row r="19" spans="1:45" x14ac:dyDescent="0.25">
      <c r="A19" s="11">
        <v>44267</v>
      </c>
      <c r="B19" s="59"/>
      <c r="C19" s="60">
        <v>74.450606632232677</v>
      </c>
      <c r="D19" s="60">
        <v>1025.8266940434771</v>
      </c>
      <c r="E19" s="60">
        <v>17.791616004208745</v>
      </c>
      <c r="F19" s="60">
        <v>0</v>
      </c>
      <c r="G19" s="60">
        <v>4023.3527060190881</v>
      </c>
      <c r="H19" s="61">
        <v>27.982446837425314</v>
      </c>
      <c r="I19" s="59">
        <v>168.8073336521781</v>
      </c>
      <c r="J19" s="60">
        <v>407.21343946456898</v>
      </c>
      <c r="K19" s="60">
        <v>22.345650477210743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319.5632520892031</v>
      </c>
      <c r="V19" s="62">
        <v>204.0909735357265</v>
      </c>
      <c r="W19" s="62">
        <v>40.889806874527402</v>
      </c>
      <c r="X19" s="62">
        <v>26.114518606728421</v>
      </c>
      <c r="Y19" s="66">
        <v>170.6709275777215</v>
      </c>
      <c r="Z19" s="66">
        <v>109.00000402380283</v>
      </c>
      <c r="AA19" s="67">
        <v>0</v>
      </c>
      <c r="AB19" s="68">
        <v>81.891854672961855</v>
      </c>
      <c r="AC19" s="69">
        <v>0</v>
      </c>
      <c r="AD19" s="406">
        <v>10.475520877247437</v>
      </c>
      <c r="AE19" s="406">
        <v>6.9807540557913743</v>
      </c>
      <c r="AF19" s="69">
        <v>15.81142900221878</v>
      </c>
      <c r="AG19" s="68">
        <v>9.4945218930684412</v>
      </c>
      <c r="AH19" s="68">
        <v>6.0637329346983355</v>
      </c>
      <c r="AI19" s="68">
        <v>0.61025622720381167</v>
      </c>
      <c r="AJ19" s="69">
        <v>268.46420700550078</v>
      </c>
      <c r="AK19" s="69">
        <v>832.53709100087474</v>
      </c>
      <c r="AL19" s="69">
        <v>2889.6580144246418</v>
      </c>
      <c r="AM19" s="69">
        <v>425.384033203125</v>
      </c>
      <c r="AN19" s="69">
        <v>1579.8343505859375</v>
      </c>
      <c r="AO19" s="69">
        <v>2705.8827209472661</v>
      </c>
      <c r="AP19" s="69">
        <v>655.52325994173691</v>
      </c>
      <c r="AQ19" s="69">
        <v>2156.5333087921144</v>
      </c>
      <c r="AR19" s="69">
        <v>448.10586199760445</v>
      </c>
      <c r="AS19" s="69">
        <v>572.87814366022747</v>
      </c>
    </row>
    <row r="20" spans="1:45" x14ac:dyDescent="0.25">
      <c r="A20" s="11">
        <v>44268</v>
      </c>
      <c r="B20" s="59"/>
      <c r="C20" s="60">
        <v>74.485813629627586</v>
      </c>
      <c r="D20" s="60">
        <v>1055.3018410364791</v>
      </c>
      <c r="E20" s="60">
        <v>17.671413499613593</v>
      </c>
      <c r="F20" s="60">
        <v>0</v>
      </c>
      <c r="G20" s="60">
        <v>3018.8195892333979</v>
      </c>
      <c r="H20" s="61">
        <v>27.938374364376092</v>
      </c>
      <c r="I20" s="59">
        <v>160.30834243297573</v>
      </c>
      <c r="J20" s="60">
        <v>386.79343546231581</v>
      </c>
      <c r="K20" s="60">
        <v>21.41148209969208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291.60149887186572</v>
      </c>
      <c r="V20" s="62">
        <v>210.23403954722045</v>
      </c>
      <c r="W20" s="62">
        <v>39.943339894323024</v>
      </c>
      <c r="X20" s="62">
        <v>28.797690449050627</v>
      </c>
      <c r="Y20" s="66">
        <v>135.16933215001981</v>
      </c>
      <c r="Z20" s="66">
        <v>97.452155872784459</v>
      </c>
      <c r="AA20" s="67">
        <v>0</v>
      </c>
      <c r="AB20" s="68">
        <v>79.403560410605905</v>
      </c>
      <c r="AC20" s="69">
        <v>0</v>
      </c>
      <c r="AD20" s="406">
        <v>9.9483938004084038</v>
      </c>
      <c r="AE20" s="406">
        <v>6.9644071782905854</v>
      </c>
      <c r="AF20" s="69">
        <v>16.353854325744848</v>
      </c>
      <c r="AG20" s="68">
        <v>9.3666036376360573</v>
      </c>
      <c r="AH20" s="68">
        <v>6.752979416073595</v>
      </c>
      <c r="AI20" s="68">
        <v>0.58106984569185172</v>
      </c>
      <c r="AJ20" s="69">
        <v>274.34480365912117</v>
      </c>
      <c r="AK20" s="69">
        <v>838.58504654566457</v>
      </c>
      <c r="AL20" s="69">
        <v>3037.0618982950846</v>
      </c>
      <c r="AM20" s="69">
        <v>425.384033203125</v>
      </c>
      <c r="AN20" s="69">
        <v>1579.8343505859375</v>
      </c>
      <c r="AO20" s="69">
        <v>2669.9335243225096</v>
      </c>
      <c r="AP20" s="69">
        <v>730.01345243453977</v>
      </c>
      <c r="AQ20" s="69">
        <v>2128.3086294809982</v>
      </c>
      <c r="AR20" s="69">
        <v>488.23245563507089</v>
      </c>
      <c r="AS20" s="69">
        <v>579.03666067123424</v>
      </c>
    </row>
    <row r="21" spans="1:45" x14ac:dyDescent="0.25">
      <c r="A21" s="11">
        <v>44269</v>
      </c>
      <c r="B21" s="59"/>
      <c r="C21" s="60">
        <v>69.306301279863177</v>
      </c>
      <c r="D21" s="60">
        <v>997.36387246449897</v>
      </c>
      <c r="E21" s="60">
        <v>16.564251005649588</v>
      </c>
      <c r="F21" s="60">
        <v>0</v>
      </c>
      <c r="G21" s="60">
        <v>3069.6979699452663</v>
      </c>
      <c r="H21" s="61">
        <v>26.161350036660764</v>
      </c>
      <c r="I21" s="59">
        <v>152.74901256561245</v>
      </c>
      <c r="J21" s="60">
        <v>365.65087629953956</v>
      </c>
      <c r="K21" s="60">
        <v>20.225593775510859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271.56265209746527</v>
      </c>
      <c r="V21" s="62">
        <v>197.21164637971151</v>
      </c>
      <c r="W21" s="62">
        <v>35.221335615740067</v>
      </c>
      <c r="X21" s="62">
        <v>25.578103361501608</v>
      </c>
      <c r="Y21" s="66">
        <v>115.32994489236034</v>
      </c>
      <c r="Z21" s="66">
        <v>83.753815679118844</v>
      </c>
      <c r="AA21" s="67">
        <v>0</v>
      </c>
      <c r="AB21" s="68">
        <v>74.67126984596311</v>
      </c>
      <c r="AC21" s="69">
        <v>0</v>
      </c>
      <c r="AD21" s="406">
        <v>9.4141390563542178</v>
      </c>
      <c r="AE21" s="406">
        <v>6.5157280926632595</v>
      </c>
      <c r="AF21" s="69">
        <v>15.485103834337695</v>
      </c>
      <c r="AG21" s="68">
        <v>8.8495246852855587</v>
      </c>
      <c r="AH21" s="68">
        <v>6.4266176493102272</v>
      </c>
      <c r="AI21" s="68">
        <v>0.57930362858979745</v>
      </c>
      <c r="AJ21" s="69">
        <v>302.65089967250833</v>
      </c>
      <c r="AK21" s="69">
        <v>909.28988250096631</v>
      </c>
      <c r="AL21" s="69">
        <v>2963.8670293172199</v>
      </c>
      <c r="AM21" s="69">
        <v>425.384033203125</v>
      </c>
      <c r="AN21" s="69">
        <v>1579.8343505859375</v>
      </c>
      <c r="AO21" s="69">
        <v>2719.5832838694255</v>
      </c>
      <c r="AP21" s="69">
        <v>1144.1368628819782</v>
      </c>
      <c r="AQ21" s="69">
        <v>2029.7602503458661</v>
      </c>
      <c r="AR21" s="69">
        <v>539.58380800882969</v>
      </c>
      <c r="AS21" s="69">
        <v>593.68872041702286</v>
      </c>
    </row>
    <row r="22" spans="1:45" x14ac:dyDescent="0.25">
      <c r="A22" s="11">
        <v>44270</v>
      </c>
      <c r="B22" s="59"/>
      <c r="C22" s="60">
        <v>63.214183111985491</v>
      </c>
      <c r="D22" s="60">
        <v>917.36394449869806</v>
      </c>
      <c r="E22" s="60">
        <v>15.257881883283465</v>
      </c>
      <c r="F22" s="60">
        <v>0</v>
      </c>
      <c r="G22" s="60">
        <v>3086.8735650380468</v>
      </c>
      <c r="H22" s="61">
        <v>24.247632488608332</v>
      </c>
      <c r="I22" s="59">
        <v>148.44382885297148</v>
      </c>
      <c r="J22" s="60">
        <v>350.93373209635462</v>
      </c>
      <c r="K22" s="60">
        <v>19.284223372737589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275.66120815970567</v>
      </c>
      <c r="V22" s="62">
        <v>188.4107014056892</v>
      </c>
      <c r="W22" s="62">
        <v>31.927630632051294</v>
      </c>
      <c r="X22" s="62">
        <v>21.822103014659351</v>
      </c>
      <c r="Y22" s="66">
        <v>106.75549928061106</v>
      </c>
      <c r="Z22" s="66">
        <v>72.965937545776868</v>
      </c>
      <c r="AA22" s="67">
        <v>0</v>
      </c>
      <c r="AB22" s="68">
        <v>70.226476060019621</v>
      </c>
      <c r="AC22" s="69">
        <v>0</v>
      </c>
      <c r="AD22" s="406">
        <v>9.0265114243866105</v>
      </c>
      <c r="AE22" s="406">
        <v>5.990551083870912</v>
      </c>
      <c r="AF22" s="69">
        <v>13.997366998924125</v>
      </c>
      <c r="AG22" s="68">
        <v>8.2098147527329406</v>
      </c>
      <c r="AH22" s="68">
        <v>5.6112971654576524</v>
      </c>
      <c r="AI22" s="68">
        <v>0.59400537390393537</v>
      </c>
      <c r="AJ22" s="69">
        <v>274.64751958847046</v>
      </c>
      <c r="AK22" s="69">
        <v>868.09822603861494</v>
      </c>
      <c r="AL22" s="69">
        <v>2775.6797903696697</v>
      </c>
      <c r="AM22" s="69">
        <v>425.384033203125</v>
      </c>
      <c r="AN22" s="69">
        <v>1579.8343505859375</v>
      </c>
      <c r="AO22" s="69">
        <v>2738.957872772216</v>
      </c>
      <c r="AP22" s="69">
        <v>1137.4989696502689</v>
      </c>
      <c r="AQ22" s="69">
        <v>1973.9366583506269</v>
      </c>
      <c r="AR22" s="69">
        <v>484.57635730107631</v>
      </c>
      <c r="AS22" s="69">
        <v>633.86167354583745</v>
      </c>
    </row>
    <row r="23" spans="1:45" x14ac:dyDescent="0.25">
      <c r="A23" s="11">
        <v>44271</v>
      </c>
      <c r="B23" s="59"/>
      <c r="C23" s="60">
        <v>62.800258533159813</v>
      </c>
      <c r="D23" s="60">
        <v>947.06606973012072</v>
      </c>
      <c r="E23" s="60">
        <v>15.495328112443264</v>
      </c>
      <c r="F23" s="60">
        <v>0</v>
      </c>
      <c r="G23" s="60">
        <v>2652.5435199737531</v>
      </c>
      <c r="H23" s="61">
        <v>24.083688343564649</v>
      </c>
      <c r="I23" s="59">
        <v>137.15710149606059</v>
      </c>
      <c r="J23" s="60">
        <v>324.02033414840741</v>
      </c>
      <c r="K23" s="60">
        <v>17.876944326361031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249.65363680701853</v>
      </c>
      <c r="V23" s="62">
        <v>187.24075406211796</v>
      </c>
      <c r="W23" s="62">
        <v>33.84963469400514</v>
      </c>
      <c r="X23" s="62">
        <v>25.387297400886773</v>
      </c>
      <c r="Y23" s="66">
        <v>107.17213649626139</v>
      </c>
      <c r="Z23" s="66">
        <v>80.379328371330459</v>
      </c>
      <c r="AA23" s="67">
        <v>0</v>
      </c>
      <c r="AB23" s="68">
        <v>67.082768535613994</v>
      </c>
      <c r="AC23" s="69">
        <v>0</v>
      </c>
      <c r="AD23" s="406">
        <v>8.3371821018750882</v>
      </c>
      <c r="AE23" s="406">
        <v>5.97576032368098</v>
      </c>
      <c r="AF23" s="69">
        <v>14.13454786009258</v>
      </c>
      <c r="AG23" s="68">
        <v>8.0007858133978331</v>
      </c>
      <c r="AH23" s="68">
        <v>6.0006062316973647</v>
      </c>
      <c r="AI23" s="68">
        <v>0.57142788285830293</v>
      </c>
      <c r="AJ23" s="69">
        <v>262.71915771961216</v>
      </c>
      <c r="AK23" s="69">
        <v>825.95266507466636</v>
      </c>
      <c r="AL23" s="69">
        <v>3062.3942633310953</v>
      </c>
      <c r="AM23" s="69">
        <v>425.384033203125</v>
      </c>
      <c r="AN23" s="69">
        <v>1579.8343505859375</v>
      </c>
      <c r="AO23" s="69">
        <v>2688.6748355865475</v>
      </c>
      <c r="AP23" s="69">
        <v>1024.6361922423046</v>
      </c>
      <c r="AQ23" s="69">
        <v>1904.3744457244873</v>
      </c>
      <c r="AR23" s="69">
        <v>453.80346905390422</v>
      </c>
      <c r="AS23" s="69">
        <v>636.63942461013789</v>
      </c>
    </row>
    <row r="24" spans="1:45" x14ac:dyDescent="0.25">
      <c r="A24" s="11">
        <v>44272</v>
      </c>
      <c r="B24" s="59"/>
      <c r="C24" s="60">
        <v>62.74257074594496</v>
      </c>
      <c r="D24" s="60">
        <v>1013.0474828720108</v>
      </c>
      <c r="E24" s="60">
        <v>14.91244315455358</v>
      </c>
      <c r="F24" s="60">
        <v>0</v>
      </c>
      <c r="G24" s="60">
        <v>2597.7298520406125</v>
      </c>
      <c r="H24" s="61">
        <v>24.119466288884457</v>
      </c>
      <c r="I24" s="59">
        <v>137.58836575349176</v>
      </c>
      <c r="J24" s="60">
        <v>325.15437564849896</v>
      </c>
      <c r="K24" s="60">
        <v>17.912545833985035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224.66461095434684</v>
      </c>
      <c r="V24" s="62">
        <v>168.56193293840013</v>
      </c>
      <c r="W24" s="62">
        <v>31.721349875235262</v>
      </c>
      <c r="X24" s="62">
        <v>23.799974671896493</v>
      </c>
      <c r="Y24" s="66">
        <v>94.768612784871451</v>
      </c>
      <c r="Z24" s="66">
        <v>71.103234661888067</v>
      </c>
      <c r="AA24" s="67">
        <v>0</v>
      </c>
      <c r="AB24" s="68">
        <v>67.410614946154368</v>
      </c>
      <c r="AC24" s="69">
        <v>0</v>
      </c>
      <c r="AD24" s="406">
        <v>8.3647452869619983</v>
      </c>
      <c r="AE24" s="406">
        <v>5.9906710910946552</v>
      </c>
      <c r="AF24" s="69">
        <v>14.13815532724062</v>
      </c>
      <c r="AG24" s="68">
        <v>7.9988693734142355</v>
      </c>
      <c r="AH24" s="68">
        <v>6.0014119588173891</v>
      </c>
      <c r="AI24" s="68">
        <v>0.57133633129208183</v>
      </c>
      <c r="AJ24" s="69">
        <v>265.90090432167051</v>
      </c>
      <c r="AK24" s="69">
        <v>816.64949038823443</v>
      </c>
      <c r="AL24" s="69">
        <v>3082.627081680298</v>
      </c>
      <c r="AM24" s="69">
        <v>425.384033203125</v>
      </c>
      <c r="AN24" s="69">
        <v>1579.8343505859375</v>
      </c>
      <c r="AO24" s="69">
        <v>2698.7000142415359</v>
      </c>
      <c r="AP24" s="69">
        <v>617.15690323511751</v>
      </c>
      <c r="AQ24" s="69">
        <v>1909.920198949178</v>
      </c>
      <c r="AR24" s="69">
        <v>472.92672678629555</v>
      </c>
      <c r="AS24" s="69">
        <v>600.62199516296391</v>
      </c>
    </row>
    <row r="25" spans="1:45" x14ac:dyDescent="0.25">
      <c r="A25" s="11">
        <v>44273</v>
      </c>
      <c r="B25" s="59"/>
      <c r="C25" s="60">
        <v>67.544869824250455</v>
      </c>
      <c r="D25" s="60">
        <v>1137.6982855478911</v>
      </c>
      <c r="E25" s="60">
        <v>15.729986673593483</v>
      </c>
      <c r="F25" s="60">
        <v>0</v>
      </c>
      <c r="G25" s="60">
        <v>3442.2977684021025</v>
      </c>
      <c r="H25" s="61">
        <v>25.779900817076406</v>
      </c>
      <c r="I25" s="59">
        <v>141.8013909816743</v>
      </c>
      <c r="J25" s="60">
        <v>324.84326558113133</v>
      </c>
      <c r="K25" s="60">
        <v>17.938025668263421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231.72821789578629</v>
      </c>
      <c r="V25" s="62">
        <v>181.43655606644435</v>
      </c>
      <c r="W25" s="62">
        <v>29.970430632145074</v>
      </c>
      <c r="X25" s="62">
        <v>23.465988592594059</v>
      </c>
      <c r="Y25" s="66">
        <v>89.113026059393746</v>
      </c>
      <c r="Z25" s="66">
        <v>69.772946496084529</v>
      </c>
      <c r="AA25" s="67">
        <v>0</v>
      </c>
      <c r="AB25" s="68">
        <v>68.970905892053864</v>
      </c>
      <c r="AC25" s="69">
        <v>0</v>
      </c>
      <c r="AD25" s="406">
        <v>8.3575180591033256</v>
      </c>
      <c r="AE25" s="406">
        <v>6.4002660555998609</v>
      </c>
      <c r="AF25" s="69">
        <v>14.403666107190984</v>
      </c>
      <c r="AG25" s="68">
        <v>7.9997965968711657</v>
      </c>
      <c r="AH25" s="68">
        <v>6.2636115573163416</v>
      </c>
      <c r="AI25" s="68">
        <v>0.560861507319522</v>
      </c>
      <c r="AJ25" s="69">
        <v>261.35683628718056</v>
      </c>
      <c r="AK25" s="69">
        <v>809.23689651489246</v>
      </c>
      <c r="AL25" s="69">
        <v>3143.2737628936766</v>
      </c>
      <c r="AM25" s="69">
        <v>425.384033203125</v>
      </c>
      <c r="AN25" s="69">
        <v>1579.8343505859375</v>
      </c>
      <c r="AO25" s="69">
        <v>2806.717912038167</v>
      </c>
      <c r="AP25" s="69">
        <v>579.58600277900689</v>
      </c>
      <c r="AQ25" s="69">
        <v>1934.5225734710689</v>
      </c>
      <c r="AR25" s="69">
        <v>476.20632483164474</v>
      </c>
      <c r="AS25" s="69">
        <v>572.62221368153894</v>
      </c>
    </row>
    <row r="26" spans="1:45" x14ac:dyDescent="0.25">
      <c r="A26" s="11">
        <v>44274</v>
      </c>
      <c r="B26" s="59"/>
      <c r="C26" s="60">
        <v>74.132703181108255</v>
      </c>
      <c r="D26" s="60">
        <v>1252.7699832280489</v>
      </c>
      <c r="E26" s="60">
        <v>17.14514017105099</v>
      </c>
      <c r="F26" s="60">
        <v>0</v>
      </c>
      <c r="G26" s="60">
        <v>3518.9088279724119</v>
      </c>
      <c r="H26" s="61">
        <v>28.00882478952412</v>
      </c>
      <c r="I26" s="59">
        <v>146.93832492828372</v>
      </c>
      <c r="J26" s="60">
        <v>324.90580514272045</v>
      </c>
      <c r="K26" s="60">
        <v>18.025023759404814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241.82362749292295</v>
      </c>
      <c r="V26" s="62">
        <v>211.60165367145945</v>
      </c>
      <c r="W26" s="62">
        <v>32.61794708490541</v>
      </c>
      <c r="X26" s="62">
        <v>28.54151024897736</v>
      </c>
      <c r="Y26" s="66">
        <v>87.176894471599326</v>
      </c>
      <c r="Z26" s="66">
        <v>76.281938300973422</v>
      </c>
      <c r="AA26" s="67">
        <v>0</v>
      </c>
      <c r="AB26" s="68">
        <v>71.807000605264761</v>
      </c>
      <c r="AC26" s="69">
        <v>0</v>
      </c>
      <c r="AD26" s="406">
        <v>8.3589317965646366</v>
      </c>
      <c r="AE26" s="406">
        <v>6.9902781849313014</v>
      </c>
      <c r="AF26" s="69">
        <v>14.849233618047498</v>
      </c>
      <c r="AG26" s="68">
        <v>7.8350122732408103</v>
      </c>
      <c r="AH26" s="68">
        <v>6.8558294768051784</v>
      </c>
      <c r="AI26" s="68">
        <v>0.5333262999185383</v>
      </c>
      <c r="AJ26" s="69">
        <v>261.2188150087992</v>
      </c>
      <c r="AK26" s="69">
        <v>798.99359801610319</v>
      </c>
      <c r="AL26" s="69">
        <v>3122.1617659250896</v>
      </c>
      <c r="AM26" s="69">
        <v>425.384033203125</v>
      </c>
      <c r="AN26" s="69">
        <v>1579.8343505859375</v>
      </c>
      <c r="AO26" s="69">
        <v>2826.0353434244794</v>
      </c>
      <c r="AP26" s="69">
        <v>541.44898711840312</v>
      </c>
      <c r="AQ26" s="69">
        <v>2003.0575214385985</v>
      </c>
      <c r="AR26" s="69">
        <v>463.10815703074138</v>
      </c>
      <c r="AS26" s="69">
        <v>628.33294728597002</v>
      </c>
    </row>
    <row r="27" spans="1:45" x14ac:dyDescent="0.25">
      <c r="A27" s="11">
        <v>44275</v>
      </c>
      <c r="B27" s="59"/>
      <c r="C27" s="60">
        <v>74.039965565999339</v>
      </c>
      <c r="D27" s="60">
        <v>1251.813090705873</v>
      </c>
      <c r="E27" s="60">
        <v>17.17222357143957</v>
      </c>
      <c r="F27" s="60">
        <v>0</v>
      </c>
      <c r="G27" s="60">
        <v>3585.1245491027935</v>
      </c>
      <c r="H27" s="61">
        <v>28.025500780344068</v>
      </c>
      <c r="I27" s="59">
        <v>148.34169706503567</v>
      </c>
      <c r="J27" s="60">
        <v>324.81458427111386</v>
      </c>
      <c r="K27" s="60">
        <v>17.805072347323126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244.71275224720904</v>
      </c>
      <c r="V27" s="62">
        <v>214.08049652276537</v>
      </c>
      <c r="W27" s="62">
        <v>33.413913510520977</v>
      </c>
      <c r="X27" s="62">
        <v>29.231280876914955</v>
      </c>
      <c r="Y27" s="66">
        <v>89.106054168838526</v>
      </c>
      <c r="Z27" s="66">
        <v>77.952081141970567</v>
      </c>
      <c r="AA27" s="67">
        <v>0</v>
      </c>
      <c r="AB27" s="68">
        <v>72.120356390210773</v>
      </c>
      <c r="AC27" s="69">
        <v>0</v>
      </c>
      <c r="AD27" s="406">
        <v>8.3531920869734613</v>
      </c>
      <c r="AE27" s="406">
        <v>6.9845559696881088</v>
      </c>
      <c r="AF27" s="69">
        <v>15.16038339469169</v>
      </c>
      <c r="AG27" s="68">
        <v>8.0006823731790675</v>
      </c>
      <c r="AH27" s="68">
        <v>6.9991859404239367</v>
      </c>
      <c r="AI27" s="68">
        <v>0.53338350750209251</v>
      </c>
      <c r="AJ27" s="69">
        <v>222.61958847045898</v>
      </c>
      <c r="AK27" s="69">
        <v>745.23180971145621</v>
      </c>
      <c r="AL27" s="69">
        <v>2847.8285770416264</v>
      </c>
      <c r="AM27" s="69">
        <v>425.384033203125</v>
      </c>
      <c r="AN27" s="69">
        <v>1579.8343505859375</v>
      </c>
      <c r="AO27" s="69">
        <v>2615.2143775939944</v>
      </c>
      <c r="AP27" s="69">
        <v>513.95597035090134</v>
      </c>
      <c r="AQ27" s="69">
        <v>2050.0682053883866</v>
      </c>
      <c r="AR27" s="69">
        <v>416.75779536565148</v>
      </c>
      <c r="AS27" s="69">
        <v>675.951672522227</v>
      </c>
    </row>
    <row r="28" spans="1:45" x14ac:dyDescent="0.25">
      <c r="A28" s="11">
        <v>44276</v>
      </c>
      <c r="B28" s="59"/>
      <c r="C28" s="60">
        <v>74.014379362264791</v>
      </c>
      <c r="D28" s="60">
        <v>1250.5477180480957</v>
      </c>
      <c r="E28" s="60">
        <v>17.06648196528354</v>
      </c>
      <c r="F28" s="60">
        <v>0</v>
      </c>
      <c r="G28" s="60">
        <v>3661.7766599019387</v>
      </c>
      <c r="H28" s="61">
        <v>27.939747798442944</v>
      </c>
      <c r="I28" s="59">
        <v>148.89538118839278</v>
      </c>
      <c r="J28" s="60">
        <v>325.60109054247584</v>
      </c>
      <c r="K28" s="60">
        <v>17.595210566123402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226.54781158301978</v>
      </c>
      <c r="V28" s="62">
        <v>198.19145850008937</v>
      </c>
      <c r="W28" s="62">
        <v>34.109641101313116</v>
      </c>
      <c r="X28" s="62">
        <v>29.84023315672821</v>
      </c>
      <c r="Y28" s="66">
        <v>80.920775693804373</v>
      </c>
      <c r="Z28" s="66">
        <v>70.79214954957321</v>
      </c>
      <c r="AA28" s="67">
        <v>0</v>
      </c>
      <c r="AB28" s="68">
        <v>72.327658817503732</v>
      </c>
      <c r="AC28" s="69">
        <v>0</v>
      </c>
      <c r="AD28" s="406">
        <v>8.376998503922767</v>
      </c>
      <c r="AE28" s="406">
        <v>6.977515819081578</v>
      </c>
      <c r="AF28" s="69">
        <v>14.870861195193399</v>
      </c>
      <c r="AG28" s="68">
        <v>7.843687719170779</v>
      </c>
      <c r="AH28" s="68">
        <v>6.8619153644396222</v>
      </c>
      <c r="AI28" s="68">
        <v>0.53338089397453392</v>
      </c>
      <c r="AJ28" s="69">
        <v>244.13789390722908</v>
      </c>
      <c r="AK28" s="69">
        <v>779.21893053054794</v>
      </c>
      <c r="AL28" s="69">
        <v>2841.5692097981773</v>
      </c>
      <c r="AM28" s="69">
        <v>425.384033203125</v>
      </c>
      <c r="AN28" s="69">
        <v>1579.8343505859375</v>
      </c>
      <c r="AO28" s="69">
        <v>2556.976586914062</v>
      </c>
      <c r="AP28" s="69">
        <v>528.15720941225686</v>
      </c>
      <c r="AQ28" s="69">
        <v>2061.1022327423093</v>
      </c>
      <c r="AR28" s="69">
        <v>277.21288669904072</v>
      </c>
      <c r="AS28" s="69">
        <v>501.21234067281085</v>
      </c>
    </row>
    <row r="29" spans="1:45" x14ac:dyDescent="0.25">
      <c r="A29" s="11">
        <v>44277</v>
      </c>
      <c r="B29" s="59"/>
      <c r="C29" s="60">
        <v>73.594437674681089</v>
      </c>
      <c r="D29" s="60">
        <v>1250.4247164408359</v>
      </c>
      <c r="E29" s="60">
        <v>17.485902430117118</v>
      </c>
      <c r="F29" s="60">
        <v>0</v>
      </c>
      <c r="G29" s="60">
        <v>3643.7978057861296</v>
      </c>
      <c r="H29" s="61">
        <v>27.937464276949644</v>
      </c>
      <c r="I29" s="59">
        <v>144.99320955276482</v>
      </c>
      <c r="J29" s="60">
        <v>346.29141208330776</v>
      </c>
      <c r="K29" s="60">
        <v>18.958214759826621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229.98693758028259</v>
      </c>
      <c r="V29" s="62">
        <v>201.23497359576203</v>
      </c>
      <c r="W29" s="62">
        <v>34.391484912851745</v>
      </c>
      <c r="X29" s="62">
        <v>30.092011447132318</v>
      </c>
      <c r="Y29" s="66">
        <v>78.032012751047063</v>
      </c>
      <c r="Z29" s="66">
        <v>68.276790807302632</v>
      </c>
      <c r="AA29" s="67">
        <v>0</v>
      </c>
      <c r="AB29" s="68">
        <v>72.397746721902934</v>
      </c>
      <c r="AC29" s="69">
        <v>0</v>
      </c>
      <c r="AD29" s="406">
        <v>8.4037124047497187</v>
      </c>
      <c r="AE29" s="406">
        <v>6.9771178655883439</v>
      </c>
      <c r="AF29" s="69">
        <v>14.981795733504821</v>
      </c>
      <c r="AG29" s="68">
        <v>7.9068540965867786</v>
      </c>
      <c r="AH29" s="68">
        <v>6.9183736784910153</v>
      </c>
      <c r="AI29" s="68">
        <v>0.53333778182340863</v>
      </c>
      <c r="AJ29" s="69">
        <v>271.0702713727951</v>
      </c>
      <c r="AK29" s="69">
        <v>817.69993276596074</v>
      </c>
      <c r="AL29" s="69">
        <v>2878.5662136077881</v>
      </c>
      <c r="AM29" s="69">
        <v>425.384033203125</v>
      </c>
      <c r="AN29" s="69">
        <v>1579.8343505859375</v>
      </c>
      <c r="AO29" s="69">
        <v>2589.721667480469</v>
      </c>
      <c r="AP29" s="69">
        <v>570.71977780659995</v>
      </c>
      <c r="AQ29" s="69">
        <v>2089.1029045104983</v>
      </c>
      <c r="AR29" s="69">
        <v>400.76288321018228</v>
      </c>
      <c r="AS29" s="69">
        <v>573.12611331939706</v>
      </c>
    </row>
    <row r="30" spans="1:45" x14ac:dyDescent="0.25">
      <c r="A30" s="11">
        <v>44278</v>
      </c>
      <c r="B30" s="59"/>
      <c r="C30" s="60">
        <v>73.579089514414449</v>
      </c>
      <c r="D30" s="60">
        <v>1230.5285256067918</v>
      </c>
      <c r="E30" s="60">
        <v>17.111017225682701</v>
      </c>
      <c r="F30" s="60">
        <v>0</v>
      </c>
      <c r="G30" s="60">
        <v>3446.0662437438973</v>
      </c>
      <c r="H30" s="61">
        <v>27.961292999982913</v>
      </c>
      <c r="I30" s="59">
        <v>133.04043166637447</v>
      </c>
      <c r="J30" s="60">
        <v>354.72405427296979</v>
      </c>
      <c r="K30" s="60">
        <v>19.42253445684911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218.34928203739975</v>
      </c>
      <c r="V30" s="62">
        <v>191.03637779502401</v>
      </c>
      <c r="W30" s="62">
        <v>33.862626751390316</v>
      </c>
      <c r="X30" s="62">
        <v>29.626813959949054</v>
      </c>
      <c r="Y30" s="66">
        <v>80.025769544420427</v>
      </c>
      <c r="Z30" s="66">
        <v>70.01549536309841</v>
      </c>
      <c r="AA30" s="67">
        <v>0</v>
      </c>
      <c r="AB30" s="68">
        <v>72.168276506000097</v>
      </c>
      <c r="AC30" s="69">
        <v>0</v>
      </c>
      <c r="AD30" s="406">
        <v>8.3648392022539024</v>
      </c>
      <c r="AE30" s="406">
        <v>6.9794795580283351</v>
      </c>
      <c r="AF30" s="69">
        <v>15.023440545797335</v>
      </c>
      <c r="AG30" s="68">
        <v>7.9313949177253269</v>
      </c>
      <c r="AH30" s="68">
        <v>6.9392715277377564</v>
      </c>
      <c r="AI30" s="68">
        <v>0.53335840372810794</v>
      </c>
      <c r="AJ30" s="69">
        <v>278.2250037908554</v>
      </c>
      <c r="AK30" s="69">
        <v>832.50121231079106</v>
      </c>
      <c r="AL30" s="69">
        <v>2838.6507377624507</v>
      </c>
      <c r="AM30" s="69">
        <v>425.384033203125</v>
      </c>
      <c r="AN30" s="69">
        <v>1579.8343505859375</v>
      </c>
      <c r="AO30" s="69">
        <v>2687.4388631184897</v>
      </c>
      <c r="AP30" s="69">
        <v>562.37529387474069</v>
      </c>
      <c r="AQ30" s="69">
        <v>2091.651577377319</v>
      </c>
      <c r="AR30" s="69">
        <v>445.02549376487724</v>
      </c>
      <c r="AS30" s="69">
        <v>577.21913906733187</v>
      </c>
    </row>
    <row r="31" spans="1:45" x14ac:dyDescent="0.25">
      <c r="A31" s="11">
        <v>44279</v>
      </c>
      <c r="B31" s="59"/>
      <c r="C31" s="60">
        <v>74.244541426499723</v>
      </c>
      <c r="D31" s="60">
        <v>1218.8245489120475</v>
      </c>
      <c r="E31" s="60">
        <v>17.487362775703243</v>
      </c>
      <c r="F31" s="60">
        <v>0</v>
      </c>
      <c r="G31" s="60">
        <v>3467.8198778788192</v>
      </c>
      <c r="H31" s="61">
        <v>28.06862744291627</v>
      </c>
      <c r="I31" s="59">
        <v>142.05689636866271</v>
      </c>
      <c r="J31" s="60">
        <v>354.24133755366034</v>
      </c>
      <c r="K31" s="60">
        <v>19.370435161391896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214.06182279727889</v>
      </c>
      <c r="V31" s="62">
        <v>184.10681950110134</v>
      </c>
      <c r="W31" s="62">
        <v>31.621760099184204</v>
      </c>
      <c r="X31" s="62">
        <v>27.196730378218749</v>
      </c>
      <c r="Y31" s="66">
        <v>76.828054263473774</v>
      </c>
      <c r="Z31" s="66">
        <v>66.077026412605079</v>
      </c>
      <c r="AA31" s="67">
        <v>0</v>
      </c>
      <c r="AB31" s="68">
        <v>72.263088003794749</v>
      </c>
      <c r="AC31" s="69">
        <v>0</v>
      </c>
      <c r="AD31" s="406">
        <v>8.3541317067926126</v>
      </c>
      <c r="AE31" s="406">
        <v>6.9937296873508705</v>
      </c>
      <c r="AF31" s="69">
        <v>14.671641642517512</v>
      </c>
      <c r="AG31" s="68">
        <v>7.805423761691312</v>
      </c>
      <c r="AH31" s="68">
        <v>6.7131622296994511</v>
      </c>
      <c r="AI31" s="68">
        <v>0.537615974883489</v>
      </c>
      <c r="AJ31" s="69">
        <v>302.06161703268685</v>
      </c>
      <c r="AK31" s="69">
        <v>866.25551141103108</v>
      </c>
      <c r="AL31" s="69">
        <v>2828.9831635793048</v>
      </c>
      <c r="AM31" s="69">
        <v>425.384033203125</v>
      </c>
      <c r="AN31" s="69">
        <v>1579.8343505859375</v>
      </c>
      <c r="AO31" s="69">
        <v>2733.0238258361815</v>
      </c>
      <c r="AP31" s="69">
        <v>591.49412609736123</v>
      </c>
      <c r="AQ31" s="69">
        <v>2082.4110599517821</v>
      </c>
      <c r="AR31" s="69">
        <v>449.4162495136261</v>
      </c>
      <c r="AS31" s="69">
        <v>601.76272271474204</v>
      </c>
    </row>
    <row r="32" spans="1:45" x14ac:dyDescent="0.25">
      <c r="A32" s="11">
        <v>44280</v>
      </c>
      <c r="B32" s="59"/>
      <c r="C32" s="60">
        <v>74.470765423774949</v>
      </c>
      <c r="D32" s="60">
        <v>1204.7822138468416</v>
      </c>
      <c r="E32" s="60">
        <v>17.430828102429718</v>
      </c>
      <c r="F32" s="60">
        <v>0</v>
      </c>
      <c r="G32" s="60">
        <v>3518.8292307535789</v>
      </c>
      <c r="H32" s="61">
        <v>27.904326476653456</v>
      </c>
      <c r="I32" s="59">
        <v>143.67480746110294</v>
      </c>
      <c r="J32" s="60">
        <v>355.18810531298317</v>
      </c>
      <c r="K32" s="60">
        <v>19.185177375872925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218.29658116950739</v>
      </c>
      <c r="V32" s="62">
        <v>191.01916479878483</v>
      </c>
      <c r="W32" s="62">
        <v>32.512445392396259</v>
      </c>
      <c r="X32" s="62">
        <v>28.449827895376782</v>
      </c>
      <c r="Y32" s="66">
        <v>77.025128955718756</v>
      </c>
      <c r="Z32" s="66">
        <v>67.400395016792444</v>
      </c>
      <c r="AA32" s="67">
        <v>0</v>
      </c>
      <c r="AB32" s="68">
        <v>72.130450317595177</v>
      </c>
      <c r="AC32" s="69">
        <v>0</v>
      </c>
      <c r="AD32" s="406">
        <v>8.3767363006293039</v>
      </c>
      <c r="AE32" s="406">
        <v>6.9765478773033278</v>
      </c>
      <c r="AF32" s="69">
        <v>14.860315179824816</v>
      </c>
      <c r="AG32" s="68">
        <v>7.852713561419014</v>
      </c>
      <c r="AH32" s="68">
        <v>6.8714717283711613</v>
      </c>
      <c r="AI32" s="68">
        <v>0.53332075132633139</v>
      </c>
      <c r="AJ32" s="69">
        <v>271.93817315101626</v>
      </c>
      <c r="AK32" s="69">
        <v>822.29800205230742</v>
      </c>
      <c r="AL32" s="69">
        <v>3102.5948253631591</v>
      </c>
      <c r="AM32" s="69">
        <v>425.384033203125</v>
      </c>
      <c r="AN32" s="69">
        <v>1579.8343505859375</v>
      </c>
      <c r="AO32" s="69">
        <v>2698.0938124338786</v>
      </c>
      <c r="AP32" s="69">
        <v>568.68688241640734</v>
      </c>
      <c r="AQ32" s="69">
        <v>2000.9820552190145</v>
      </c>
      <c r="AR32" s="69">
        <v>427.70093129475913</v>
      </c>
      <c r="AS32" s="69">
        <v>552.64645121892283</v>
      </c>
    </row>
    <row r="33" spans="1:45" x14ac:dyDescent="0.25">
      <c r="A33" s="11">
        <v>44281</v>
      </c>
      <c r="B33" s="59"/>
      <c r="C33" s="60">
        <v>73.668985505898718</v>
      </c>
      <c r="D33" s="60">
        <v>1182.1545221328759</v>
      </c>
      <c r="E33" s="60">
        <v>17.163787331680432</v>
      </c>
      <c r="F33" s="60">
        <v>0</v>
      </c>
      <c r="G33" s="60">
        <v>3336.0138615926085</v>
      </c>
      <c r="H33" s="61">
        <v>27.828185846408218</v>
      </c>
      <c r="I33" s="59">
        <v>143.36163436571766</v>
      </c>
      <c r="J33" s="60">
        <v>355.79439945220969</v>
      </c>
      <c r="K33" s="60">
        <v>19.463128103812547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215.09094571665068</v>
      </c>
      <c r="V33" s="62">
        <v>188.16901015577778</v>
      </c>
      <c r="W33" s="62">
        <v>34.414070405982329</v>
      </c>
      <c r="X33" s="62">
        <v>30.106620909350738</v>
      </c>
      <c r="Y33" s="66">
        <v>77.338537469449648</v>
      </c>
      <c r="Z33" s="66">
        <v>67.658431618469166</v>
      </c>
      <c r="AA33" s="67">
        <v>0</v>
      </c>
      <c r="AB33" s="68">
        <v>72.232826640870627</v>
      </c>
      <c r="AC33" s="69">
        <v>0</v>
      </c>
      <c r="AD33" s="406">
        <v>8.3887541254532252</v>
      </c>
      <c r="AE33" s="406">
        <v>6.9692698894606115</v>
      </c>
      <c r="AF33" s="69">
        <v>14.89812023507225</v>
      </c>
      <c r="AG33" s="68">
        <v>7.8719236249458771</v>
      </c>
      <c r="AH33" s="68">
        <v>6.886631473922062</v>
      </c>
      <c r="AI33" s="68">
        <v>0.53338037309287123</v>
      </c>
      <c r="AJ33" s="69">
        <v>250.84926760991411</v>
      </c>
      <c r="AK33" s="69">
        <v>788.35877844492575</v>
      </c>
      <c r="AL33" s="69">
        <v>2854.7347633361815</v>
      </c>
      <c r="AM33" s="69">
        <v>425.384033203125</v>
      </c>
      <c r="AN33" s="69">
        <v>1579.8343505859375</v>
      </c>
      <c r="AO33" s="69">
        <v>2645.2563298543291</v>
      </c>
      <c r="AP33" s="69">
        <v>542.27941250801086</v>
      </c>
      <c r="AQ33" s="69">
        <v>1978.2656476338707</v>
      </c>
      <c r="AR33" s="69">
        <v>427.62046163876852</v>
      </c>
      <c r="AS33" s="69">
        <v>548.93013340632115</v>
      </c>
    </row>
    <row r="34" spans="1:45" x14ac:dyDescent="0.25">
      <c r="A34" s="11">
        <v>44282</v>
      </c>
      <c r="B34" s="59"/>
      <c r="C34" s="60">
        <v>73.73996739784873</v>
      </c>
      <c r="D34" s="60">
        <v>1158.170673878986</v>
      </c>
      <c r="E34" s="60">
        <v>17.193399554987739</v>
      </c>
      <c r="F34" s="60">
        <v>0</v>
      </c>
      <c r="G34" s="60">
        <v>3262.0925313313778</v>
      </c>
      <c r="H34" s="61">
        <v>27.827758177121524</v>
      </c>
      <c r="I34" s="59">
        <v>147.46919558842984</v>
      </c>
      <c r="J34" s="60">
        <v>354.2263991832732</v>
      </c>
      <c r="K34" s="60">
        <v>19.391659400860433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200.47988832971595</v>
      </c>
      <c r="V34" s="62">
        <v>175.42627668730734</v>
      </c>
      <c r="W34" s="62">
        <v>32.039961915387025</v>
      </c>
      <c r="X34" s="62">
        <v>28.035985409047921</v>
      </c>
      <c r="Y34" s="66">
        <v>77.601834248965929</v>
      </c>
      <c r="Z34" s="66">
        <v>67.904072372649182</v>
      </c>
      <c r="AA34" s="67">
        <v>0</v>
      </c>
      <c r="AB34" s="68">
        <v>73.217763890160924</v>
      </c>
      <c r="AC34" s="69">
        <v>0</v>
      </c>
      <c r="AD34" s="406">
        <v>8.3542277307509103</v>
      </c>
      <c r="AE34" s="406">
        <v>6.9707026948224495</v>
      </c>
      <c r="AF34" s="69">
        <v>15.094582587149416</v>
      </c>
      <c r="AG34" s="68">
        <v>7.9383436211690386</v>
      </c>
      <c r="AH34" s="68">
        <v>6.9463030737318343</v>
      </c>
      <c r="AI34" s="68">
        <v>0.53332428937587928</v>
      </c>
      <c r="AJ34" s="69">
        <v>252.26538001696267</v>
      </c>
      <c r="AK34" s="69">
        <v>788.9703313827514</v>
      </c>
      <c r="AL34" s="69">
        <v>2863.2176266988122</v>
      </c>
      <c r="AM34" s="69">
        <v>425.384033203125</v>
      </c>
      <c r="AN34" s="69">
        <v>1579.8343505859375</v>
      </c>
      <c r="AO34" s="69">
        <v>2591.5173819224042</v>
      </c>
      <c r="AP34" s="69">
        <v>544.67085242271412</v>
      </c>
      <c r="AQ34" s="69">
        <v>2012.9563425699869</v>
      </c>
      <c r="AR34" s="69">
        <v>436.34793761571257</v>
      </c>
      <c r="AS34" s="69">
        <v>581.50701017379743</v>
      </c>
    </row>
    <row r="35" spans="1:45" x14ac:dyDescent="0.25">
      <c r="A35" s="11">
        <v>44283</v>
      </c>
      <c r="B35" s="59"/>
      <c r="C35" s="60">
        <v>74.11494285265627</v>
      </c>
      <c r="D35" s="60">
        <v>1155.2008262634288</v>
      </c>
      <c r="E35" s="60">
        <v>17.267895050346823</v>
      </c>
      <c r="F35" s="60">
        <v>0</v>
      </c>
      <c r="G35" s="60">
        <v>3287.0835561116496</v>
      </c>
      <c r="H35" s="61">
        <v>27.940960683425285</v>
      </c>
      <c r="I35" s="59">
        <v>148.30201470057182</v>
      </c>
      <c r="J35" s="60">
        <v>353.60037210782389</v>
      </c>
      <c r="K35" s="60">
        <v>19.422711049516963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206.6022768043662</v>
      </c>
      <c r="V35" s="62">
        <v>181.08465506006107</v>
      </c>
      <c r="W35" s="62">
        <v>31.565323289113667</v>
      </c>
      <c r="X35" s="62">
        <v>27.666663543504878</v>
      </c>
      <c r="Y35" s="66">
        <v>76.918917284375738</v>
      </c>
      <c r="Z35" s="66">
        <v>67.418596830004475</v>
      </c>
      <c r="AA35" s="67">
        <v>0</v>
      </c>
      <c r="AB35" s="68">
        <v>75.583374330733292</v>
      </c>
      <c r="AC35" s="69">
        <v>0</v>
      </c>
      <c r="AD35" s="406">
        <v>8.3361407995006616</v>
      </c>
      <c r="AE35" s="406">
        <v>6.9740788054650338</v>
      </c>
      <c r="AF35" s="69">
        <v>15.125372347566804</v>
      </c>
      <c r="AG35" s="68">
        <v>7.9872050237266237</v>
      </c>
      <c r="AH35" s="68">
        <v>7.000698583709684</v>
      </c>
      <c r="AI35" s="68">
        <v>0.53291008755645719</v>
      </c>
      <c r="AJ35" s="69">
        <v>237.35159681638083</v>
      </c>
      <c r="AK35" s="69">
        <v>765.07702519098905</v>
      </c>
      <c r="AL35" s="69">
        <v>2787.3962928771975</v>
      </c>
      <c r="AM35" s="69">
        <v>425.384033203125</v>
      </c>
      <c r="AN35" s="69">
        <v>1579.8343505859375</v>
      </c>
      <c r="AO35" s="69">
        <v>2586.1501967112222</v>
      </c>
      <c r="AP35" s="69">
        <v>524.96530321439104</v>
      </c>
      <c r="AQ35" s="69">
        <v>1986.1971761067712</v>
      </c>
      <c r="AR35" s="69">
        <v>426.11933004061382</v>
      </c>
      <c r="AS35" s="69">
        <v>637.86777712504067</v>
      </c>
    </row>
    <row r="36" spans="1:45" x14ac:dyDescent="0.25">
      <c r="A36" s="11">
        <v>44284</v>
      </c>
      <c r="B36" s="59"/>
      <c r="C36" s="60">
        <v>73.864208896954807</v>
      </c>
      <c r="D36" s="60">
        <v>1149.4340100606298</v>
      </c>
      <c r="E36" s="60">
        <v>17.320447439451971</v>
      </c>
      <c r="F36" s="60">
        <v>0</v>
      </c>
      <c r="G36" s="60">
        <v>3183.8879384358675</v>
      </c>
      <c r="H36" s="61">
        <v>27.852211171388703</v>
      </c>
      <c r="I36" s="59">
        <v>148.53350469271354</v>
      </c>
      <c r="J36" s="60">
        <v>354.0768361250561</v>
      </c>
      <c r="K36" s="60">
        <v>19.417050019899989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209.18633987160896</v>
      </c>
      <c r="V36" s="62">
        <v>183.05500943344359</v>
      </c>
      <c r="W36" s="62">
        <v>31.118925895384418</v>
      </c>
      <c r="X36" s="62">
        <v>27.231583462067928</v>
      </c>
      <c r="Y36" s="66">
        <v>75.979512597303938</v>
      </c>
      <c r="Z36" s="66">
        <v>66.488234383681146</v>
      </c>
      <c r="AA36" s="67">
        <v>0</v>
      </c>
      <c r="AB36" s="68">
        <v>75.698695680830895</v>
      </c>
      <c r="AC36" s="69">
        <v>0</v>
      </c>
      <c r="AD36" s="406">
        <v>8.3517857276921017</v>
      </c>
      <c r="AE36" s="406">
        <v>6.973005705209534</v>
      </c>
      <c r="AF36" s="69">
        <v>15.014866963360042</v>
      </c>
      <c r="AG36" s="68">
        <v>7.934797569493635</v>
      </c>
      <c r="AH36" s="68">
        <v>6.9435912728700027</v>
      </c>
      <c r="AI36" s="68">
        <v>0.5333102699198633</v>
      </c>
      <c r="AJ36" s="69">
        <v>229.83757227261862</v>
      </c>
      <c r="AK36" s="69">
        <v>752.48122316996262</v>
      </c>
      <c r="AL36" s="69">
        <v>2784.0840236663821</v>
      </c>
      <c r="AM36" s="69">
        <v>425.384033203125</v>
      </c>
      <c r="AN36" s="69">
        <v>1579.8343505859375</v>
      </c>
      <c r="AO36" s="69">
        <v>2667.8547611236572</v>
      </c>
      <c r="AP36" s="69">
        <v>501.81562242507925</v>
      </c>
      <c r="AQ36" s="69">
        <v>1957.0271252950033</v>
      </c>
      <c r="AR36" s="69">
        <v>406.15575839678445</v>
      </c>
      <c r="AS36" s="69">
        <v>724.56706848144552</v>
      </c>
    </row>
    <row r="37" spans="1:45" x14ac:dyDescent="0.25">
      <c r="A37" s="11">
        <v>44285</v>
      </c>
      <c r="B37" s="59"/>
      <c r="C37" s="60">
        <v>73.540745842457113</v>
      </c>
      <c r="D37" s="60">
        <v>1162.2996792475394</v>
      </c>
      <c r="E37" s="60">
        <v>17.135725176831048</v>
      </c>
      <c r="F37" s="60">
        <v>0</v>
      </c>
      <c r="G37" s="60">
        <v>3304.8062217712445</v>
      </c>
      <c r="H37" s="61">
        <v>27.882691890001354</v>
      </c>
      <c r="I37" s="59">
        <v>148.35624842643733</v>
      </c>
      <c r="J37" s="60">
        <v>353.65704576174437</v>
      </c>
      <c r="K37" s="60">
        <v>19.421539260943746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210.23034232637517</v>
      </c>
      <c r="V37" s="62">
        <v>179.79698168256178</v>
      </c>
      <c r="W37" s="62">
        <v>31.736551675287373</v>
      </c>
      <c r="X37" s="62">
        <v>27.142305611483735</v>
      </c>
      <c r="Y37" s="66">
        <v>74.79615068040809</v>
      </c>
      <c r="Z37" s="66">
        <v>63.968511799946235</v>
      </c>
      <c r="AA37" s="67">
        <v>0</v>
      </c>
      <c r="AB37" s="68">
        <v>75.704663334952357</v>
      </c>
      <c r="AC37" s="69">
        <v>0</v>
      </c>
      <c r="AD37" s="406">
        <v>8.3389397686843587</v>
      </c>
      <c r="AE37" s="406">
        <v>6.9751529848888261</v>
      </c>
      <c r="AF37" s="69">
        <v>14.687697378794356</v>
      </c>
      <c r="AG37" s="68">
        <v>7.8466988792226129</v>
      </c>
      <c r="AH37" s="68">
        <v>6.7107952117869329</v>
      </c>
      <c r="AI37" s="68">
        <v>0.53901439562105657</v>
      </c>
      <c r="AJ37" s="69">
        <v>262.93087315559387</v>
      </c>
      <c r="AK37" s="69">
        <v>804.78497079213446</v>
      </c>
      <c r="AL37" s="69">
        <v>2797.8210103352862</v>
      </c>
      <c r="AM37" s="69">
        <v>425.384033203125</v>
      </c>
      <c r="AN37" s="69">
        <v>1579.8343505859375</v>
      </c>
      <c r="AO37" s="69">
        <v>2755.0358030955003</v>
      </c>
      <c r="AP37" s="69">
        <v>570.43522753715501</v>
      </c>
      <c r="AQ37" s="69">
        <v>1978.9365325927733</v>
      </c>
      <c r="AR37" s="69">
        <v>300.53060325781507</v>
      </c>
      <c r="AS37" s="69">
        <v>557.394200515747</v>
      </c>
    </row>
    <row r="38" spans="1:45" ht="15.75" thickBot="1" x14ac:dyDescent="0.3">
      <c r="A38" s="11">
        <v>44286</v>
      </c>
      <c r="B38" s="59"/>
      <c r="C38" s="60">
        <v>73.621283789476308</v>
      </c>
      <c r="D38" s="60">
        <v>1153.6365655581162</v>
      </c>
      <c r="E38" s="60">
        <v>17.442242764929919</v>
      </c>
      <c r="F38" s="60">
        <v>0</v>
      </c>
      <c r="G38" s="60">
        <v>3227.0349815368695</v>
      </c>
      <c r="H38" s="61">
        <v>27.959705448150654</v>
      </c>
      <c r="I38" s="59">
        <v>148.45705502033238</v>
      </c>
      <c r="J38" s="60">
        <v>353.95646923383049</v>
      </c>
      <c r="K38" s="60">
        <v>19.359002550442984</v>
      </c>
      <c r="L38" s="60">
        <v>0</v>
      </c>
      <c r="M38" s="60">
        <v>0</v>
      </c>
      <c r="N38" s="61">
        <v>0</v>
      </c>
      <c r="O38" s="59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198.99494352812351</v>
      </c>
      <c r="V38" s="62">
        <v>174.11631288057092</v>
      </c>
      <c r="W38" s="62">
        <v>32.244428742299561</v>
      </c>
      <c r="X38" s="62">
        <v>28.213184435794727</v>
      </c>
      <c r="Y38" s="66">
        <v>73.799076600137724</v>
      </c>
      <c r="Z38" s="66">
        <v>64.572611161804687</v>
      </c>
      <c r="AA38" s="67">
        <v>0</v>
      </c>
      <c r="AB38" s="68">
        <v>75.691606802410334</v>
      </c>
      <c r="AC38" s="69">
        <v>0</v>
      </c>
      <c r="AD38" s="406">
        <v>8.3446349221018963</v>
      </c>
      <c r="AE38" s="406">
        <v>6.9730509955090225</v>
      </c>
      <c r="AF38" s="69">
        <v>14.740786649783464</v>
      </c>
      <c r="AG38" s="68">
        <v>7.7930247601948528</v>
      </c>
      <c r="AH38" s="68">
        <v>6.8187297293830822</v>
      </c>
      <c r="AI38" s="68">
        <v>0.5333394265386372</v>
      </c>
      <c r="AJ38" s="69">
        <v>263.49136539300281</v>
      </c>
      <c r="AK38" s="69">
        <v>808.80814399719236</v>
      </c>
      <c r="AL38" s="69">
        <v>2846.7128049214684</v>
      </c>
      <c r="AM38" s="69">
        <v>425.384033203125</v>
      </c>
      <c r="AN38" s="69">
        <v>1579.8343505859375</v>
      </c>
      <c r="AO38" s="69">
        <v>2738.3792260487876</v>
      </c>
      <c r="AP38" s="69">
        <v>569.888481760025</v>
      </c>
      <c r="AQ38" s="69">
        <v>2021.0257537841796</v>
      </c>
      <c r="AR38" s="69">
        <v>265.73813664118455</v>
      </c>
      <c r="AS38" s="69">
        <v>540.78855695724496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1635.9877556324022</v>
      </c>
      <c r="D39" s="30">
        <f t="shared" si="0"/>
        <v>25330.82834491731</v>
      </c>
      <c r="E39" s="30">
        <f t="shared" si="0"/>
        <v>385.23726739237685</v>
      </c>
      <c r="F39" s="30">
        <f t="shared" si="0"/>
        <v>0</v>
      </c>
      <c r="G39" s="30">
        <f t="shared" si="0"/>
        <v>78594.514072481805</v>
      </c>
      <c r="H39" s="31">
        <f t="shared" si="0"/>
        <v>586.9433518062043</v>
      </c>
      <c r="I39" s="29">
        <f t="shared" si="0"/>
        <v>4918.8363463163378</v>
      </c>
      <c r="J39" s="30">
        <f t="shared" si="0"/>
        <v>11748.208768558499</v>
      </c>
      <c r="K39" s="30">
        <f t="shared" si="0"/>
        <v>642.25209652632509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7813.7286331480627</v>
      </c>
      <c r="V39" s="261">
        <f t="shared" si="0"/>
        <v>4126.4632452607866</v>
      </c>
      <c r="W39" s="261">
        <f t="shared" si="0"/>
        <v>1118.5480719698583</v>
      </c>
      <c r="X39" s="261">
        <f t="shared" si="0"/>
        <v>583.98298044471744</v>
      </c>
      <c r="Y39" s="261">
        <f t="shared" si="0"/>
        <v>3547.1589730507026</v>
      </c>
      <c r="Z39" s="261">
        <f t="shared" si="0"/>
        <v>1652.7414089991762</v>
      </c>
      <c r="AA39" s="269">
        <f t="shared" si="0"/>
        <v>0</v>
      </c>
      <c r="AB39" s="272">
        <f t="shared" si="0"/>
        <v>2118.5508834521015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7915.7244350194933</v>
      </c>
      <c r="AK39" s="272">
        <f t="shared" si="1"/>
        <v>22068.835616715751</v>
      </c>
      <c r="AL39" s="272">
        <f t="shared" si="1"/>
        <v>76871.035484123218</v>
      </c>
      <c r="AM39" s="272">
        <f t="shared" si="1"/>
        <v>11861.843773365021</v>
      </c>
      <c r="AN39" s="272">
        <f t="shared" si="1"/>
        <v>48856.341924413042</v>
      </c>
      <c r="AO39" s="272">
        <f t="shared" si="1"/>
        <v>77658.411047236121</v>
      </c>
      <c r="AP39" s="272">
        <f t="shared" si="1"/>
        <v>19428.016720612846</v>
      </c>
      <c r="AQ39" s="272">
        <f t="shared" si="1"/>
        <v>57884.052140363063</v>
      </c>
      <c r="AR39" s="272">
        <f t="shared" si="1"/>
        <v>11359.08904714187</v>
      </c>
      <c r="AS39" s="272">
        <f t="shared" si="1"/>
        <v>18756.084867350266</v>
      </c>
    </row>
    <row r="40" spans="1:45" ht="15.75" thickBot="1" x14ac:dyDescent="0.3">
      <c r="A40" s="47" t="s">
        <v>172</v>
      </c>
      <c r="B40" s="32">
        <f>Projection!$AA$30</f>
        <v>0.68740698599999983</v>
      </c>
      <c r="C40" s="33">
        <f>Projection!$AA$28</f>
        <v>1.4286753599999999</v>
      </c>
      <c r="D40" s="33">
        <f>Projection!$AA$31</f>
        <v>1.9478603759999999</v>
      </c>
      <c r="E40" s="33">
        <f>Projection!$AA$26</f>
        <v>4.4235360000000004</v>
      </c>
      <c r="F40" s="33">
        <f>Projection!$AA$23</f>
        <v>0</v>
      </c>
      <c r="G40" s="33">
        <f>Projection!$AA$24</f>
        <v>7.2805000000000009E-2</v>
      </c>
      <c r="H40" s="34">
        <f>Projection!$AA$29</f>
        <v>3.7390305000000001</v>
      </c>
      <c r="I40" s="32">
        <f>Projection!$AA$30</f>
        <v>0.68740698599999983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4">
        <f>Projection!$AA$28</f>
        <v>1.4286753599999999</v>
      </c>
      <c r="T40" s="265">
        <f>Projection!$AA$28</f>
        <v>1.4286753599999999</v>
      </c>
      <c r="U40" s="263">
        <f>Projection!$AA$27</f>
        <v>0.30499999999999999</v>
      </c>
      <c r="V40" s="264">
        <f>Projection!$AA$27</f>
        <v>0.30499999999999999</v>
      </c>
      <c r="W40" s="264">
        <f>Projection!$AA$22</f>
        <v>1.0660271400000001</v>
      </c>
      <c r="X40" s="264">
        <f>Projection!$AA$22</f>
        <v>1.0660271400000001</v>
      </c>
      <c r="Y40" s="264">
        <f>Projection!$AA$31</f>
        <v>1.9478603759999999</v>
      </c>
      <c r="Z40" s="264">
        <f>Projection!$AA$31</f>
        <v>1.9478603759999999</v>
      </c>
      <c r="AA40" s="270">
        <v>0</v>
      </c>
      <c r="AB40" s="273">
        <f>Projection!$AA$27</f>
        <v>0.30499999999999999</v>
      </c>
      <c r="AC40" s="273">
        <f>Projection!$AA$30</f>
        <v>0.68740698599999983</v>
      </c>
      <c r="AD40" s="397">
        <f>SUM(AD8:AD38)</f>
        <v>294.87152313999991</v>
      </c>
      <c r="AE40" s="397">
        <f>SUM(AE8:AE38)</f>
        <v>153.44322149579338</v>
      </c>
      <c r="AF40" s="276">
        <f>SUM(AF8:AF38)</f>
        <v>409.56249915195832</v>
      </c>
      <c r="AG40" s="276">
        <f>SUM(AG8:AG38)</f>
        <v>269.95484432225334</v>
      </c>
      <c r="AH40" s="276">
        <f>SUM(AH8:AH38)</f>
        <v>141.3421017584875</v>
      </c>
      <c r="AI40" s="276">
        <f>IF(SUM(AG40:AH40)&gt;0, AG40/(AG40+AH40), 0)</f>
        <v>0.65635022796706854</v>
      </c>
      <c r="AJ40" s="311">
        <v>7.0000000000000007E-2</v>
      </c>
      <c r="AK40" s="311">
        <f t="shared" ref="AK40:AS40" si="2">$AJ$40</f>
        <v>7.0000000000000007E-2</v>
      </c>
      <c r="AL40" s="311">
        <f t="shared" si="2"/>
        <v>7.0000000000000007E-2</v>
      </c>
      <c r="AM40" s="311">
        <f t="shared" si="2"/>
        <v>7.0000000000000007E-2</v>
      </c>
      <c r="AN40" s="311">
        <f t="shared" si="2"/>
        <v>7.0000000000000007E-2</v>
      </c>
      <c r="AO40" s="311">
        <f t="shared" si="2"/>
        <v>7.0000000000000007E-2</v>
      </c>
      <c r="AP40" s="311">
        <f t="shared" si="2"/>
        <v>7.0000000000000007E-2</v>
      </c>
      <c r="AQ40" s="311">
        <f t="shared" si="2"/>
        <v>7.0000000000000007E-2</v>
      </c>
      <c r="AR40" s="311">
        <f t="shared" si="2"/>
        <v>7.0000000000000007E-2</v>
      </c>
      <c r="AS40" s="311">
        <f t="shared" si="2"/>
        <v>7.0000000000000007E-2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2337.295395733714</v>
      </c>
      <c r="D41" s="36">
        <f t="shared" si="3"/>
        <v>49340.916824322092</v>
      </c>
      <c r="E41" s="36">
        <f t="shared" si="3"/>
        <v>1704.1109208518053</v>
      </c>
      <c r="F41" s="36">
        <f t="shared" si="3"/>
        <v>0</v>
      </c>
      <c r="G41" s="36">
        <f t="shared" si="3"/>
        <v>5722.0735970470387</v>
      </c>
      <c r="H41" s="37">
        <f t="shared" si="3"/>
        <v>2194.5990941756281</v>
      </c>
      <c r="I41" s="35">
        <f t="shared" si="3"/>
        <v>3381.2424674485651</v>
      </c>
      <c r="J41" s="36">
        <f t="shared" si="3"/>
        <v>16784.37639177547</v>
      </c>
      <c r="K41" s="36">
        <f t="shared" si="3"/>
        <v>2841.0252700596743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2383.187233110159</v>
      </c>
      <c r="V41" s="267">
        <f t="shared" si="3"/>
        <v>1258.5712898045399</v>
      </c>
      <c r="W41" s="267">
        <f t="shared" si="3"/>
        <v>1192.4026021145423</v>
      </c>
      <c r="X41" s="267">
        <f t="shared" si="3"/>
        <v>622.54170645215811</v>
      </c>
      <c r="Y41" s="267">
        <f t="shared" si="3"/>
        <v>6909.3704109783148</v>
      </c>
      <c r="Z41" s="267">
        <f t="shared" si="3"/>
        <v>3219.3095023639053</v>
      </c>
      <c r="AA41" s="271">
        <f t="shared" si="3"/>
        <v>0</v>
      </c>
      <c r="AB41" s="274">
        <f t="shared" si="3"/>
        <v>646.15801945289093</v>
      </c>
      <c r="AC41" s="274">
        <f t="shared" si="3"/>
        <v>0</v>
      </c>
      <c r="AJ41" s="277">
        <f t="shared" ref="AJ41:AS41" si="4">AJ40*AJ39</f>
        <v>554.10071045136453</v>
      </c>
      <c r="AK41" s="277">
        <f t="shared" si="4"/>
        <v>1544.8184931701028</v>
      </c>
      <c r="AL41" s="277">
        <f t="shared" si="4"/>
        <v>5380.9724838886259</v>
      </c>
      <c r="AM41" s="277">
        <f t="shared" si="4"/>
        <v>830.32906413555156</v>
      </c>
      <c r="AN41" s="277">
        <f t="shared" si="4"/>
        <v>3419.9439347089133</v>
      </c>
      <c r="AO41" s="277">
        <f t="shared" si="4"/>
        <v>5436.0887733065292</v>
      </c>
      <c r="AP41" s="277">
        <f t="shared" si="4"/>
        <v>1359.9611704428994</v>
      </c>
      <c r="AQ41" s="277">
        <f t="shared" si="4"/>
        <v>4051.883649825415</v>
      </c>
      <c r="AR41" s="277">
        <f t="shared" si="4"/>
        <v>795.13623329993095</v>
      </c>
      <c r="AS41" s="277">
        <f t="shared" si="4"/>
        <v>1312.9259407145187</v>
      </c>
    </row>
    <row r="42" spans="1:45" ht="49.5" customHeight="1" thickTop="1" thickBot="1" x14ac:dyDescent="0.3">
      <c r="A42" s="643">
        <f>FEBRUARY!$A$42+29</f>
        <v>44257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1535.89</v>
      </c>
      <c r="AK42" s="277" t="s">
        <v>197</v>
      </c>
      <c r="AL42" s="277">
        <v>2682.49</v>
      </c>
      <c r="AM42" s="277">
        <v>806.88</v>
      </c>
      <c r="AN42" s="277">
        <v>1466.25</v>
      </c>
      <c r="AO42" s="277">
        <v>7135.11</v>
      </c>
      <c r="AP42" s="277">
        <v>1973.72</v>
      </c>
      <c r="AQ42" s="277" t="s">
        <v>197</v>
      </c>
      <c r="AR42" s="277">
        <v>232.48</v>
      </c>
      <c r="AS42" s="277">
        <v>471.25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100537.18072569052</v>
      </c>
      <c r="C44" s="12"/>
      <c r="D44" s="281" t="s">
        <v>135</v>
      </c>
      <c r="E44" s="282">
        <f>SUM(B41:H41)+P41+R41+T41+V41+X41+Z41</f>
        <v>66399.418330750894</v>
      </c>
      <c r="F44" s="12"/>
      <c r="G44" s="281" t="s">
        <v>135</v>
      </c>
      <c r="H44" s="282">
        <f>SUM(I41:N41)+O41+Q41+S41+U41+W41+Y41</f>
        <v>33491.604375486728</v>
      </c>
      <c r="I44" s="12"/>
      <c r="J44" s="281" t="s">
        <v>198</v>
      </c>
      <c r="K44" s="282">
        <v>145967.26000000004</v>
      </c>
      <c r="L44" s="12"/>
      <c r="M44" s="407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24686.160453943849</v>
      </c>
      <c r="C45" s="12"/>
      <c r="D45" s="283" t="s">
        <v>183</v>
      </c>
      <c r="E45" s="284">
        <f>AJ41*(1-$AI$40)+AK41+AL41*0.5+AN41+AO41*(1-$AI$40)+AP41*(1-$AI$40)+AQ41*(1-$AI$40)+AR41*0.5+AS41*0.5</f>
        <v>12627.586246120823</v>
      </c>
      <c r="F45" s="24"/>
      <c r="G45" s="283" t="s">
        <v>183</v>
      </c>
      <c r="H45" s="284">
        <f>AJ41*AI40+AL41*0.5+AM41+AO41*AI40+AP41*AI40+AQ41*AI40+AR41*0.5+AS41*0.5</f>
        <v>12058.574207823027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1702.5310524145757</v>
      </c>
      <c r="U45" s="255">
        <f>(T45*8.34*0.895)/27000</f>
        <v>0.4706741679458562</v>
      </c>
    </row>
    <row r="46" spans="1:45" ht="32.25" thickBot="1" x14ac:dyDescent="0.3">
      <c r="A46" s="285" t="s">
        <v>184</v>
      </c>
      <c r="B46" s="286">
        <f>SUM(AJ42:AS42)</f>
        <v>16304.069999999998</v>
      </c>
      <c r="C46" s="12"/>
      <c r="D46" s="285" t="s">
        <v>184</v>
      </c>
      <c r="E46" s="286">
        <f>AJ42*(1-$AI$40)+AL42*0.5+AN42+AO42*(1-$AI$40)+AP42*(1-$AI$40)+AR42*0.5+AS42*0.5</f>
        <v>6817.4156013543852</v>
      </c>
      <c r="F46" s="23"/>
      <c r="G46" s="285" t="s">
        <v>184</v>
      </c>
      <c r="H46" s="286">
        <f>AJ42*AI40+AL42*0.5+AM42+AO42*AI40+AP42*AI40+AR42*0.5+AS42*0.5</f>
        <v>9486.6543986456127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145967.26000000004</v>
      </c>
      <c r="C47" s="12"/>
      <c r="D47" s="285" t="s">
        <v>187</v>
      </c>
      <c r="E47" s="286">
        <f>K44*0.5</f>
        <v>72983.630000000019</v>
      </c>
      <c r="F47" s="24"/>
      <c r="G47" s="285" t="s">
        <v>185</v>
      </c>
      <c r="H47" s="286">
        <f>K44*0.5</f>
        <v>72983.630000000019</v>
      </c>
      <c r="I47" s="12"/>
      <c r="J47" s="281" t="s">
        <v>198</v>
      </c>
      <c r="K47" s="282">
        <v>95499.139999999985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78594.514072481805</v>
      </c>
      <c r="U47" s="255">
        <f>T47/40000</f>
        <v>1.964862851812045</v>
      </c>
    </row>
    <row r="48" spans="1:45" ht="24" thickBot="1" x14ac:dyDescent="0.3">
      <c r="A48" s="285" t="s">
        <v>186</v>
      </c>
      <c r="B48" s="286">
        <f>K47</f>
        <v>95499.139999999985</v>
      </c>
      <c r="C48" s="12"/>
      <c r="D48" s="285" t="s">
        <v>186</v>
      </c>
      <c r="E48" s="286">
        <f>K47*0.5</f>
        <v>47749.569999999992</v>
      </c>
      <c r="F48" s="23"/>
      <c r="G48" s="285" t="s">
        <v>186</v>
      </c>
      <c r="H48" s="286">
        <f>K47*0.5</f>
        <v>47749.569999999992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409.56249915195832</v>
      </c>
      <c r="C49" s="12"/>
      <c r="D49" s="290" t="s">
        <v>195</v>
      </c>
      <c r="E49" s="291">
        <f>AH40</f>
        <v>141.3421017584875</v>
      </c>
      <c r="F49" s="23"/>
      <c r="G49" s="290" t="s">
        <v>196</v>
      </c>
      <c r="H49" s="291">
        <f>AG40</f>
        <v>269.95484432225334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1027.4893639187019</v>
      </c>
      <c r="U49" s="255">
        <f>(T49*8.34*1.04)/45000</f>
        <v>0.19804514993078337</v>
      </c>
    </row>
    <row r="50" spans="1:25" ht="48" customHeight="1" thickTop="1" thickBot="1" x14ac:dyDescent="0.3">
      <c r="A50" s="290" t="s">
        <v>223</v>
      </c>
      <c r="B50" s="291">
        <f>SUM(E50+H50)</f>
        <v>448.31474463579332</v>
      </c>
      <c r="C50" s="12"/>
      <c r="D50" s="290" t="s">
        <v>224</v>
      </c>
      <c r="E50" s="291">
        <f>AE40</f>
        <v>153.44322149579338</v>
      </c>
      <c r="F50" s="23"/>
      <c r="G50" s="290" t="s">
        <v>225</v>
      </c>
      <c r="H50" s="291">
        <f>AD40</f>
        <v>294.87152313999991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854.2967095377935</v>
      </c>
      <c r="C51" s="12"/>
      <c r="D51" s="290" t="s">
        <v>188</v>
      </c>
      <c r="E51" s="292">
        <f>SUM(E44:E48)/E50</f>
        <v>1346.2805209931639</v>
      </c>
      <c r="F51" s="371">
        <f>E44/E49</f>
        <v>469.77805979005581</v>
      </c>
      <c r="G51" s="290" t="s">
        <v>189</v>
      </c>
      <c r="H51" s="292">
        <f>SUM(H44:H48)/H50</f>
        <v>596.09022638141562</v>
      </c>
      <c r="I51" s="370">
        <f>H44/H49</f>
        <v>124.06372798965882</v>
      </c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14058.742761860951</v>
      </c>
      <c r="U51" s="255">
        <f>T51/2000/8</f>
        <v>0.87867142261630948</v>
      </c>
    </row>
    <row r="52" spans="1:25" ht="47.25" customHeight="1" thickTop="1" thickBot="1" x14ac:dyDescent="0.3">
      <c r="A52" s="280" t="s">
        <v>191</v>
      </c>
      <c r="B52" s="293">
        <f>B51/1000</f>
        <v>0.85429670953779346</v>
      </c>
      <c r="C52" s="12"/>
      <c r="D52" s="280" t="s">
        <v>192</v>
      </c>
      <c r="E52" s="293">
        <f>E51/1000</f>
        <v>1.3462805209931639</v>
      </c>
      <c r="F52" s="12"/>
      <c r="G52" s="280" t="s">
        <v>193</v>
      </c>
      <c r="H52" s="293">
        <f>H51/1000</f>
        <v>0.59609022638141562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13384.196524190902</v>
      </c>
      <c r="U52" s="255">
        <f>(T52*8.34*1.4)/45000</f>
        <v>3.4727528581433988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586.9433518062043</v>
      </c>
      <c r="U53" s="255">
        <f>(T53*8.34*1.135)/45000</f>
        <v>0.12346549053027443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4918.8363463163378</v>
      </c>
      <c r="U54" s="255">
        <f>(T54*8.34*1.029*0.03)/3300</f>
        <v>0.3837524080636211</v>
      </c>
    </row>
    <row r="55" spans="1:25" ht="45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30530.728726967191</v>
      </c>
      <c r="U55" s="258">
        <f>(T55*1.54*8.34)/45000</f>
        <v>8.7138770550594629</v>
      </c>
    </row>
    <row r="56" spans="1:25" ht="24" thickTop="1" x14ac:dyDescent="0.25">
      <c r="A56" s="671"/>
      <c r="B56" s="67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 x14ac:dyDescent="0.25">
      <c r="A57" s="673"/>
      <c r="B57" s="673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9"/>
      <c r="B58" s="67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70"/>
      <c r="B59" s="67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9"/>
      <c r="B60" s="67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70"/>
      <c r="B61" s="67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MfdEQ2p9DSR9PhTEfBFanyXMnDFk6Row4UQxyYJcdCG/NBrnl72W29ujM7lSaULAdc7a5DShmxnjr4NBy8lVpw==" saltValue="es8PqctBEr3C8R6MMGrKaw==" spinCount="100000" sheet="1" objects="1" scenarios="1" selectLockedCells="1" selectUnlockedCells="1"/>
  <mergeCells count="36"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D4:AD5"/>
    <mergeCell ref="AE4:AE5"/>
    <mergeCell ref="R43:U43"/>
    <mergeCell ref="A54:E54"/>
    <mergeCell ref="A55:E55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64"/>
  <sheetViews>
    <sheetView topLeftCell="AH22" zoomScale="90" zoomScaleNormal="90" workbookViewId="0">
      <selection activeCell="AJ41" sqref="AJ41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425781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44287</v>
      </c>
      <c r="B8" s="49"/>
      <c r="C8" s="50">
        <v>73.682223765056079</v>
      </c>
      <c r="D8" s="50">
        <v>1145.3739288965858</v>
      </c>
      <c r="E8" s="50">
        <v>17.44668919394412</v>
      </c>
      <c r="F8" s="50">
        <v>0</v>
      </c>
      <c r="G8" s="50">
        <v>3272.3375616709386</v>
      </c>
      <c r="H8" s="51">
        <v>27.904504839579324</v>
      </c>
      <c r="I8" s="49">
        <v>157.0065568844476</v>
      </c>
      <c r="J8" s="50">
        <v>372.13805691401183</v>
      </c>
      <c r="K8" s="50">
        <v>20.290128087003964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205.92215137371139</v>
      </c>
      <c r="V8" s="54">
        <v>172.54447532340438</v>
      </c>
      <c r="W8" s="54">
        <v>33.696658146194991</v>
      </c>
      <c r="X8" s="54">
        <v>28.234806994783511</v>
      </c>
      <c r="Y8" s="54">
        <v>78.290675350605611</v>
      </c>
      <c r="Z8" s="54">
        <v>65.600633108040583</v>
      </c>
      <c r="AA8" s="55">
        <v>0</v>
      </c>
      <c r="AB8" s="56">
        <v>77.801467551125143</v>
      </c>
      <c r="AC8" s="57">
        <v>0</v>
      </c>
      <c r="AD8" s="405">
        <v>8.7745831078790708</v>
      </c>
      <c r="AE8" s="405">
        <v>6.9719701225264554</v>
      </c>
      <c r="AF8" s="57">
        <v>15.114543330007145</v>
      </c>
      <c r="AG8" s="58">
        <v>8.1551505538746198</v>
      </c>
      <c r="AH8" s="58">
        <v>6.8332919218000399</v>
      </c>
      <c r="AI8" s="58">
        <v>0.54409593038836013</v>
      </c>
      <c r="AJ8" s="57">
        <v>233.62133107185366</v>
      </c>
      <c r="AK8" s="57">
        <v>764.63374970753978</v>
      </c>
      <c r="AL8" s="57">
        <v>2826.0675693511962</v>
      </c>
      <c r="AM8" s="57">
        <v>425.384033203125</v>
      </c>
      <c r="AN8" s="57">
        <v>1579.8343505859375</v>
      </c>
      <c r="AO8" s="57">
        <v>2751.431053415934</v>
      </c>
      <c r="AP8" s="57">
        <v>523.64995953241987</v>
      </c>
      <c r="AQ8" s="57">
        <v>2027.6148356755575</v>
      </c>
      <c r="AR8" s="57">
        <v>248.86392270723979</v>
      </c>
      <c r="AS8" s="57">
        <v>707.85365660985326</v>
      </c>
    </row>
    <row r="9" spans="1:49" x14ac:dyDescent="0.25">
      <c r="A9" s="11">
        <v>44288</v>
      </c>
      <c r="B9" s="59"/>
      <c r="C9" s="60">
        <v>73.880259780088565</v>
      </c>
      <c r="D9" s="60">
        <v>1122.4504940032957</v>
      </c>
      <c r="E9" s="60">
        <v>17.417997146646126</v>
      </c>
      <c r="F9" s="60">
        <v>0</v>
      </c>
      <c r="G9" s="60">
        <v>3399.7736022949207</v>
      </c>
      <c r="H9" s="61">
        <v>27.904112621148489</v>
      </c>
      <c r="I9" s="59">
        <v>160.23304976622259</v>
      </c>
      <c r="J9" s="60">
        <v>396.38190453847261</v>
      </c>
      <c r="K9" s="60">
        <v>21.850478870669985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221.96097918712269</v>
      </c>
      <c r="V9" s="62">
        <v>172.61101002067784</v>
      </c>
      <c r="W9" s="62">
        <v>38.06500834540131</v>
      </c>
      <c r="X9" s="62">
        <v>29.601777578238597</v>
      </c>
      <c r="Y9" s="66">
        <v>86.489526991189592</v>
      </c>
      <c r="Z9" s="66">
        <v>67.259770905831544</v>
      </c>
      <c r="AA9" s="67">
        <v>0</v>
      </c>
      <c r="AB9" s="68">
        <v>80.574551465776594</v>
      </c>
      <c r="AC9" s="69">
        <v>0</v>
      </c>
      <c r="AD9" s="406">
        <v>9.3486878323738232</v>
      </c>
      <c r="AE9" s="406">
        <v>6.975864917084424</v>
      </c>
      <c r="AF9" s="69">
        <v>15.8919391685062</v>
      </c>
      <c r="AG9" s="68">
        <v>8.8664364377727729</v>
      </c>
      <c r="AH9" s="68">
        <v>6.8951063128887551</v>
      </c>
      <c r="AI9" s="68">
        <v>0.56253607771997061</v>
      </c>
      <c r="AJ9" s="69">
        <v>245.24752054214477</v>
      </c>
      <c r="AK9" s="69">
        <v>765.39211568832388</v>
      </c>
      <c r="AL9" s="69">
        <v>2966.0602691650388</v>
      </c>
      <c r="AM9" s="69">
        <v>425.384033203125</v>
      </c>
      <c r="AN9" s="69">
        <v>1579.8343505859375</v>
      </c>
      <c r="AO9" s="69">
        <v>2747.6962070465083</v>
      </c>
      <c r="AP9" s="69">
        <v>493.44103124936424</v>
      </c>
      <c r="AQ9" s="69">
        <v>2033.9508312225339</v>
      </c>
      <c r="AR9" s="69">
        <v>363.51462912559509</v>
      </c>
      <c r="AS9" s="69">
        <v>748.85782674153654</v>
      </c>
    </row>
    <row r="10" spans="1:49" x14ac:dyDescent="0.25">
      <c r="A10" s="11">
        <v>44289</v>
      </c>
      <c r="B10" s="59"/>
      <c r="C10" s="60">
        <v>73.633812149366079</v>
      </c>
      <c r="D10" s="60">
        <v>1116.0208794911687</v>
      </c>
      <c r="E10" s="60">
        <v>17.428004364669306</v>
      </c>
      <c r="F10" s="60">
        <v>0</v>
      </c>
      <c r="G10" s="60">
        <v>3331.979027557371</v>
      </c>
      <c r="H10" s="61">
        <v>27.978575625022291</v>
      </c>
      <c r="I10" s="59">
        <v>160.1647761106492</v>
      </c>
      <c r="J10" s="60">
        <v>396.1901368459072</v>
      </c>
      <c r="K10" s="60">
        <v>21.870677561561234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224.21893299486905</v>
      </c>
      <c r="V10" s="62">
        <v>174.39665332834412</v>
      </c>
      <c r="W10" s="62">
        <v>38.74247880490541</v>
      </c>
      <c r="X10" s="62">
        <v>30.133756123861421</v>
      </c>
      <c r="Y10" s="66">
        <v>87.748158471054523</v>
      </c>
      <c r="Z10" s="66">
        <v>68.250191759797929</v>
      </c>
      <c r="AA10" s="67">
        <v>0</v>
      </c>
      <c r="AB10" s="68">
        <v>80.435755215750845</v>
      </c>
      <c r="AC10" s="69">
        <v>0</v>
      </c>
      <c r="AD10" s="406">
        <v>9.342896658640484</v>
      </c>
      <c r="AE10" s="406">
        <v>6.9755375807355406</v>
      </c>
      <c r="AF10" s="69">
        <v>16.138296020030971</v>
      </c>
      <c r="AG10" s="68">
        <v>8.9995443488219742</v>
      </c>
      <c r="AH10" s="68">
        <v>6.9998121699672877</v>
      </c>
      <c r="AI10" s="68">
        <v>0.56249414395217234</v>
      </c>
      <c r="AJ10" s="69">
        <v>243.95905981063842</v>
      </c>
      <c r="AK10" s="69">
        <v>766.55463972091673</v>
      </c>
      <c r="AL10" s="69">
        <v>2882.1772247314457</v>
      </c>
      <c r="AM10" s="69">
        <v>425.384033203125</v>
      </c>
      <c r="AN10" s="69">
        <v>1579.8343505859375</v>
      </c>
      <c r="AO10" s="69">
        <v>2703.3867087046306</v>
      </c>
      <c r="AP10" s="69">
        <v>491.93673523267108</v>
      </c>
      <c r="AQ10" s="69">
        <v>2018.3429651896158</v>
      </c>
      <c r="AR10" s="69">
        <v>406.56282609303787</v>
      </c>
      <c r="AS10" s="69">
        <v>669.23359340031925</v>
      </c>
    </row>
    <row r="11" spans="1:49" x14ac:dyDescent="0.25">
      <c r="A11" s="11">
        <v>44290</v>
      </c>
      <c r="B11" s="59"/>
      <c r="C11" s="60">
        <v>73.641374905904186</v>
      </c>
      <c r="D11" s="60">
        <v>1114.0985562006645</v>
      </c>
      <c r="E11" s="60">
        <v>17.47888800104456</v>
      </c>
      <c r="F11" s="60">
        <v>0</v>
      </c>
      <c r="G11" s="60">
        <v>2882.5472586313872</v>
      </c>
      <c r="H11" s="61">
        <v>27.96045453349754</v>
      </c>
      <c r="I11" s="59">
        <v>160.21177566846217</v>
      </c>
      <c r="J11" s="60">
        <v>396.17095955212989</v>
      </c>
      <c r="K11" s="60">
        <v>21.894582574566126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226.57088281273087</v>
      </c>
      <c r="V11" s="62">
        <v>176.22221201301295</v>
      </c>
      <c r="W11" s="62">
        <v>36.969332682159575</v>
      </c>
      <c r="X11" s="62">
        <v>28.753993015421443</v>
      </c>
      <c r="Y11" s="66">
        <v>87.500622460470638</v>
      </c>
      <c r="Z11" s="66">
        <v>68.056199680540956</v>
      </c>
      <c r="AA11" s="67">
        <v>0</v>
      </c>
      <c r="AB11" s="68">
        <v>80.441588656107626</v>
      </c>
      <c r="AC11" s="69">
        <v>0</v>
      </c>
      <c r="AD11" s="406">
        <v>9.3408331123548294</v>
      </c>
      <c r="AE11" s="406">
        <v>6.9802888448474114</v>
      </c>
      <c r="AF11" s="69">
        <v>16.145620484484553</v>
      </c>
      <c r="AG11" s="68">
        <v>8.9995920434912229</v>
      </c>
      <c r="AH11" s="68">
        <v>6.9996991556481802</v>
      </c>
      <c r="AI11" s="68">
        <v>0.56249942147282805</v>
      </c>
      <c r="AJ11" s="69">
        <v>253.00857310295103</v>
      </c>
      <c r="AK11" s="69">
        <v>783.95161463419595</v>
      </c>
      <c r="AL11" s="69">
        <v>2839.2853720347084</v>
      </c>
      <c r="AM11" s="69">
        <v>425.384033203125</v>
      </c>
      <c r="AN11" s="69">
        <v>1579.8343505859375</v>
      </c>
      <c r="AO11" s="69">
        <v>2624.3612987518313</v>
      </c>
      <c r="AP11" s="69">
        <v>496.73650035858151</v>
      </c>
      <c r="AQ11" s="69">
        <v>1998.3196997324628</v>
      </c>
      <c r="AR11" s="69">
        <v>417.44433549245201</v>
      </c>
      <c r="AS11" s="69">
        <v>705.52604459126781</v>
      </c>
    </row>
    <row r="12" spans="1:49" x14ac:dyDescent="0.25">
      <c r="A12" s="11">
        <v>44291</v>
      </c>
      <c r="B12" s="59"/>
      <c r="C12" s="60">
        <v>74.183501672744413</v>
      </c>
      <c r="D12" s="60">
        <v>1108.532507324222</v>
      </c>
      <c r="E12" s="60">
        <v>17.532328352332097</v>
      </c>
      <c r="F12" s="60">
        <v>0</v>
      </c>
      <c r="G12" s="60">
        <v>2747.4755786895789</v>
      </c>
      <c r="H12" s="61">
        <v>28.02138107419022</v>
      </c>
      <c r="I12" s="59">
        <v>162.68138517538696</v>
      </c>
      <c r="J12" s="60">
        <v>401.89920674959825</v>
      </c>
      <c r="K12" s="60">
        <v>22.286959094802569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233.0365323716222</v>
      </c>
      <c r="V12" s="62">
        <v>181.18794465457816</v>
      </c>
      <c r="W12" s="62">
        <v>35.449991170309715</v>
      </c>
      <c r="X12" s="62">
        <v>27.562678575771368</v>
      </c>
      <c r="Y12" s="66">
        <v>85.474528417953465</v>
      </c>
      <c r="Z12" s="66">
        <v>66.457194358141905</v>
      </c>
      <c r="AA12" s="67">
        <v>0</v>
      </c>
      <c r="AB12" s="68">
        <v>81.175111034180702</v>
      </c>
      <c r="AC12" s="69">
        <v>0</v>
      </c>
      <c r="AD12" s="406">
        <v>9.4769869174420123</v>
      </c>
      <c r="AE12" s="406">
        <v>6.989500119156471</v>
      </c>
      <c r="AF12" s="69">
        <v>15.687055355310434</v>
      </c>
      <c r="AG12" s="68">
        <v>8.7459751087789197</v>
      </c>
      <c r="AH12" s="68">
        <v>6.8000722368829942</v>
      </c>
      <c r="AI12" s="68">
        <v>0.5625851326909449</v>
      </c>
      <c r="AJ12" s="69">
        <v>254.38605950673423</v>
      </c>
      <c r="AK12" s="69">
        <v>775.6900980313618</v>
      </c>
      <c r="AL12" s="69">
        <v>2829.1895776112874</v>
      </c>
      <c r="AM12" s="69">
        <v>425.384033203125</v>
      </c>
      <c r="AN12" s="69">
        <v>1579.8343505859375</v>
      </c>
      <c r="AO12" s="69">
        <v>2710.9925085703535</v>
      </c>
      <c r="AP12" s="69">
        <v>523.94109144210813</v>
      </c>
      <c r="AQ12" s="69">
        <v>2000.3487933476767</v>
      </c>
      <c r="AR12" s="69">
        <v>416.42649517059323</v>
      </c>
      <c r="AS12" s="69">
        <v>735.64159755706783</v>
      </c>
    </row>
    <row r="13" spans="1:49" x14ac:dyDescent="0.25">
      <c r="A13" s="11">
        <v>44292</v>
      </c>
      <c r="B13" s="59"/>
      <c r="C13" s="60">
        <v>74.359792999426247</v>
      </c>
      <c r="D13" s="60">
        <v>1114.5116142272964</v>
      </c>
      <c r="E13" s="60">
        <v>17.318767364819834</v>
      </c>
      <c r="F13" s="60">
        <v>0</v>
      </c>
      <c r="G13" s="60">
        <v>2827.008681742348</v>
      </c>
      <c r="H13" s="61">
        <v>27.871312304337899</v>
      </c>
      <c r="I13" s="59">
        <v>158.29850653012593</v>
      </c>
      <c r="J13" s="60">
        <v>395.29965627988253</v>
      </c>
      <c r="K13" s="60">
        <v>21.379074898362123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237.53655442230436</v>
      </c>
      <c r="V13" s="62">
        <v>179.78957158096264</v>
      </c>
      <c r="W13" s="62">
        <v>38.164983193997195</v>
      </c>
      <c r="X13" s="62">
        <v>28.886779108719331</v>
      </c>
      <c r="Y13" s="66">
        <v>91.16400808781836</v>
      </c>
      <c r="Z13" s="66">
        <v>69.001329069431193</v>
      </c>
      <c r="AA13" s="67">
        <v>0</v>
      </c>
      <c r="AB13" s="68">
        <v>80.566740491654514</v>
      </c>
      <c r="AC13" s="69">
        <v>0</v>
      </c>
      <c r="AD13" s="406">
        <v>9.3260451810494569</v>
      </c>
      <c r="AE13" s="406">
        <v>6.9830514948355384</v>
      </c>
      <c r="AF13" s="69">
        <v>15.579156000084369</v>
      </c>
      <c r="AG13" s="68">
        <v>8.7793974933050354</v>
      </c>
      <c r="AH13" s="68">
        <v>6.6450577171126817</v>
      </c>
      <c r="AI13" s="68">
        <v>0.56918687717251815</v>
      </c>
      <c r="AJ13" s="69">
        <v>241.68750731150308</v>
      </c>
      <c r="AK13" s="69">
        <v>755.16855386098246</v>
      </c>
      <c r="AL13" s="69">
        <v>2835.3033510843911</v>
      </c>
      <c r="AM13" s="69">
        <v>425.384033203125</v>
      </c>
      <c r="AN13" s="69">
        <v>1579.8343505859375</v>
      </c>
      <c r="AO13" s="69">
        <v>2765.9641803741461</v>
      </c>
      <c r="AP13" s="69">
        <v>524.69037882486975</v>
      </c>
      <c r="AQ13" s="69">
        <v>1992.0955790837606</v>
      </c>
      <c r="AR13" s="69">
        <v>428.27138970692948</v>
      </c>
      <c r="AS13" s="69">
        <v>542.21451342900593</v>
      </c>
    </row>
    <row r="14" spans="1:49" x14ac:dyDescent="0.25">
      <c r="A14" s="11">
        <v>44293</v>
      </c>
      <c r="B14" s="59"/>
      <c r="C14" s="60">
        <v>74.569277691840938</v>
      </c>
      <c r="D14" s="60">
        <v>1112.6462222417204</v>
      </c>
      <c r="E14" s="60">
        <v>17.249563707411269</v>
      </c>
      <c r="F14" s="60">
        <v>0</v>
      </c>
      <c r="G14" s="60">
        <v>2974.1257171630868</v>
      </c>
      <c r="H14" s="61">
        <v>27.837657111883185</v>
      </c>
      <c r="I14" s="59">
        <v>153.10536785920465</v>
      </c>
      <c r="J14" s="60">
        <v>401.17652311325099</v>
      </c>
      <c r="K14" s="60">
        <v>21.662592235207622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233.45011395369158</v>
      </c>
      <c r="V14" s="62">
        <v>181.57558761152012</v>
      </c>
      <c r="W14" s="62">
        <v>38.133385818198192</v>
      </c>
      <c r="X14" s="62">
        <v>29.659835329656957</v>
      </c>
      <c r="Y14" s="66">
        <v>92.910360784285373</v>
      </c>
      <c r="Z14" s="66">
        <v>72.264918054190488</v>
      </c>
      <c r="AA14" s="67">
        <v>0</v>
      </c>
      <c r="AB14" s="68">
        <v>81.194996870888332</v>
      </c>
      <c r="AC14" s="69">
        <v>0</v>
      </c>
      <c r="AD14" s="406">
        <v>9.4592293828613805</v>
      </c>
      <c r="AE14" s="406">
        <v>6.9714250051137041</v>
      </c>
      <c r="AF14" s="69">
        <v>16.040372219350616</v>
      </c>
      <c r="AG14" s="68">
        <v>8.9353987330527644</v>
      </c>
      <c r="AH14" s="68">
        <v>6.9498799894315999</v>
      </c>
      <c r="AI14" s="68">
        <v>0.56249555888530989</v>
      </c>
      <c r="AJ14" s="69">
        <v>244.50639578501384</v>
      </c>
      <c r="AK14" s="69">
        <v>771.37153933842978</v>
      </c>
      <c r="AL14" s="69">
        <v>2848.330378341675</v>
      </c>
      <c r="AM14" s="69">
        <v>425.384033203125</v>
      </c>
      <c r="AN14" s="69">
        <v>1579.8343505859375</v>
      </c>
      <c r="AO14" s="69">
        <v>2685.0769007364906</v>
      </c>
      <c r="AP14" s="69">
        <v>540.24064154624944</v>
      </c>
      <c r="AQ14" s="69">
        <v>2060.3441807428994</v>
      </c>
      <c r="AR14" s="69">
        <v>447.80338948567703</v>
      </c>
      <c r="AS14" s="69">
        <v>560.81634155909217</v>
      </c>
    </row>
    <row r="15" spans="1:49" x14ac:dyDescent="0.25">
      <c r="A15" s="11">
        <v>44294</v>
      </c>
      <c r="B15" s="59"/>
      <c r="C15" s="60">
        <v>73.952497923373841</v>
      </c>
      <c r="D15" s="60">
        <v>1104.5831563313795</v>
      </c>
      <c r="E15" s="60">
        <v>17.288833943506084</v>
      </c>
      <c r="F15" s="60">
        <v>0</v>
      </c>
      <c r="G15" s="60">
        <v>2908.9958134969097</v>
      </c>
      <c r="H15" s="61">
        <v>28.067718674739211</v>
      </c>
      <c r="I15" s="59">
        <v>168.12933959166216</v>
      </c>
      <c r="J15" s="60">
        <v>441.56250022252397</v>
      </c>
      <c r="K15" s="60">
        <v>23.973639097809823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249.83127325628379</v>
      </c>
      <c r="V15" s="62">
        <v>181.68357159573617</v>
      </c>
      <c r="W15" s="62">
        <v>40.163956853367047</v>
      </c>
      <c r="X15" s="62">
        <v>29.20823736526841</v>
      </c>
      <c r="Y15" s="66">
        <v>97.001491918631743</v>
      </c>
      <c r="Z15" s="66">
        <v>70.541919240883843</v>
      </c>
      <c r="AA15" s="67">
        <v>0</v>
      </c>
      <c r="AB15" s="68">
        <v>85.875608465405762</v>
      </c>
      <c r="AC15" s="69">
        <v>0</v>
      </c>
      <c r="AD15" s="406">
        <v>10.415605472733473</v>
      </c>
      <c r="AE15" s="406">
        <v>6.9740405140305963</v>
      </c>
      <c r="AF15" s="69">
        <v>16.409020664294548</v>
      </c>
      <c r="AG15" s="68">
        <v>9.4136251507341289</v>
      </c>
      <c r="AH15" s="68">
        <v>6.8458244508658979</v>
      </c>
      <c r="AI15" s="68">
        <v>0.57896333402378963</v>
      </c>
      <c r="AJ15" s="69">
        <v>226.65592416922257</v>
      </c>
      <c r="AK15" s="69">
        <v>735.50828485488876</v>
      </c>
      <c r="AL15" s="69">
        <v>2854.3137577056887</v>
      </c>
      <c r="AM15" s="69">
        <v>425.384033203125</v>
      </c>
      <c r="AN15" s="69">
        <v>1579.8343505859375</v>
      </c>
      <c r="AO15" s="69">
        <v>2634.6100318908689</v>
      </c>
      <c r="AP15" s="69">
        <v>513.31308437983193</v>
      </c>
      <c r="AQ15" s="69">
        <v>2082.3474467595415</v>
      </c>
      <c r="AR15" s="69">
        <v>424.09121866226201</v>
      </c>
      <c r="AS15" s="69">
        <v>640.2744567235311</v>
      </c>
    </row>
    <row r="16" spans="1:49" x14ac:dyDescent="0.25">
      <c r="A16" s="11">
        <v>44295</v>
      </c>
      <c r="B16" s="59"/>
      <c r="C16" s="60">
        <v>73.399766838550349</v>
      </c>
      <c r="D16" s="60">
        <v>1113.1962016423549</v>
      </c>
      <c r="E16" s="60">
        <v>17.26521623184281</v>
      </c>
      <c r="F16" s="60">
        <v>0</v>
      </c>
      <c r="G16" s="60">
        <v>3087.9092578887953</v>
      </c>
      <c r="H16" s="61">
        <v>27.979878101746294</v>
      </c>
      <c r="I16" s="59">
        <v>179.60783519744865</v>
      </c>
      <c r="J16" s="60">
        <v>485.0638893127441</v>
      </c>
      <c r="K16" s="60">
        <v>26.674866737922098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281.92240019255826</v>
      </c>
      <c r="V16" s="62">
        <v>179.32523939992674</v>
      </c>
      <c r="W16" s="62">
        <v>46.941944784415298</v>
      </c>
      <c r="X16" s="62">
        <v>29.858838746455941</v>
      </c>
      <c r="Y16" s="66">
        <v>113.40562445835835</v>
      </c>
      <c r="Z16" s="66">
        <v>72.135065327916806</v>
      </c>
      <c r="AA16" s="67">
        <v>0</v>
      </c>
      <c r="AB16" s="68">
        <v>91.147130791346413</v>
      </c>
      <c r="AC16" s="69">
        <v>0</v>
      </c>
      <c r="AD16" s="406">
        <v>11.437969357740798</v>
      </c>
      <c r="AE16" s="406">
        <v>6.9776859995185152</v>
      </c>
      <c r="AF16" s="69">
        <v>18.151407641834677</v>
      </c>
      <c r="AG16" s="68">
        <v>11.003324883016131</v>
      </c>
      <c r="AH16" s="68">
        <v>6.9989964170790424</v>
      </c>
      <c r="AI16" s="68">
        <v>0.61121700360708264</v>
      </c>
      <c r="AJ16" s="69">
        <v>232.11584718227388</v>
      </c>
      <c r="AK16" s="69">
        <v>739.86773681640636</v>
      </c>
      <c r="AL16" s="69">
        <v>2780.2464029947919</v>
      </c>
      <c r="AM16" s="69">
        <v>425.384033203125</v>
      </c>
      <c r="AN16" s="69">
        <v>1579.8343505859375</v>
      </c>
      <c r="AO16" s="69">
        <v>2596.0999050140381</v>
      </c>
      <c r="AP16" s="69">
        <v>507.49379081726079</v>
      </c>
      <c r="AQ16" s="69">
        <v>2194.5718879699707</v>
      </c>
      <c r="AR16" s="69">
        <v>441.10920584996552</v>
      </c>
      <c r="AS16" s="69">
        <v>515.16420405705776</v>
      </c>
    </row>
    <row r="17" spans="1:45" x14ac:dyDescent="0.25">
      <c r="A17" s="11">
        <v>44296</v>
      </c>
      <c r="B17" s="49"/>
      <c r="C17" s="50">
        <v>73.150921142101865</v>
      </c>
      <c r="D17" s="50">
        <v>1107.3639187494925</v>
      </c>
      <c r="E17" s="50">
        <v>17.225526686509419</v>
      </c>
      <c r="F17" s="50">
        <v>0</v>
      </c>
      <c r="G17" s="50">
        <v>2998.2210585276339</v>
      </c>
      <c r="H17" s="51">
        <v>27.901259135206654</v>
      </c>
      <c r="I17" s="49">
        <v>179.73582367897026</v>
      </c>
      <c r="J17" s="50">
        <v>480.67223660151154</v>
      </c>
      <c r="K17" s="50">
        <v>26.576004290580805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281.27352538648063</v>
      </c>
      <c r="V17" s="66">
        <v>179.00768343598176</v>
      </c>
      <c r="W17" s="62">
        <v>44.685916971712693</v>
      </c>
      <c r="X17" s="62">
        <v>28.438945572029251</v>
      </c>
      <c r="Y17" s="66">
        <v>111.23360130998644</v>
      </c>
      <c r="Z17" s="66">
        <v>70.791124985484728</v>
      </c>
      <c r="AA17" s="67">
        <v>0</v>
      </c>
      <c r="AB17" s="68">
        <v>90.608719486660149</v>
      </c>
      <c r="AC17" s="69">
        <v>0</v>
      </c>
      <c r="AD17" s="406">
        <v>11.335854757339831</v>
      </c>
      <c r="AE17" s="406">
        <v>6.9751403653417352</v>
      </c>
      <c r="AF17" s="69">
        <v>17.919911417696206</v>
      </c>
      <c r="AG17" s="68">
        <v>10.850621370194114</v>
      </c>
      <c r="AH17" s="68">
        <v>6.9055364974380389</v>
      </c>
      <c r="AI17" s="68">
        <v>0.61109061155475541</v>
      </c>
      <c r="AJ17" s="69">
        <v>234.63748761812846</v>
      </c>
      <c r="AK17" s="69">
        <v>750.96267131169634</v>
      </c>
      <c r="AL17" s="69">
        <v>3098.7968460083002</v>
      </c>
      <c r="AM17" s="69">
        <v>425.384033203125</v>
      </c>
      <c r="AN17" s="69">
        <v>1579.8343505859375</v>
      </c>
      <c r="AO17" s="69">
        <v>2603.8675832112631</v>
      </c>
      <c r="AP17" s="69">
        <v>518.5941248099009</v>
      </c>
      <c r="AQ17" s="69">
        <v>2221.2616238911946</v>
      </c>
      <c r="AR17" s="69">
        <v>440.49473988215135</v>
      </c>
      <c r="AS17" s="69">
        <v>618.55909983317076</v>
      </c>
    </row>
    <row r="18" spans="1:45" x14ac:dyDescent="0.25">
      <c r="A18" s="11">
        <v>44297</v>
      </c>
      <c r="B18" s="59"/>
      <c r="C18" s="60">
        <v>73.829893600940892</v>
      </c>
      <c r="D18" s="60">
        <v>1095.2275849660257</v>
      </c>
      <c r="E18" s="60">
        <v>17.365214581290857</v>
      </c>
      <c r="F18" s="60">
        <v>0</v>
      </c>
      <c r="G18" s="60">
        <v>2795.8177324930871</v>
      </c>
      <c r="H18" s="61">
        <v>28.02537641525273</v>
      </c>
      <c r="I18" s="59">
        <v>179.64909958044672</v>
      </c>
      <c r="J18" s="60">
        <v>480.50127534866294</v>
      </c>
      <c r="K18" s="60">
        <v>26.624557983875334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286.51121681093798</v>
      </c>
      <c r="V18" s="66">
        <v>182.35185215115726</v>
      </c>
      <c r="W18" s="62">
        <v>46.768455957382542</v>
      </c>
      <c r="X18" s="62">
        <v>29.766075691571146</v>
      </c>
      <c r="Y18" s="66">
        <v>114.01311806252943</v>
      </c>
      <c r="Z18" s="66">
        <v>72.56436058470257</v>
      </c>
      <c r="AA18" s="67">
        <v>0</v>
      </c>
      <c r="AB18" s="68">
        <v>90.277085648641716</v>
      </c>
      <c r="AC18" s="69">
        <v>0</v>
      </c>
      <c r="AD18" s="406">
        <v>11.331873020692061</v>
      </c>
      <c r="AE18" s="406">
        <v>6.9766151115745902</v>
      </c>
      <c r="AF18" s="69">
        <v>18.150416047043297</v>
      </c>
      <c r="AG18" s="68">
        <v>10.997761788969958</v>
      </c>
      <c r="AH18" s="68">
        <v>6.999594131280567</v>
      </c>
      <c r="AI18" s="68">
        <v>0.61107652911366472</v>
      </c>
      <c r="AJ18" s="69">
        <v>227.39201811949414</v>
      </c>
      <c r="AK18" s="69">
        <v>733.41514883041395</v>
      </c>
      <c r="AL18" s="69">
        <v>3102.5158050537107</v>
      </c>
      <c r="AM18" s="69">
        <v>425.384033203125</v>
      </c>
      <c r="AN18" s="69">
        <v>1579.8343505859375</v>
      </c>
      <c r="AO18" s="69">
        <v>2579.8927529652901</v>
      </c>
      <c r="AP18" s="69">
        <v>490.69865148862203</v>
      </c>
      <c r="AQ18" s="69">
        <v>2200.8752053578692</v>
      </c>
      <c r="AR18" s="69">
        <v>435.01122309366866</v>
      </c>
      <c r="AS18" s="69">
        <v>520.76394748687744</v>
      </c>
    </row>
    <row r="19" spans="1:45" x14ac:dyDescent="0.25">
      <c r="A19" s="11">
        <v>44298</v>
      </c>
      <c r="B19" s="59"/>
      <c r="C19" s="60">
        <v>73.414755082129503</v>
      </c>
      <c r="D19" s="60">
        <v>1095.0765574137361</v>
      </c>
      <c r="E19" s="60">
        <v>17.344224030276113</v>
      </c>
      <c r="F19" s="60">
        <v>0</v>
      </c>
      <c r="G19" s="60">
        <v>2811.86137657166</v>
      </c>
      <c r="H19" s="61">
        <v>27.969925246636112</v>
      </c>
      <c r="I19" s="59">
        <v>179.67966382503494</v>
      </c>
      <c r="J19" s="60">
        <v>480.48500903447388</v>
      </c>
      <c r="K19" s="60">
        <v>26.634619025389391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280.68611533552996</v>
      </c>
      <c r="V19" s="66">
        <v>178.58309058437825</v>
      </c>
      <c r="W19" s="62">
        <v>46.132423418279231</v>
      </c>
      <c r="X19" s="62">
        <v>29.351187323018276</v>
      </c>
      <c r="Y19" s="66">
        <v>115.09416056875163</v>
      </c>
      <c r="Z19" s="66">
        <v>73.227244881751332</v>
      </c>
      <c r="AA19" s="67">
        <v>0</v>
      </c>
      <c r="AB19" s="68">
        <v>90.271201017167144</v>
      </c>
      <c r="AC19" s="69">
        <v>0</v>
      </c>
      <c r="AD19" s="406">
        <v>11.33168959883692</v>
      </c>
      <c r="AE19" s="406">
        <v>6.9754966968467906</v>
      </c>
      <c r="AF19" s="69">
        <v>18.03647906581558</v>
      </c>
      <c r="AG19" s="68">
        <v>10.929997303472614</v>
      </c>
      <c r="AH19" s="68">
        <v>6.9540764287530177</v>
      </c>
      <c r="AI19" s="68">
        <v>0.61115814367157617</v>
      </c>
      <c r="AJ19" s="69">
        <v>250.57640015284215</v>
      </c>
      <c r="AK19" s="69">
        <v>776.86542072296163</v>
      </c>
      <c r="AL19" s="69">
        <v>2746.4102989196776</v>
      </c>
      <c r="AM19" s="69">
        <v>425.384033203125</v>
      </c>
      <c r="AN19" s="69">
        <v>1579.8343505859375</v>
      </c>
      <c r="AO19" s="69">
        <v>2540.0805374145507</v>
      </c>
      <c r="AP19" s="69">
        <v>555.32490655581148</v>
      </c>
      <c r="AQ19" s="69">
        <v>2224.2138417561855</v>
      </c>
      <c r="AR19" s="69">
        <v>458.3303795019786</v>
      </c>
      <c r="AS19" s="69">
        <v>537.82334149678547</v>
      </c>
    </row>
    <row r="20" spans="1:45" x14ac:dyDescent="0.25">
      <c r="A20" s="11">
        <v>44299</v>
      </c>
      <c r="B20" s="59"/>
      <c r="C20" s="60">
        <v>72.975755683580687</v>
      </c>
      <c r="D20" s="60">
        <v>1098.0609473546365</v>
      </c>
      <c r="E20" s="60">
        <v>17.357721877098044</v>
      </c>
      <c r="F20" s="60">
        <v>0</v>
      </c>
      <c r="G20" s="60">
        <v>2923.4643886566118</v>
      </c>
      <c r="H20" s="61">
        <v>27.823174669345264</v>
      </c>
      <c r="I20" s="59">
        <v>179.71917277971895</v>
      </c>
      <c r="J20" s="60">
        <v>480.58072226842228</v>
      </c>
      <c r="K20" s="60">
        <v>26.621950463454002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276.11155119158622</v>
      </c>
      <c r="V20" s="62">
        <v>175.7160525936095</v>
      </c>
      <c r="W20" s="62">
        <v>46.080223472334801</v>
      </c>
      <c r="X20" s="62">
        <v>29.32523082155209</v>
      </c>
      <c r="Y20" s="66">
        <v>115.3840747307797</v>
      </c>
      <c r="Z20" s="66">
        <v>73.429865778380673</v>
      </c>
      <c r="AA20" s="67">
        <v>0</v>
      </c>
      <c r="AB20" s="68">
        <v>90.280527353286104</v>
      </c>
      <c r="AC20" s="69">
        <v>0</v>
      </c>
      <c r="AD20" s="406">
        <v>11.333532924588683</v>
      </c>
      <c r="AE20" s="406">
        <v>6.9745521772260544</v>
      </c>
      <c r="AF20" s="69">
        <v>18.029032780064487</v>
      </c>
      <c r="AG20" s="68">
        <v>10.930404751758504</v>
      </c>
      <c r="AH20" s="68">
        <v>6.9560565935785572</v>
      </c>
      <c r="AI20" s="68">
        <v>0.61109934160386747</v>
      </c>
      <c r="AJ20" s="69">
        <v>256.13220408757525</v>
      </c>
      <c r="AK20" s="69">
        <v>787.72501071294164</v>
      </c>
      <c r="AL20" s="69">
        <v>2968.1788392384847</v>
      </c>
      <c r="AM20" s="69">
        <v>425.384033203125</v>
      </c>
      <c r="AN20" s="69">
        <v>1579.8343505859375</v>
      </c>
      <c r="AO20" s="69">
        <v>2365.5408809661867</v>
      </c>
      <c r="AP20" s="69">
        <v>571.0895712693532</v>
      </c>
      <c r="AQ20" s="69">
        <v>2248.9994354248042</v>
      </c>
      <c r="AR20" s="69">
        <v>445.5057408809663</v>
      </c>
      <c r="AS20" s="69">
        <v>547.93537975947049</v>
      </c>
    </row>
    <row r="21" spans="1:45" x14ac:dyDescent="0.25">
      <c r="A21" s="452">
        <v>44300</v>
      </c>
      <c r="B21" s="445"/>
      <c r="C21" s="446">
        <v>73.531142552693368</v>
      </c>
      <c r="D21" s="446">
        <v>1100.81866569519</v>
      </c>
      <c r="E21" s="446">
        <v>17.678506565590723</v>
      </c>
      <c r="F21" s="446">
        <v>0</v>
      </c>
      <c r="G21" s="446">
        <v>3025.0849745432643</v>
      </c>
      <c r="H21" s="447">
        <v>27.950520696242695</v>
      </c>
      <c r="I21" s="445">
        <v>179.90477563540125</v>
      </c>
      <c r="J21" s="446">
        <v>480.85535980860391</v>
      </c>
      <c r="K21" s="446">
        <v>26.664138648907347</v>
      </c>
      <c r="L21" s="448">
        <v>0</v>
      </c>
      <c r="M21" s="446">
        <v>0</v>
      </c>
      <c r="N21" s="447">
        <v>0</v>
      </c>
      <c r="O21" s="445">
        <v>0</v>
      </c>
      <c r="P21" s="446">
        <v>0</v>
      </c>
      <c r="Q21" s="446">
        <v>0</v>
      </c>
      <c r="R21" s="446">
        <v>0</v>
      </c>
      <c r="S21" s="446">
        <v>0</v>
      </c>
      <c r="T21" s="447">
        <v>0</v>
      </c>
      <c r="U21" s="445">
        <v>270.27809393074381</v>
      </c>
      <c r="V21" s="446">
        <v>168.12710507777317</v>
      </c>
      <c r="W21" s="446">
        <v>44.680567386739163</v>
      </c>
      <c r="X21" s="446">
        <v>27.793648899602282</v>
      </c>
      <c r="Y21" s="446">
        <v>113.00126109119165</v>
      </c>
      <c r="Z21" s="446">
        <v>70.292692319592362</v>
      </c>
      <c r="AA21" s="447">
        <v>0</v>
      </c>
      <c r="AB21" s="449">
        <v>90.399624411264199</v>
      </c>
      <c r="AC21" s="450">
        <v>0</v>
      </c>
      <c r="AD21" s="451">
        <v>11.339791950065976</v>
      </c>
      <c r="AE21" s="449">
        <v>6.9832086500852544</v>
      </c>
      <c r="AF21" s="450">
        <v>17.498732858233996</v>
      </c>
      <c r="AG21" s="450">
        <v>10.694558804651308</v>
      </c>
      <c r="AH21" s="450">
        <v>6.6525747083696922</v>
      </c>
      <c r="AI21" s="450">
        <v>0.61650293961384584</v>
      </c>
      <c r="AJ21" s="450">
        <v>257.20447310606636</v>
      </c>
      <c r="AK21" s="450">
        <v>787.97400372823085</v>
      </c>
      <c r="AL21" s="450">
        <v>2864.4742824554442</v>
      </c>
      <c r="AM21" s="450">
        <v>425.384033203125</v>
      </c>
      <c r="AN21" s="450">
        <v>1579.8343505859375</v>
      </c>
      <c r="AO21" s="450">
        <v>2569.2728115081786</v>
      </c>
      <c r="AP21" s="450">
        <v>566.80284460385644</v>
      </c>
      <c r="AQ21" s="450">
        <v>2285.0954461415604</v>
      </c>
      <c r="AR21" s="450">
        <v>441.35382250150042</v>
      </c>
      <c r="AS21" s="450">
        <v>540.0296351750693</v>
      </c>
    </row>
    <row r="22" spans="1:45" x14ac:dyDescent="0.25">
      <c r="A22" s="11">
        <v>44301</v>
      </c>
      <c r="B22" s="59"/>
      <c r="C22" s="60">
        <v>74.324472022057037</v>
      </c>
      <c r="D22" s="60">
        <v>1098.9949253718055</v>
      </c>
      <c r="E22" s="60">
        <v>17.838307668268698</v>
      </c>
      <c r="F22" s="60">
        <v>0</v>
      </c>
      <c r="G22" s="60">
        <v>2994.1495690663619</v>
      </c>
      <c r="H22" s="61">
        <v>27.955549375216201</v>
      </c>
      <c r="I22" s="59">
        <v>173.24345977306353</v>
      </c>
      <c r="J22" s="60">
        <v>463.33892285029071</v>
      </c>
      <c r="K22" s="60">
        <v>25.637878229220725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261.00834199916852</v>
      </c>
      <c r="V22" s="62">
        <v>174.66762538686851</v>
      </c>
      <c r="W22" s="62">
        <v>43.063811502459934</v>
      </c>
      <c r="X22" s="62">
        <v>28.818441731131923</v>
      </c>
      <c r="Y22" s="66">
        <v>112.24051752536808</v>
      </c>
      <c r="Z22" s="66">
        <v>75.111716806398832</v>
      </c>
      <c r="AA22" s="67">
        <v>0</v>
      </c>
      <c r="AB22" s="68">
        <v>88.416908142301963</v>
      </c>
      <c r="AC22" s="69">
        <v>0</v>
      </c>
      <c r="AD22" s="406">
        <v>10.928299590463824</v>
      </c>
      <c r="AE22" s="406">
        <v>6.9711753162320296</v>
      </c>
      <c r="AF22" s="69">
        <v>17.424212223953646</v>
      </c>
      <c r="AG22" s="68">
        <v>10.334375312289465</v>
      </c>
      <c r="AH22" s="68">
        <v>6.9157973336347585</v>
      </c>
      <c r="AI22" s="68">
        <v>0.59908822505212522</v>
      </c>
      <c r="AJ22" s="69">
        <v>270.4336180766424</v>
      </c>
      <c r="AK22" s="69">
        <v>820.87142384847016</v>
      </c>
      <c r="AL22" s="69">
        <v>2800.2927151997883</v>
      </c>
      <c r="AM22" s="69">
        <v>425.384033203125</v>
      </c>
      <c r="AN22" s="69">
        <v>1579.8343505859375</v>
      </c>
      <c r="AO22" s="69">
        <v>2684.3950505574549</v>
      </c>
      <c r="AP22" s="69">
        <v>600.63881055514025</v>
      </c>
      <c r="AQ22" s="69">
        <v>2248.8721010843915</v>
      </c>
      <c r="AR22" s="69">
        <v>462.29986737569175</v>
      </c>
      <c r="AS22" s="69">
        <v>536.57745227813723</v>
      </c>
    </row>
    <row r="23" spans="1:45" x14ac:dyDescent="0.25">
      <c r="A23" s="11">
        <v>44302</v>
      </c>
      <c r="B23" s="59"/>
      <c r="C23" s="60">
        <v>73.387893557548452</v>
      </c>
      <c r="D23" s="60">
        <v>1081.2408216476465</v>
      </c>
      <c r="E23" s="60">
        <v>17.677325952549786</v>
      </c>
      <c r="F23" s="60">
        <v>0</v>
      </c>
      <c r="G23" s="60">
        <v>2950.8856525421033</v>
      </c>
      <c r="H23" s="61">
        <v>27.822354916731598</v>
      </c>
      <c r="I23" s="59">
        <v>164.59940159320826</v>
      </c>
      <c r="J23" s="60">
        <v>440.19833904902134</v>
      </c>
      <c r="K23" s="60">
        <v>24.408756480614382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251.26771147488563</v>
      </c>
      <c r="V23" s="62">
        <v>176.15788518615631</v>
      </c>
      <c r="W23" s="62">
        <v>42.793372229530775</v>
      </c>
      <c r="X23" s="62">
        <v>30.001427193686993</v>
      </c>
      <c r="Y23" s="66">
        <v>108.10691482450801</v>
      </c>
      <c r="Z23" s="66">
        <v>75.79121637914352</v>
      </c>
      <c r="AA23" s="67">
        <v>0</v>
      </c>
      <c r="AB23" s="68">
        <v>85.888878350787977</v>
      </c>
      <c r="AC23" s="69">
        <v>0</v>
      </c>
      <c r="AD23" s="406">
        <v>10.382093559149393</v>
      </c>
      <c r="AE23" s="406">
        <v>6.9667606794491492</v>
      </c>
      <c r="AF23" s="69">
        <v>17.22715479069285</v>
      </c>
      <c r="AG23" s="68">
        <v>9.9848453551980469</v>
      </c>
      <c r="AH23" s="68">
        <v>7.0001403338220323</v>
      </c>
      <c r="AI23" s="68">
        <v>0.58786304198376438</v>
      </c>
      <c r="AJ23" s="69">
        <v>282.1075029929479</v>
      </c>
      <c r="AK23" s="69">
        <v>843.64603509902952</v>
      </c>
      <c r="AL23" s="69">
        <v>3116.3160856882728</v>
      </c>
      <c r="AM23" s="69">
        <v>425.384033203125</v>
      </c>
      <c r="AN23" s="69">
        <v>1579.8343505859375</v>
      </c>
      <c r="AO23" s="69">
        <v>2678.4108169555661</v>
      </c>
      <c r="AP23" s="69">
        <v>624.83891789118456</v>
      </c>
      <c r="AQ23" s="69">
        <v>2196.6577744801839</v>
      </c>
      <c r="AR23" s="69">
        <v>477.11284774144491</v>
      </c>
      <c r="AS23" s="69">
        <v>538.70807059605909</v>
      </c>
    </row>
    <row r="24" spans="1:45" x14ac:dyDescent="0.25">
      <c r="A24" s="11">
        <v>44303</v>
      </c>
      <c r="B24" s="59"/>
      <c r="C24" s="60">
        <v>73.12220685482049</v>
      </c>
      <c r="D24" s="60">
        <v>1048.6283193588265</v>
      </c>
      <c r="E24" s="60">
        <v>17.530261198182892</v>
      </c>
      <c r="F24" s="60">
        <v>0</v>
      </c>
      <c r="G24" s="60">
        <v>2694.3294490814219</v>
      </c>
      <c r="H24" s="61">
        <v>28.074424499273384</v>
      </c>
      <c r="I24" s="59">
        <v>165.49197715123472</v>
      </c>
      <c r="J24" s="60">
        <v>442.60964577992746</v>
      </c>
      <c r="K24" s="60">
        <v>24.761875160535205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247.65321371876684</v>
      </c>
      <c r="V24" s="62">
        <v>173.66071371975892</v>
      </c>
      <c r="W24" s="62">
        <v>42.174327720284936</v>
      </c>
      <c r="X24" s="62">
        <v>29.573708100040253</v>
      </c>
      <c r="Y24" s="66">
        <v>106.68715166670219</v>
      </c>
      <c r="Z24" s="66">
        <v>74.811736237782924</v>
      </c>
      <c r="AA24" s="67">
        <v>0</v>
      </c>
      <c r="AB24" s="68">
        <v>86.066885487239588</v>
      </c>
      <c r="AC24" s="69">
        <v>0</v>
      </c>
      <c r="AD24" s="406">
        <v>10.439076895179458</v>
      </c>
      <c r="AE24" s="406">
        <v>6.9693910301587598</v>
      </c>
      <c r="AF24" s="69">
        <v>17.223392754793139</v>
      </c>
      <c r="AG24" s="68">
        <v>9.9837172474924891</v>
      </c>
      <c r="AH24" s="68">
        <v>7.0008357119269204</v>
      </c>
      <c r="AI24" s="68">
        <v>0.5878115998311072</v>
      </c>
      <c r="AJ24" s="69">
        <v>270.77068157990772</v>
      </c>
      <c r="AK24" s="69">
        <v>819.54904750188189</v>
      </c>
      <c r="AL24" s="69">
        <v>2805.5773167928055</v>
      </c>
      <c r="AM24" s="69">
        <v>425.384033203125</v>
      </c>
      <c r="AN24" s="69">
        <v>1579.8343505859375</v>
      </c>
      <c r="AO24" s="69">
        <v>2636.5466115315758</v>
      </c>
      <c r="AP24" s="69">
        <v>598.40188163121547</v>
      </c>
      <c r="AQ24" s="69">
        <v>2190.2512396494553</v>
      </c>
      <c r="AR24" s="69">
        <v>460.03686529795328</v>
      </c>
      <c r="AS24" s="69">
        <v>545.18985487620034</v>
      </c>
    </row>
    <row r="25" spans="1:45" x14ac:dyDescent="0.25">
      <c r="A25" s="11">
        <v>44304</v>
      </c>
      <c r="B25" s="59"/>
      <c r="C25" s="60">
        <v>72.934518977006519</v>
      </c>
      <c r="D25" s="60">
        <v>1053.8313687006644</v>
      </c>
      <c r="E25" s="60">
        <v>17.651533973216974</v>
      </c>
      <c r="F25" s="60">
        <v>0</v>
      </c>
      <c r="G25" s="60">
        <v>2658.019214630121</v>
      </c>
      <c r="H25" s="61">
        <v>27.992201936245067</v>
      </c>
      <c r="I25" s="59">
        <v>165.49454499085712</v>
      </c>
      <c r="J25" s="60">
        <v>442.5214229265851</v>
      </c>
      <c r="K25" s="60">
        <v>24.819218067328215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244.77703930673584</v>
      </c>
      <c r="V25" s="62">
        <v>171.53912636302351</v>
      </c>
      <c r="W25" s="62">
        <v>41.066511064872721</v>
      </c>
      <c r="X25" s="62">
        <v>28.779306469256131</v>
      </c>
      <c r="Y25" s="66">
        <v>105.33127596760447</v>
      </c>
      <c r="Z25" s="66">
        <v>73.815890205058921</v>
      </c>
      <c r="AA25" s="67">
        <v>0</v>
      </c>
      <c r="AB25" s="68">
        <v>86.09596675237087</v>
      </c>
      <c r="AC25" s="69">
        <v>0</v>
      </c>
      <c r="AD25" s="406">
        <v>10.43499140075467</v>
      </c>
      <c r="AE25" s="406">
        <v>6.9762082465817112</v>
      </c>
      <c r="AF25" s="69">
        <v>16.944174733426831</v>
      </c>
      <c r="AG25" s="68">
        <v>9.8240897166335408</v>
      </c>
      <c r="AH25" s="68">
        <v>6.8846970781091015</v>
      </c>
      <c r="AI25" s="68">
        <v>0.58795948726359082</v>
      </c>
      <c r="AJ25" s="69">
        <v>255.39791349569958</v>
      </c>
      <c r="AK25" s="69">
        <v>793.83566894531259</v>
      </c>
      <c r="AL25" s="69">
        <v>2787.8948493957519</v>
      </c>
      <c r="AM25" s="69">
        <v>425.384033203125</v>
      </c>
      <c r="AN25" s="69">
        <v>1579.8343505859375</v>
      </c>
      <c r="AO25" s="69">
        <v>2623.224367523193</v>
      </c>
      <c r="AP25" s="69">
        <v>567.95400533676138</v>
      </c>
      <c r="AQ25" s="69">
        <v>2164.3226926167808</v>
      </c>
      <c r="AR25" s="69">
        <v>432.13959021568297</v>
      </c>
      <c r="AS25" s="69">
        <v>528.33471927642825</v>
      </c>
    </row>
    <row r="26" spans="1:45" x14ac:dyDescent="0.25">
      <c r="A26" s="11">
        <v>44305</v>
      </c>
      <c r="B26" s="59"/>
      <c r="C26" s="60">
        <v>73.098355984688425</v>
      </c>
      <c r="D26" s="60">
        <v>1058.3353735605881</v>
      </c>
      <c r="E26" s="60">
        <v>17.559927061696857</v>
      </c>
      <c r="F26" s="60">
        <v>0</v>
      </c>
      <c r="G26" s="60">
        <v>2684.789431635545</v>
      </c>
      <c r="H26" s="61">
        <v>27.818554830551218</v>
      </c>
      <c r="I26" s="59">
        <v>164.90580100218463</v>
      </c>
      <c r="J26" s="60">
        <v>441.42111320495593</v>
      </c>
      <c r="K26" s="60">
        <v>24.107790639996498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240.84362593467068</v>
      </c>
      <c r="V26" s="62">
        <v>169.90143115015394</v>
      </c>
      <c r="W26" s="62">
        <v>40.278327939263818</v>
      </c>
      <c r="X26" s="62">
        <v>28.414061342326846</v>
      </c>
      <c r="Y26" s="66">
        <v>103.94896626952374</v>
      </c>
      <c r="Z26" s="66">
        <v>73.330062471994864</v>
      </c>
      <c r="AA26" s="67">
        <v>0</v>
      </c>
      <c r="AB26" s="68">
        <v>85.942294973797772</v>
      </c>
      <c r="AC26" s="69">
        <v>0</v>
      </c>
      <c r="AD26" s="406">
        <v>10.409453693869406</v>
      </c>
      <c r="AE26" s="406">
        <v>6.9736094887807187</v>
      </c>
      <c r="AF26" s="69">
        <v>16.781279044681124</v>
      </c>
      <c r="AG26" s="68">
        <v>9.6853232049607048</v>
      </c>
      <c r="AH26" s="68">
        <v>6.8324426992349698</v>
      </c>
      <c r="AI26" s="68">
        <v>0.58635794096709748</v>
      </c>
      <c r="AJ26" s="69">
        <v>272.96460738182071</v>
      </c>
      <c r="AK26" s="69">
        <v>815.55813325246186</v>
      </c>
      <c r="AL26" s="69">
        <v>2739.4952145894367</v>
      </c>
      <c r="AM26" s="69">
        <v>425.384033203125</v>
      </c>
      <c r="AN26" s="69">
        <v>1579.8343505859375</v>
      </c>
      <c r="AO26" s="69">
        <v>2782.9036977132155</v>
      </c>
      <c r="AP26" s="69">
        <v>587.25410866737366</v>
      </c>
      <c r="AQ26" s="69">
        <v>2151.3225288391113</v>
      </c>
      <c r="AR26" s="69">
        <v>467.16687984466557</v>
      </c>
      <c r="AS26" s="69">
        <v>575.36431140899663</v>
      </c>
    </row>
    <row r="27" spans="1:45" x14ac:dyDescent="0.25">
      <c r="A27" s="11">
        <v>44306</v>
      </c>
      <c r="B27" s="59"/>
      <c r="C27" s="60">
        <v>73.085830132166336</v>
      </c>
      <c r="D27" s="60">
        <v>1075.094668197632</v>
      </c>
      <c r="E27" s="60">
        <v>17.03485956937072</v>
      </c>
      <c r="F27" s="60">
        <v>0</v>
      </c>
      <c r="G27" s="60">
        <v>2759.0227245330789</v>
      </c>
      <c r="H27" s="61">
        <v>27.882335201899242</v>
      </c>
      <c r="I27" s="59">
        <v>164.7079997062682</v>
      </c>
      <c r="J27" s="60">
        <v>440.7761232376094</v>
      </c>
      <c r="K27" s="60">
        <v>23.838638171553622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240.31408862872075</v>
      </c>
      <c r="V27" s="62">
        <v>168.20221727354436</v>
      </c>
      <c r="W27" s="62">
        <v>41.125063817794306</v>
      </c>
      <c r="X27" s="62">
        <v>28.784525115196693</v>
      </c>
      <c r="Y27" s="62">
        <v>105.98583340670208</v>
      </c>
      <c r="Z27" s="62">
        <v>74.182301505152822</v>
      </c>
      <c r="AA27" s="72">
        <v>0</v>
      </c>
      <c r="AB27" s="69">
        <v>86.144854635663251</v>
      </c>
      <c r="AC27" s="69">
        <v>0</v>
      </c>
      <c r="AD27" s="406">
        <v>10.393019523607048</v>
      </c>
      <c r="AE27" s="406">
        <v>6.9761636774938349</v>
      </c>
      <c r="AF27" s="69">
        <v>17.027904894616871</v>
      </c>
      <c r="AG27" s="69">
        <v>9.8649454079367782</v>
      </c>
      <c r="AH27" s="69">
        <v>6.9047374640652945</v>
      </c>
      <c r="AI27" s="69">
        <v>0.5882607013640585</v>
      </c>
      <c r="AJ27" s="69">
        <v>291.67926801045735</v>
      </c>
      <c r="AK27" s="69">
        <v>852.81198883056641</v>
      </c>
      <c r="AL27" s="69">
        <v>2803.3483941396075</v>
      </c>
      <c r="AM27" s="69">
        <v>425.384033203125</v>
      </c>
      <c r="AN27" s="69">
        <v>1579.8343505859375</v>
      </c>
      <c r="AO27" s="69">
        <v>2781.0677884419761</v>
      </c>
      <c r="AP27" s="69">
        <v>629.32125355402627</v>
      </c>
      <c r="AQ27" s="69">
        <v>2193.0755782445267</v>
      </c>
      <c r="AR27" s="69">
        <v>477.73617014884957</v>
      </c>
      <c r="AS27" s="69">
        <v>576.75986614227281</v>
      </c>
    </row>
    <row r="28" spans="1:45" x14ac:dyDescent="0.25">
      <c r="A28" s="11">
        <v>44307</v>
      </c>
      <c r="B28" s="59"/>
      <c r="C28" s="60">
        <v>73.470657936732465</v>
      </c>
      <c r="D28" s="60">
        <v>1076.5820697784443</v>
      </c>
      <c r="E28" s="60">
        <v>16.915286508202531</v>
      </c>
      <c r="F28" s="60">
        <v>0</v>
      </c>
      <c r="G28" s="60">
        <v>2673.115781529752</v>
      </c>
      <c r="H28" s="61">
        <v>27.963932911555023</v>
      </c>
      <c r="I28" s="59">
        <v>165.2696906487146</v>
      </c>
      <c r="J28" s="60">
        <v>441.75713744163505</v>
      </c>
      <c r="K28" s="60">
        <v>24.013160710533448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243.5940973828877</v>
      </c>
      <c r="V28" s="62">
        <v>170.48362139423875</v>
      </c>
      <c r="W28" s="62">
        <v>41.402036731820147</v>
      </c>
      <c r="X28" s="62">
        <v>28.975944946824626</v>
      </c>
      <c r="Y28" s="66">
        <v>107.64098202888991</v>
      </c>
      <c r="Z28" s="66">
        <v>75.334438001068207</v>
      </c>
      <c r="AA28" s="67">
        <v>0</v>
      </c>
      <c r="AB28" s="68">
        <v>86.164064934517896</v>
      </c>
      <c r="AC28" s="69">
        <v>0</v>
      </c>
      <c r="AD28" s="406">
        <v>10.423882742772829</v>
      </c>
      <c r="AE28" s="406">
        <v>6.973853603670384</v>
      </c>
      <c r="AF28" s="69">
        <v>17.257529172632427</v>
      </c>
      <c r="AG28" s="68">
        <v>10.000915922235194</v>
      </c>
      <c r="AH28" s="68">
        <v>6.9993172330526789</v>
      </c>
      <c r="AI28" s="68">
        <v>0.58828110361089003</v>
      </c>
      <c r="AJ28" s="69">
        <v>280.66428141593929</v>
      </c>
      <c r="AK28" s="69">
        <v>838.26979169845595</v>
      </c>
      <c r="AL28" s="69">
        <v>2734.472034962972</v>
      </c>
      <c r="AM28" s="69">
        <v>425.384033203125</v>
      </c>
      <c r="AN28" s="69">
        <v>1579.8343505859375</v>
      </c>
      <c r="AO28" s="69">
        <v>2807.5122907002769</v>
      </c>
      <c r="AP28" s="69">
        <v>607.42797118822727</v>
      </c>
      <c r="AQ28" s="69">
        <v>2178.7120581309005</v>
      </c>
      <c r="AR28" s="69">
        <v>467.33430560429895</v>
      </c>
      <c r="AS28" s="69">
        <v>634.26502987543745</v>
      </c>
    </row>
    <row r="29" spans="1:45" x14ac:dyDescent="0.25">
      <c r="A29" s="11">
        <v>44308</v>
      </c>
      <c r="B29" s="59"/>
      <c r="C29" s="60">
        <v>73.070024649301956</v>
      </c>
      <c r="D29" s="60">
        <v>1076.7258902231856</v>
      </c>
      <c r="E29" s="60">
        <v>16.94425326834121</v>
      </c>
      <c r="F29" s="60">
        <v>0</v>
      </c>
      <c r="G29" s="60">
        <v>2635.5740212758365</v>
      </c>
      <c r="H29" s="61">
        <v>27.876128570238787</v>
      </c>
      <c r="I29" s="59">
        <v>165.01525578498837</v>
      </c>
      <c r="J29" s="60">
        <v>441.07173627217594</v>
      </c>
      <c r="K29" s="60">
        <v>23.652829443414973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243.24474769780767</v>
      </c>
      <c r="V29" s="62">
        <v>170.26323114418926</v>
      </c>
      <c r="W29" s="62">
        <v>41.210142643383975</v>
      </c>
      <c r="X29" s="62">
        <v>28.845728875068886</v>
      </c>
      <c r="Y29" s="66">
        <v>106.55696224275069</v>
      </c>
      <c r="Z29" s="66">
        <v>74.58632864253876</v>
      </c>
      <c r="AA29" s="67">
        <v>0</v>
      </c>
      <c r="AB29" s="68">
        <v>85.866725566651908</v>
      </c>
      <c r="AC29" s="69">
        <v>0</v>
      </c>
      <c r="AD29" s="406">
        <v>10.400728662199764</v>
      </c>
      <c r="AE29" s="406">
        <v>6.9747212344537406</v>
      </c>
      <c r="AF29" s="69">
        <v>17.25366494258245</v>
      </c>
      <c r="AG29" s="68">
        <v>10.000648384856873</v>
      </c>
      <c r="AH29" s="68">
        <v>7.0001211687334433</v>
      </c>
      <c r="AI29" s="68">
        <v>0.58824680573032539</v>
      </c>
      <c r="AJ29" s="69">
        <v>272.56100007692976</v>
      </c>
      <c r="AK29" s="69">
        <v>821.990222009023</v>
      </c>
      <c r="AL29" s="69">
        <v>2846.8662144978844</v>
      </c>
      <c r="AM29" s="69">
        <v>425.384033203125</v>
      </c>
      <c r="AN29" s="69">
        <v>1579.8343505859375</v>
      </c>
      <c r="AO29" s="69">
        <v>2863.1350587209063</v>
      </c>
      <c r="AP29" s="69">
        <v>594.58448204994193</v>
      </c>
      <c r="AQ29" s="69">
        <v>2187.7700904846192</v>
      </c>
      <c r="AR29" s="69">
        <v>455.05658429463705</v>
      </c>
      <c r="AS29" s="69">
        <v>575.32907931009925</v>
      </c>
    </row>
    <row r="30" spans="1:45" x14ac:dyDescent="0.25">
      <c r="A30" s="11">
        <v>44309</v>
      </c>
      <c r="B30" s="59"/>
      <c r="C30" s="60">
        <v>72.842988669872199</v>
      </c>
      <c r="D30" s="60">
        <v>1076.9050727844283</v>
      </c>
      <c r="E30" s="60">
        <v>17.022808117171092</v>
      </c>
      <c r="F30" s="60">
        <v>0</v>
      </c>
      <c r="G30" s="60">
        <v>2671.8579434712765</v>
      </c>
      <c r="H30" s="61">
        <v>27.880337433020291</v>
      </c>
      <c r="I30" s="59">
        <v>165.03092226982093</v>
      </c>
      <c r="J30" s="60">
        <v>441.35849059422782</v>
      </c>
      <c r="K30" s="60">
        <v>23.641072224577243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243.15063868977262</v>
      </c>
      <c r="V30" s="62">
        <v>170.18608031454693</v>
      </c>
      <c r="W30" s="62">
        <v>40.74202542011917</v>
      </c>
      <c r="X30" s="62">
        <v>28.51617272193231</v>
      </c>
      <c r="Y30" s="66">
        <v>103.32064327427145</v>
      </c>
      <c r="Z30" s="66">
        <v>72.316220879272635</v>
      </c>
      <c r="AA30" s="67">
        <v>0</v>
      </c>
      <c r="AB30" s="68">
        <v>86.21025620566634</v>
      </c>
      <c r="AC30" s="69">
        <v>0</v>
      </c>
      <c r="AD30" s="406">
        <v>10.408265013331263</v>
      </c>
      <c r="AE30" s="406">
        <v>6.9763148852314556</v>
      </c>
      <c r="AF30" s="69">
        <v>17.256346290641339</v>
      </c>
      <c r="AG30" s="68">
        <v>10.000301051939896</v>
      </c>
      <c r="AH30" s="68">
        <v>6.9994142197853799</v>
      </c>
      <c r="AI30" s="68">
        <v>0.58826285570634629</v>
      </c>
      <c r="AJ30" s="69">
        <v>241.92910753885903</v>
      </c>
      <c r="AK30" s="69">
        <v>761.83488836288461</v>
      </c>
      <c r="AL30" s="69">
        <v>3182.1648797353109</v>
      </c>
      <c r="AM30" s="69">
        <v>425.384033203125</v>
      </c>
      <c r="AN30" s="69">
        <v>1579.8343505859375</v>
      </c>
      <c r="AO30" s="69">
        <v>2734.3212060292562</v>
      </c>
      <c r="AP30" s="69">
        <v>537.33660066922505</v>
      </c>
      <c r="AQ30" s="69">
        <v>2153.8226099650069</v>
      </c>
      <c r="AR30" s="69">
        <v>424.2714075406393</v>
      </c>
      <c r="AS30" s="69">
        <v>582.77175620396918</v>
      </c>
    </row>
    <row r="31" spans="1:45" x14ac:dyDescent="0.25">
      <c r="A31" s="11">
        <v>44310</v>
      </c>
      <c r="B31" s="59"/>
      <c r="C31" s="60">
        <v>73.876478072007544</v>
      </c>
      <c r="D31" s="60">
        <v>1078.9854563395197</v>
      </c>
      <c r="E31" s="60">
        <v>17.326069374382488</v>
      </c>
      <c r="F31" s="60">
        <v>0</v>
      </c>
      <c r="G31" s="60">
        <v>2689.0335458119721</v>
      </c>
      <c r="H31" s="61">
        <v>27.946632188558699</v>
      </c>
      <c r="I31" s="59">
        <v>165.20346914132435</v>
      </c>
      <c r="J31" s="60">
        <v>441.66643184026111</v>
      </c>
      <c r="K31" s="60">
        <v>23.687316157420451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240.88264724341187</v>
      </c>
      <c r="V31" s="62">
        <v>164.01039225862635</v>
      </c>
      <c r="W31" s="62">
        <v>39.962505224535306</v>
      </c>
      <c r="X31" s="62">
        <v>27.209374492178984</v>
      </c>
      <c r="Y31" s="66">
        <v>102.35399298022348</v>
      </c>
      <c r="Z31" s="66">
        <v>69.690028443434372</v>
      </c>
      <c r="AA31" s="67">
        <v>0</v>
      </c>
      <c r="AB31" s="68">
        <v>86.277757077745633</v>
      </c>
      <c r="AC31" s="69">
        <v>0</v>
      </c>
      <c r="AD31" s="406">
        <v>10.415582611849416</v>
      </c>
      <c r="AE31" s="406">
        <v>6.9898100146356699</v>
      </c>
      <c r="AF31" s="69">
        <v>16.647239028082954</v>
      </c>
      <c r="AG31" s="68">
        <v>9.748550488157548</v>
      </c>
      <c r="AH31" s="68">
        <v>6.6375208335372164</v>
      </c>
      <c r="AI31" s="68">
        <v>0.59492908927173416</v>
      </c>
      <c r="AJ31" s="69">
        <v>227.32627260684961</v>
      </c>
      <c r="AK31" s="69">
        <v>749.85443814595544</v>
      </c>
      <c r="AL31" s="69">
        <v>2839.0844295501706</v>
      </c>
      <c r="AM31" s="69">
        <v>425.384033203125</v>
      </c>
      <c r="AN31" s="69">
        <v>1579.8343505859375</v>
      </c>
      <c r="AO31" s="69">
        <v>2545.8658388773601</v>
      </c>
      <c r="AP31" s="69">
        <v>519.88021103541064</v>
      </c>
      <c r="AQ31" s="69">
        <v>2125.7335188547772</v>
      </c>
      <c r="AR31" s="69">
        <v>419.80295076370237</v>
      </c>
      <c r="AS31" s="69">
        <v>640.4251575787863</v>
      </c>
    </row>
    <row r="32" spans="1:45" x14ac:dyDescent="0.25">
      <c r="A32" s="11">
        <v>44311</v>
      </c>
      <c r="B32" s="59"/>
      <c r="C32" s="60">
        <v>73.304534792900498</v>
      </c>
      <c r="D32" s="60">
        <v>1076.8586353302023</v>
      </c>
      <c r="E32" s="60">
        <v>17.332798620065031</v>
      </c>
      <c r="F32" s="60">
        <v>0</v>
      </c>
      <c r="G32" s="60">
        <v>2630.9028814951575</v>
      </c>
      <c r="H32" s="61">
        <v>27.97534723480544</v>
      </c>
      <c r="I32" s="59">
        <v>166.20520020325961</v>
      </c>
      <c r="J32" s="60">
        <v>444.43584760030109</v>
      </c>
      <c r="K32" s="60">
        <v>24.117307840784409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246.35872368759135</v>
      </c>
      <c r="V32" s="62">
        <v>172.41304437373134</v>
      </c>
      <c r="W32" s="62">
        <v>41.414699531140485</v>
      </c>
      <c r="X32" s="62">
        <v>28.983891136902031</v>
      </c>
      <c r="Y32" s="66">
        <v>105.66960804539396</v>
      </c>
      <c r="Z32" s="66">
        <v>73.952399769649233</v>
      </c>
      <c r="AA32" s="67">
        <v>0</v>
      </c>
      <c r="AB32" s="68">
        <v>86.227601268554665</v>
      </c>
      <c r="AC32" s="69">
        <v>0</v>
      </c>
      <c r="AD32" s="406">
        <v>10.481623022648039</v>
      </c>
      <c r="AE32" s="406">
        <v>6.9750879871019649</v>
      </c>
      <c r="AF32" s="69">
        <v>16.821244005362193</v>
      </c>
      <c r="AG32" s="68">
        <v>9.7560742238531724</v>
      </c>
      <c r="AH32" s="68">
        <v>6.8277446517528642</v>
      </c>
      <c r="AI32" s="68">
        <v>0.58828875888194043</v>
      </c>
      <c r="AJ32" s="69">
        <v>224.29452197551726</v>
      </c>
      <c r="AK32" s="69">
        <v>736.29452101389575</v>
      </c>
      <c r="AL32" s="69">
        <v>2868.495570373535</v>
      </c>
      <c r="AM32" s="69">
        <v>446.11699997584026</v>
      </c>
      <c r="AN32" s="69">
        <v>5878.646125793457</v>
      </c>
      <c r="AO32" s="69">
        <v>2562.0415988922123</v>
      </c>
      <c r="AP32" s="69">
        <v>504.98519975344345</v>
      </c>
      <c r="AQ32" s="69">
        <v>2107.8427087783812</v>
      </c>
      <c r="AR32" s="69">
        <v>400.64413293202711</v>
      </c>
      <c r="AS32" s="69">
        <v>786.60761321385689</v>
      </c>
    </row>
    <row r="33" spans="1:45" x14ac:dyDescent="0.25">
      <c r="A33" s="11">
        <v>44312</v>
      </c>
      <c r="B33" s="59"/>
      <c r="C33" s="60">
        <v>72.92524544795323</v>
      </c>
      <c r="D33" s="60">
        <v>1076.6415424346944</v>
      </c>
      <c r="E33" s="60">
        <v>17.280408449967709</v>
      </c>
      <c r="F33" s="60">
        <v>0</v>
      </c>
      <c r="G33" s="60">
        <v>2543.0779622395853</v>
      </c>
      <c r="H33" s="61">
        <v>27.965947987636028</v>
      </c>
      <c r="I33" s="59">
        <v>163.52293508847549</v>
      </c>
      <c r="J33" s="60">
        <v>437.4063189506532</v>
      </c>
      <c r="K33" s="60">
        <v>24.348811267813019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249.97770154351244</v>
      </c>
      <c r="V33" s="62">
        <v>175.00014309743145</v>
      </c>
      <c r="W33" s="62">
        <v>41.975458665900561</v>
      </c>
      <c r="X33" s="62">
        <v>29.385466094599977</v>
      </c>
      <c r="Y33" s="66">
        <v>110.38856913429886</v>
      </c>
      <c r="Z33" s="66">
        <v>77.278954384899052</v>
      </c>
      <c r="AA33" s="67">
        <v>0</v>
      </c>
      <c r="AB33" s="68">
        <v>85.686443222893047</v>
      </c>
      <c r="AC33" s="69">
        <v>0</v>
      </c>
      <c r="AD33" s="406">
        <v>10.315888538925655</v>
      </c>
      <c r="AE33" s="406">
        <v>6.9742619783068092</v>
      </c>
      <c r="AF33" s="69">
        <v>17.048877777655925</v>
      </c>
      <c r="AG33" s="68">
        <v>9.9230245013785794</v>
      </c>
      <c r="AH33" s="68">
        <v>6.9467424373381554</v>
      </c>
      <c r="AI33" s="68">
        <v>0.5882134908814225</v>
      </c>
      <c r="AJ33" s="69">
        <v>238.99871497154234</v>
      </c>
      <c r="AK33" s="69">
        <v>747.80151433944707</v>
      </c>
      <c r="AL33" s="69">
        <v>2837.1109573364256</v>
      </c>
      <c r="AM33" s="69">
        <v>449.37236022949219</v>
      </c>
      <c r="AN33" s="69">
        <v>6612.589599609375</v>
      </c>
      <c r="AO33" s="69">
        <v>2680.4731670379633</v>
      </c>
      <c r="AP33" s="69">
        <v>505.33087099393214</v>
      </c>
      <c r="AQ33" s="69">
        <v>2090.8774814605713</v>
      </c>
      <c r="AR33" s="69">
        <v>388.73142833709716</v>
      </c>
      <c r="AS33" s="69">
        <v>792.99059165318806</v>
      </c>
    </row>
    <row r="34" spans="1:45" x14ac:dyDescent="0.25">
      <c r="A34" s="11">
        <v>44313</v>
      </c>
      <c r="B34" s="59"/>
      <c r="C34" s="60">
        <v>72.448173900445113</v>
      </c>
      <c r="D34" s="60">
        <v>1076.0944053014121</v>
      </c>
      <c r="E34" s="60">
        <v>17.751102606952173</v>
      </c>
      <c r="F34" s="60">
        <v>0</v>
      </c>
      <c r="G34" s="60">
        <v>2511.4671304066965</v>
      </c>
      <c r="H34" s="61">
        <v>27.814720835288412</v>
      </c>
      <c r="I34" s="59">
        <v>163.48779126803066</v>
      </c>
      <c r="J34" s="60">
        <v>437.11631317138688</v>
      </c>
      <c r="K34" s="60">
        <v>24.375273873408698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248.77194159227909</v>
      </c>
      <c r="V34" s="62">
        <v>174.13047944772595</v>
      </c>
      <c r="W34" s="62">
        <v>42.953367716016388</v>
      </c>
      <c r="X34" s="62">
        <v>30.06565156187429</v>
      </c>
      <c r="Y34" s="66">
        <v>108.13491331821454</v>
      </c>
      <c r="Z34" s="66">
        <v>75.690144879760751</v>
      </c>
      <c r="AA34" s="67">
        <v>0</v>
      </c>
      <c r="AB34" s="68">
        <v>85.616372436946278</v>
      </c>
      <c r="AC34" s="69">
        <v>0</v>
      </c>
      <c r="AD34" s="406">
        <v>10.306877167050533</v>
      </c>
      <c r="AE34" s="406">
        <v>6.9710805653214392</v>
      </c>
      <c r="AF34" s="69">
        <v>17.0481518632836</v>
      </c>
      <c r="AG34" s="68">
        <v>9.919429450076505</v>
      </c>
      <c r="AH34" s="68">
        <v>6.9432066773052918</v>
      </c>
      <c r="AI34" s="68">
        <v>0.58824903622092573</v>
      </c>
      <c r="AJ34" s="69">
        <v>236.15644021828976</v>
      </c>
      <c r="AK34" s="69">
        <v>735.89587742487595</v>
      </c>
      <c r="AL34" s="69">
        <v>2790.4985998789466</v>
      </c>
      <c r="AM34" s="69">
        <v>487.39487603505449</v>
      </c>
      <c r="AN34" s="69">
        <v>6013.3475949605308</v>
      </c>
      <c r="AO34" s="69">
        <v>2673.0275557200112</v>
      </c>
      <c r="AP34" s="69">
        <v>485.65718118349707</v>
      </c>
      <c r="AQ34" s="69">
        <v>2096.4825920104981</v>
      </c>
      <c r="AR34" s="69">
        <v>394.6440624554952</v>
      </c>
      <c r="AS34" s="69">
        <v>579.86995662053414</v>
      </c>
    </row>
    <row r="35" spans="1:45" x14ac:dyDescent="0.25">
      <c r="A35" s="11">
        <v>44314</v>
      </c>
      <c r="B35" s="59"/>
      <c r="C35" s="60">
        <v>73.050299851099709</v>
      </c>
      <c r="D35" s="60">
        <v>1076.329919497173</v>
      </c>
      <c r="E35" s="60">
        <v>17.75894311418136</v>
      </c>
      <c r="F35" s="60">
        <v>0</v>
      </c>
      <c r="G35" s="60">
        <v>2422.8409435272251</v>
      </c>
      <c r="H35" s="61">
        <v>27.848412007093476</v>
      </c>
      <c r="I35" s="59">
        <v>163.87620715300224</v>
      </c>
      <c r="J35" s="60">
        <v>438.32924477259309</v>
      </c>
      <c r="K35" s="60">
        <v>24.423665235440026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241.68968382518841</v>
      </c>
      <c r="V35" s="62">
        <v>169.2006687630402</v>
      </c>
      <c r="W35" s="62">
        <v>42.575806363639707</v>
      </c>
      <c r="X35" s="62">
        <v>29.806215953611048</v>
      </c>
      <c r="Y35" s="66">
        <v>103.57988370485101</v>
      </c>
      <c r="Z35" s="66">
        <v>72.513585668534105</v>
      </c>
      <c r="AA35" s="67">
        <v>0</v>
      </c>
      <c r="AB35" s="68">
        <v>85.764727242787217</v>
      </c>
      <c r="AC35" s="69">
        <v>0</v>
      </c>
      <c r="AD35" s="406">
        <v>10.336716738459085</v>
      </c>
      <c r="AE35" s="406">
        <v>6.9721172424050417</v>
      </c>
      <c r="AF35" s="69">
        <v>17.004114347034037</v>
      </c>
      <c r="AG35" s="68">
        <v>9.8946918253434024</v>
      </c>
      <c r="AH35" s="68">
        <v>6.9270166916317928</v>
      </c>
      <c r="AI35" s="68">
        <v>0.58820968246824801</v>
      </c>
      <c r="AJ35" s="69">
        <v>249.40209345817567</v>
      </c>
      <c r="AK35" s="69">
        <v>756.75603656768794</v>
      </c>
      <c r="AL35" s="69">
        <v>2804.966135025024</v>
      </c>
      <c r="AM35" s="69">
        <v>522.76702880859375</v>
      </c>
      <c r="AN35" s="69">
        <v>5162.2855224609375</v>
      </c>
      <c r="AO35" s="69">
        <v>2664.3656089782708</v>
      </c>
      <c r="AP35" s="69">
        <v>533.5667048772176</v>
      </c>
      <c r="AQ35" s="69">
        <v>2160.465110905965</v>
      </c>
      <c r="AR35" s="69">
        <v>434.25977066357922</v>
      </c>
      <c r="AS35" s="69">
        <v>581.02270650863659</v>
      </c>
    </row>
    <row r="36" spans="1:45" x14ac:dyDescent="0.25">
      <c r="A36" s="11">
        <v>44315</v>
      </c>
      <c r="B36" s="59"/>
      <c r="C36" s="60">
        <v>73.179824097951268</v>
      </c>
      <c r="D36" s="60">
        <v>1076.4172676086446</v>
      </c>
      <c r="E36" s="60">
        <v>17.79562010169029</v>
      </c>
      <c r="F36" s="60">
        <v>0</v>
      </c>
      <c r="G36" s="60">
        <v>2420.1333212534605</v>
      </c>
      <c r="H36" s="61">
        <v>27.775767330328666</v>
      </c>
      <c r="I36" s="59">
        <v>163.83652500311516</v>
      </c>
      <c r="J36" s="60">
        <v>438.01462583541939</v>
      </c>
      <c r="K36" s="60">
        <v>24.66873967746896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231.58225521391947</v>
      </c>
      <c r="V36" s="62">
        <v>163.25878334164909</v>
      </c>
      <c r="W36" s="62">
        <v>39.539269812442036</v>
      </c>
      <c r="X36" s="62">
        <v>27.874040166996739</v>
      </c>
      <c r="Y36" s="66">
        <v>101.88537098139734</v>
      </c>
      <c r="Z36" s="66">
        <v>71.826235958236353</v>
      </c>
      <c r="AA36" s="67">
        <v>0</v>
      </c>
      <c r="AB36" s="68">
        <v>86.095586840313842</v>
      </c>
      <c r="AC36" s="69">
        <v>0</v>
      </c>
      <c r="AD36" s="406">
        <v>10.327810914806843</v>
      </c>
      <c r="AE36" s="406">
        <v>6.9730168455774901</v>
      </c>
      <c r="AF36" s="69">
        <v>16.526812954081411</v>
      </c>
      <c r="AG36" s="68">
        <v>9.5921567845316744</v>
      </c>
      <c r="AH36" s="68">
        <v>6.7621927458061126</v>
      </c>
      <c r="AI36" s="68">
        <v>0.58652022611709187</v>
      </c>
      <c r="AJ36" s="69">
        <v>221.62936506271362</v>
      </c>
      <c r="AK36" s="69">
        <v>725.74101489384964</v>
      </c>
      <c r="AL36" s="69">
        <v>2903.1421291351317</v>
      </c>
      <c r="AM36" s="69">
        <v>522.76702880859375</v>
      </c>
      <c r="AN36" s="69">
        <v>5162.2855224609375</v>
      </c>
      <c r="AO36" s="69">
        <v>2638.6414141337077</v>
      </c>
      <c r="AP36" s="69">
        <v>508.15739482243862</v>
      </c>
      <c r="AQ36" s="69">
        <v>2132.0234881718957</v>
      </c>
      <c r="AR36" s="69">
        <v>420.51032730738319</v>
      </c>
      <c r="AS36" s="69">
        <v>709.78449090321851</v>
      </c>
    </row>
    <row r="37" spans="1:45" x14ac:dyDescent="0.25">
      <c r="A37" s="11">
        <v>44316</v>
      </c>
      <c r="B37" s="59"/>
      <c r="C37" s="60">
        <v>73.142297712961891</v>
      </c>
      <c r="D37" s="60">
        <v>1074.9987791061412</v>
      </c>
      <c r="E37" s="60">
        <v>17.577104409535757</v>
      </c>
      <c r="F37" s="60">
        <v>0</v>
      </c>
      <c r="G37" s="60">
        <v>2404.6116888681991</v>
      </c>
      <c r="H37" s="61">
        <v>27.872650237878183</v>
      </c>
      <c r="I37" s="59">
        <v>163.78528812726339</v>
      </c>
      <c r="J37" s="60">
        <v>437.92225090662669</v>
      </c>
      <c r="K37" s="60">
        <v>24.671962561210108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237.1538138060474</v>
      </c>
      <c r="V37" s="62">
        <v>166.02291342529762</v>
      </c>
      <c r="W37" s="62">
        <v>40.855688789964162</v>
      </c>
      <c r="X37" s="62">
        <v>28.601608272909658</v>
      </c>
      <c r="Y37" s="66">
        <v>104.76755918244753</v>
      </c>
      <c r="Z37" s="66">
        <v>73.344025671678608</v>
      </c>
      <c r="AA37" s="67">
        <v>0</v>
      </c>
      <c r="AB37" s="68">
        <v>86.056193108027401</v>
      </c>
      <c r="AC37" s="69">
        <v>0</v>
      </c>
      <c r="AD37" s="406">
        <v>10.326725308252385</v>
      </c>
      <c r="AE37" s="406">
        <v>6.9758244179743292</v>
      </c>
      <c r="AF37" s="69">
        <v>17.061288421021555</v>
      </c>
      <c r="AG37" s="68">
        <v>9.9277095947999729</v>
      </c>
      <c r="AH37" s="68">
        <v>6.9500348491842088</v>
      </c>
      <c r="AI37" s="68">
        <v>0.58821305345327446</v>
      </c>
      <c r="AJ37" s="69">
        <v>212.51327596505487</v>
      </c>
      <c r="AK37" s="69">
        <v>722.35299676259353</v>
      </c>
      <c r="AL37" s="69">
        <v>2864.3914984385174</v>
      </c>
      <c r="AM37" s="69">
        <v>534.58255268732705</v>
      </c>
      <c r="AN37" s="69">
        <v>5162.2855224609375</v>
      </c>
      <c r="AO37" s="69">
        <v>2689.9256192525218</v>
      </c>
      <c r="AP37" s="69">
        <v>489.02974327405292</v>
      </c>
      <c r="AQ37" s="69">
        <v>2109.0394613265989</v>
      </c>
      <c r="AR37" s="69">
        <v>407.30832352638237</v>
      </c>
      <c r="AS37" s="69">
        <v>776.51566060384107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6"/>
      <c r="AE38" s="406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2203.4687784473103</v>
      </c>
      <c r="D39" s="30">
        <f t="shared" si="0"/>
        <v>32730.625749778781</v>
      </c>
      <c r="E39" s="30">
        <f t="shared" si="0"/>
        <v>522.39409204075685</v>
      </c>
      <c r="F39" s="30">
        <f t="shared" si="0"/>
        <v>0</v>
      </c>
      <c r="G39" s="30">
        <f t="shared" si="0"/>
        <v>84330.413291295379</v>
      </c>
      <c r="H39" s="31">
        <f t="shared" si="0"/>
        <v>837.6611485451474</v>
      </c>
      <c r="I39" s="29">
        <f t="shared" si="0"/>
        <v>5001.8035971879917</v>
      </c>
      <c r="J39" s="30">
        <f t="shared" si="0"/>
        <v>13158.921401023865</v>
      </c>
      <c r="K39" s="30">
        <f t="shared" si="0"/>
        <v>724.17856531143241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7421.5805949655396</v>
      </c>
      <c r="V39" s="261">
        <f t="shared" si="0"/>
        <v>5212.2204060110462</v>
      </c>
      <c r="W39" s="261">
        <f t="shared" si="0"/>
        <v>1237.8077421785654</v>
      </c>
      <c r="X39" s="261">
        <f t="shared" si="0"/>
        <v>869.21135532048743</v>
      </c>
      <c r="Y39" s="261">
        <f t="shared" si="0"/>
        <v>3085.3103572567538</v>
      </c>
      <c r="Z39" s="261">
        <f t="shared" si="0"/>
        <v>2163.4477959592905</v>
      </c>
      <c r="AA39" s="269">
        <f t="shared" si="0"/>
        <v>0</v>
      </c>
      <c r="AB39" s="272">
        <f t="shared" si="0"/>
        <v>2569.5716247055211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7449.9594663937896</v>
      </c>
      <c r="AK39" s="272">
        <f t="shared" si="1"/>
        <v>23238.144186655682</v>
      </c>
      <c r="AL39" s="272">
        <f t="shared" si="1"/>
        <v>86165.466999435404</v>
      </c>
      <c r="AM39" s="272">
        <f t="shared" si="1"/>
        <v>13172.217643419901</v>
      </c>
      <c r="AN39" s="272">
        <f t="shared" si="1"/>
        <v>71907.464301808679</v>
      </c>
      <c r="AO39" s="272">
        <f t="shared" si="1"/>
        <v>79924.131051635748</v>
      </c>
      <c r="AP39" s="272">
        <f t="shared" si="1"/>
        <v>16212.318649593986</v>
      </c>
      <c r="AQ39" s="272">
        <f t="shared" si="1"/>
        <v>64075.652807299295</v>
      </c>
      <c r="AR39" s="272">
        <f t="shared" si="1"/>
        <v>12803.838832203546</v>
      </c>
      <c r="AS39" s="272">
        <f t="shared" si="1"/>
        <v>18551.209955469763</v>
      </c>
    </row>
    <row r="40" spans="1:45" ht="15.75" thickBot="1" x14ac:dyDescent="0.3">
      <c r="A40" s="47" t="s">
        <v>172</v>
      </c>
      <c r="B40" s="32">
        <f>Projection!$AB$30</f>
        <v>0.68740698599999983</v>
      </c>
      <c r="C40" s="33">
        <f>Projection!$AB$28</f>
        <v>1.4286753599999999</v>
      </c>
      <c r="D40" s="33">
        <f>Projection!$AB$31</f>
        <v>2.358470268</v>
      </c>
      <c r="E40" s="33">
        <f>Projection!$AB$26</f>
        <v>4.4235360000000004</v>
      </c>
      <c r="F40" s="33">
        <f>Projection!$AB$23</f>
        <v>0</v>
      </c>
      <c r="G40" s="33">
        <f>Projection!$AB$24</f>
        <v>7.2805000000000009E-2</v>
      </c>
      <c r="H40" s="34">
        <f>Projection!$AB$29</f>
        <v>3.8336895000000006</v>
      </c>
      <c r="I40" s="32">
        <f>Projection!$AB$30</f>
        <v>0.68740698599999983</v>
      </c>
      <c r="J40" s="33">
        <f>Projection!$AB$28</f>
        <v>1.4286753599999999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1.4286753599999999</v>
      </c>
      <c r="T40" s="38">
        <f>Projection!$AB$28</f>
        <v>1.4286753599999999</v>
      </c>
      <c r="U40" s="26">
        <f>Projection!$AB$27</f>
        <v>0.35249999999999998</v>
      </c>
      <c r="V40" s="27">
        <f>Projection!$AB$27</f>
        <v>0.35249999999999998</v>
      </c>
      <c r="W40" s="27">
        <f>Projection!$AB$22</f>
        <v>1.1509199999999999</v>
      </c>
      <c r="X40" s="27">
        <f>Projection!$AB$22</f>
        <v>1.1509199999999999</v>
      </c>
      <c r="Y40" s="27">
        <f>Projection!$AB$31</f>
        <v>2.358470268</v>
      </c>
      <c r="Z40" s="27">
        <f>Projection!$AB$31</f>
        <v>2.358470268</v>
      </c>
      <c r="AA40" s="28">
        <v>0</v>
      </c>
      <c r="AB40" s="41">
        <f>Projection!$AB$27</f>
        <v>0.35249999999999998</v>
      </c>
      <c r="AC40" s="41">
        <f>Projection!$AB$30</f>
        <v>0.68740698599999983</v>
      </c>
      <c r="AD40" s="397">
        <f>SUM(AD8:AD38)</f>
        <v>310.32661465791836</v>
      </c>
      <c r="AE40" s="397">
        <f>SUM(AE8:AE38)</f>
        <v>209.27377481229763</v>
      </c>
      <c r="AF40" s="276">
        <f>SUM(AF8:AF38)</f>
        <v>507.3453702972995</v>
      </c>
      <c r="AG40" s="276">
        <f>SUM(AG8:AG38)</f>
        <v>294.74258724357787</v>
      </c>
      <c r="AH40" s="276">
        <f>SUM(AH8:AH38)</f>
        <v>206.96754086001661</v>
      </c>
      <c r="AI40" s="276">
        <f>IF(SUM(AG40:AH40)&gt;0, AG40/(AG40+AH40), 0)</f>
        <v>0.58747585654224355</v>
      </c>
      <c r="AJ40" s="311">
        <v>6.9000000000000006E-2</v>
      </c>
      <c r="AK40" s="311">
        <f t="shared" ref="AK40:AS40" si="2">$AJ$40</f>
        <v>6.9000000000000006E-2</v>
      </c>
      <c r="AL40" s="311">
        <f t="shared" si="2"/>
        <v>6.9000000000000006E-2</v>
      </c>
      <c r="AM40" s="311">
        <f t="shared" si="2"/>
        <v>6.9000000000000006E-2</v>
      </c>
      <c r="AN40" s="311">
        <f t="shared" si="2"/>
        <v>6.9000000000000006E-2</v>
      </c>
      <c r="AO40" s="311">
        <f t="shared" si="2"/>
        <v>6.9000000000000006E-2</v>
      </c>
      <c r="AP40" s="311">
        <f t="shared" si="2"/>
        <v>6.9000000000000006E-2</v>
      </c>
      <c r="AQ40" s="311">
        <f t="shared" si="2"/>
        <v>6.9000000000000006E-2</v>
      </c>
      <c r="AR40" s="311">
        <f t="shared" si="2"/>
        <v>6.9000000000000006E-2</v>
      </c>
      <c r="AS40" s="311">
        <f t="shared" si="2"/>
        <v>6.9000000000000006E-2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3148.0415502969713</v>
      </c>
      <c r="D41" s="36">
        <f t="shared" si="3"/>
        <v>77194.207683888468</v>
      </c>
      <c r="E41" s="36">
        <f t="shared" si="3"/>
        <v>2310.8290723296018</v>
      </c>
      <c r="F41" s="36">
        <f t="shared" si="3"/>
        <v>0</v>
      </c>
      <c r="G41" s="36">
        <f t="shared" si="3"/>
        <v>6139.6757396727608</v>
      </c>
      <c r="H41" s="37">
        <f t="shared" si="3"/>
        <v>3211.3327497354726</v>
      </c>
      <c r="I41" s="35">
        <f t="shared" si="3"/>
        <v>3438.2747353069544</v>
      </c>
      <c r="J41" s="36">
        <f t="shared" si="3"/>
        <v>18799.826769819472</v>
      </c>
      <c r="K41" s="36">
        <f t="shared" si="3"/>
        <v>3203.4299540834727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2616.1071597253526</v>
      </c>
      <c r="V41" s="267">
        <f t="shared" si="3"/>
        <v>1837.3076931188937</v>
      </c>
      <c r="W41" s="267">
        <f t="shared" si="3"/>
        <v>1424.6176866281544</v>
      </c>
      <c r="X41" s="267">
        <f t="shared" si="3"/>
        <v>1000.3927330654553</v>
      </c>
      <c r="Y41" s="267">
        <f t="shared" si="3"/>
        <v>7276.6127451425118</v>
      </c>
      <c r="Z41" s="267">
        <f t="shared" si="3"/>
        <v>5102.4273031401171</v>
      </c>
      <c r="AA41" s="271">
        <f t="shared" si="3"/>
        <v>0</v>
      </c>
      <c r="AB41" s="274">
        <f t="shared" si="3"/>
        <v>905.77399770869613</v>
      </c>
      <c r="AC41" s="274">
        <f t="shared" si="3"/>
        <v>0</v>
      </c>
      <c r="AJ41" s="277">
        <f t="shared" ref="AJ41:AS41" si="4">AJ40*AJ39</f>
        <v>514.04720318117154</v>
      </c>
      <c r="AK41" s="277">
        <f t="shared" si="4"/>
        <v>1603.4319488792421</v>
      </c>
      <c r="AL41" s="277">
        <f t="shared" si="4"/>
        <v>5945.4172229610431</v>
      </c>
      <c r="AM41" s="277">
        <f t="shared" si="4"/>
        <v>908.88301739597318</v>
      </c>
      <c r="AN41" s="277">
        <f t="shared" si="4"/>
        <v>4961.6150368247991</v>
      </c>
      <c r="AO41" s="277">
        <f t="shared" si="4"/>
        <v>5514.7650425628672</v>
      </c>
      <c r="AP41" s="277">
        <f t="shared" si="4"/>
        <v>1118.6499868219851</v>
      </c>
      <c r="AQ41" s="277">
        <f t="shared" si="4"/>
        <v>4421.2200437036518</v>
      </c>
      <c r="AR41" s="277">
        <f t="shared" si="4"/>
        <v>883.46487942204476</v>
      </c>
      <c r="AS41" s="277">
        <f t="shared" si="4"/>
        <v>1280.0334869274138</v>
      </c>
    </row>
    <row r="42" spans="1:45" ht="49.5" customHeight="1" thickTop="1" thickBot="1" x14ac:dyDescent="0.3">
      <c r="A42" s="643">
        <f>MARCH!$A$42+31</f>
        <v>44288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1255.0899999999999</v>
      </c>
      <c r="AK42" s="277" t="s">
        <v>197</v>
      </c>
      <c r="AL42" s="277">
        <v>2633.51</v>
      </c>
      <c r="AM42" s="277">
        <v>764.4</v>
      </c>
      <c r="AN42" s="277">
        <v>1453.96</v>
      </c>
      <c r="AO42" s="277">
        <v>7117.1</v>
      </c>
      <c r="AP42" s="277">
        <v>1721.46</v>
      </c>
      <c r="AQ42" s="277" t="s">
        <v>197</v>
      </c>
      <c r="AR42" s="277">
        <v>90.09</v>
      </c>
      <c r="AS42" s="277">
        <v>432.06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137608.85757366236</v>
      </c>
      <c r="C44" s="12"/>
      <c r="D44" s="281" t="s">
        <v>135</v>
      </c>
      <c r="E44" s="282">
        <f>SUM(B41:H41)+P41+R41+T41+V41+X41+Z41</f>
        <v>99944.214525247749</v>
      </c>
      <c r="F44" s="12"/>
      <c r="G44" s="281" t="s">
        <v>135</v>
      </c>
      <c r="H44" s="282">
        <f>SUM(I41:N41)+O41+Q41+S41+U41+W41+Y41</f>
        <v>36758.869050705915</v>
      </c>
      <c r="I44" s="12"/>
      <c r="J44" s="281" t="s">
        <v>198</v>
      </c>
      <c r="K44" s="282">
        <v>144254.47</v>
      </c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27151.52786868019</v>
      </c>
      <c r="C45" s="12"/>
      <c r="D45" s="283" t="s">
        <v>183</v>
      </c>
      <c r="E45" s="284">
        <f>AJ41*(1-$AI$40)+AK41+AL41*0.5+AN41+AO41*(1-$AI$40)+AP41*(1-$AI$40)+AQ41*(1-$AI$40)+AR41*0.5+AS41*0.5</f>
        <v>15391.865527312366</v>
      </c>
      <c r="F45" s="24"/>
      <c r="G45" s="283" t="s">
        <v>183</v>
      </c>
      <c r="H45" s="284">
        <f>AJ41*AI40+AL41*0.5+AM41+AO41*AI40+AP41*AI40+AQ41*AI40+AR41*0.5+AS41*0.5</f>
        <v>11759.662341367824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2107.0190974990528</v>
      </c>
      <c r="U45" s="255">
        <f>(T45*8.34*0.895)/27000</f>
        <v>0.58249713516526602</v>
      </c>
    </row>
    <row r="46" spans="1:45" ht="32.25" thickBot="1" x14ac:dyDescent="0.3">
      <c r="A46" s="285" t="s">
        <v>184</v>
      </c>
      <c r="B46" s="286">
        <f>SUM(AJ42:AS42)</f>
        <v>15467.67</v>
      </c>
      <c r="C46" s="12"/>
      <c r="D46" s="285" t="s">
        <v>184</v>
      </c>
      <c r="E46" s="286">
        <f>AJ42*(1-$AI$40)+AL42*0.5+AN42+AO42*(1-$AI$40)+AP42*(1-$AI$40)+AR42*0.5+AS42*0.5</f>
        <v>7195.6643206123836</v>
      </c>
      <c r="F46" s="23"/>
      <c r="G46" s="285" t="s">
        <v>184</v>
      </c>
      <c r="H46" s="286">
        <f>AJ42*AI40+AL42*0.5+AM42+AO42*AI40+AP42*AI40+AR42*0.5+AS42*0.5</f>
        <v>8272.0056793876174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144254.47</v>
      </c>
      <c r="C47" s="12"/>
      <c r="D47" s="285" t="s">
        <v>187</v>
      </c>
      <c r="E47" s="286">
        <f>K44*0.5</f>
        <v>72127.235000000001</v>
      </c>
      <c r="F47" s="24"/>
      <c r="G47" s="285" t="s">
        <v>185</v>
      </c>
      <c r="H47" s="286">
        <f>K44*0.5</f>
        <v>72127.235000000001</v>
      </c>
      <c r="I47" s="12"/>
      <c r="J47" s="281" t="s">
        <v>198</v>
      </c>
      <c r="K47" s="282">
        <v>53601.989999999991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84330.413291295379</v>
      </c>
      <c r="U47" s="255">
        <f>T47/40000</f>
        <v>2.1082603322823843</v>
      </c>
    </row>
    <row r="48" spans="1:45" ht="24" thickBot="1" x14ac:dyDescent="0.3">
      <c r="A48" s="285" t="s">
        <v>186</v>
      </c>
      <c r="B48" s="286">
        <f>K47</f>
        <v>53601.989999999991</v>
      </c>
      <c r="C48" s="12"/>
      <c r="D48" s="285" t="s">
        <v>186</v>
      </c>
      <c r="E48" s="286">
        <f>K47*0.5</f>
        <v>26800.994999999995</v>
      </c>
      <c r="F48" s="23"/>
      <c r="G48" s="285" t="s">
        <v>186</v>
      </c>
      <c r="H48" s="286">
        <f>K47*0.5</f>
        <v>26800.994999999995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507.3453702972995</v>
      </c>
      <c r="C49" s="12"/>
      <c r="D49" s="290" t="s">
        <v>195</v>
      </c>
      <c r="E49" s="291">
        <f>AH40</f>
        <v>206.96754086001661</v>
      </c>
      <c r="F49" s="23"/>
      <c r="G49" s="290" t="s">
        <v>196</v>
      </c>
      <c r="H49" s="291">
        <f>AG40</f>
        <v>294.74258724357787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1246.5726573521893</v>
      </c>
      <c r="U49" s="255">
        <f>(T49*8.34*1.04)/45000</f>
        <v>0.2402727244624433</v>
      </c>
    </row>
    <row r="50" spans="1:25" ht="48" customHeight="1" thickTop="1" thickBot="1" x14ac:dyDescent="0.3">
      <c r="A50" s="290" t="s">
        <v>223</v>
      </c>
      <c r="B50" s="291">
        <f>SUM(E50+H50)</f>
        <v>519.60038947021599</v>
      </c>
      <c r="C50" s="12"/>
      <c r="D50" s="290" t="s">
        <v>224</v>
      </c>
      <c r="E50" s="291">
        <f>AE40</f>
        <v>209.27377481229763</v>
      </c>
      <c r="F50" s="23"/>
      <c r="G50" s="290" t="s">
        <v>225</v>
      </c>
      <c r="H50" s="291">
        <f>AD40</f>
        <v>310.32661465791836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727.64478838793241</v>
      </c>
      <c r="C51" s="12"/>
      <c r="D51" s="290" t="s">
        <v>188</v>
      </c>
      <c r="E51" s="293">
        <f>SUM(E44:E48)/E50</f>
        <v>1058.2308966893006</v>
      </c>
      <c r="F51" s="23"/>
      <c r="G51" s="290" t="s">
        <v>189</v>
      </c>
      <c r="H51" s="293">
        <f>SUM(H44:H48)/H50</f>
        <v>501.78991976925499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15203.372625682106</v>
      </c>
      <c r="U51" s="255">
        <f>T51/2000/8</f>
        <v>0.95021078910513168</v>
      </c>
    </row>
    <row r="52" spans="1:25" ht="47.25" customHeight="1" thickTop="1" thickBot="1" x14ac:dyDescent="0.3">
      <c r="A52" s="280" t="s">
        <v>191</v>
      </c>
      <c r="B52" s="293">
        <f>B51/1000</f>
        <v>0.72764478838793245</v>
      </c>
      <c r="C52" s="12"/>
      <c r="D52" s="280" t="s">
        <v>192</v>
      </c>
      <c r="E52" s="293">
        <f>E51/1000</f>
        <v>1.0582308966893006</v>
      </c>
      <c r="F52" s="370">
        <f>E44/E49</f>
        <v>482.89801439369398</v>
      </c>
      <c r="G52" s="280" t="s">
        <v>193</v>
      </c>
      <c r="H52" s="293">
        <f>H51/1000</f>
        <v>0.50178991976925502</v>
      </c>
      <c r="I52" s="370">
        <f>H44/H49</f>
        <v>124.71516042005854</v>
      </c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15362.390179471175</v>
      </c>
      <c r="U52" s="255">
        <f>(T52*8.34*1.4)/45000</f>
        <v>3.9860281719001205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837.6611485451474</v>
      </c>
      <c r="U53" s="255">
        <f>(T53*8.34*1.135)/45000</f>
        <v>0.17620481480030023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5001.8035971879917</v>
      </c>
      <c r="U54" s="255">
        <f>(T54*8.34*1.029*0.03)/3300</f>
        <v>0.39022525653239759</v>
      </c>
    </row>
    <row r="55" spans="1:25" ht="45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37979.383902994829</v>
      </c>
      <c r="U55" s="258">
        <f>(T55*1.54*8.34)/45000</f>
        <v>10.839822557700098</v>
      </c>
    </row>
    <row r="56" spans="1:25" ht="24" thickTop="1" x14ac:dyDescent="0.25">
      <c r="A56" s="671"/>
      <c r="B56" s="67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3"/>
      <c r="B57" s="67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9"/>
      <c r="B58" s="67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70"/>
      <c r="B59" s="67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9"/>
      <c r="B60" s="67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70"/>
      <c r="B61" s="67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8FIlttJVUM3xCRrpF6RElBRIth7KrlDOX6V5dgm7lnQeek2tNWF+sQ7eZigqVymYmgOMiGxn9rr0LBVmkKvN9g==" saltValue="aZ4PqR57Pid3XjzY2hxFQQ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65"/>
  <sheetViews>
    <sheetView topLeftCell="AH36" zoomScale="80" zoomScaleNormal="80" workbookViewId="0">
      <selection activeCell="AJ41" sqref="AJ41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7" t="s">
        <v>3</v>
      </c>
      <c r="C4" s="648"/>
      <c r="D4" s="648"/>
      <c r="E4" s="648"/>
      <c r="F4" s="648"/>
      <c r="G4" s="648"/>
      <c r="H4" s="649"/>
      <c r="I4" s="647" t="s">
        <v>4</v>
      </c>
      <c r="J4" s="648"/>
      <c r="K4" s="648"/>
      <c r="L4" s="648"/>
      <c r="M4" s="648"/>
      <c r="N4" s="649"/>
      <c r="O4" s="653" t="s">
        <v>5</v>
      </c>
      <c r="P4" s="654"/>
      <c r="Q4" s="655"/>
      <c r="R4" s="655"/>
      <c r="S4" s="655"/>
      <c r="T4" s="656"/>
      <c r="U4" s="647" t="s">
        <v>6</v>
      </c>
      <c r="V4" s="660"/>
      <c r="W4" s="660"/>
      <c r="X4" s="660"/>
      <c r="Y4" s="660"/>
      <c r="Z4" s="660"/>
      <c r="AA4" s="661"/>
      <c r="AB4" s="665" t="s">
        <v>7</v>
      </c>
      <c r="AC4" s="667" t="s">
        <v>8</v>
      </c>
      <c r="AD4" s="631" t="s">
        <v>222</v>
      </c>
      <c r="AE4" s="631" t="s">
        <v>221</v>
      </c>
      <c r="AF4" s="631" t="s">
        <v>27</v>
      </c>
      <c r="AG4" s="631" t="s">
        <v>31</v>
      </c>
      <c r="AH4" s="631" t="s">
        <v>32</v>
      </c>
      <c r="AI4" s="631" t="s">
        <v>33</v>
      </c>
      <c r="AJ4" s="665" t="s">
        <v>173</v>
      </c>
      <c r="AK4" s="665" t="s">
        <v>174</v>
      </c>
      <c r="AL4" s="665" t="s">
        <v>175</v>
      </c>
      <c r="AM4" s="665" t="s">
        <v>176</v>
      </c>
      <c r="AN4" s="665" t="s">
        <v>177</v>
      </c>
      <c r="AO4" s="665" t="s">
        <v>178</v>
      </c>
      <c r="AP4" s="665" t="s">
        <v>179</v>
      </c>
      <c r="AQ4" s="665" t="s">
        <v>182</v>
      </c>
      <c r="AR4" s="665" t="s">
        <v>180</v>
      </c>
      <c r="AS4" s="665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50"/>
      <c r="C5" s="651"/>
      <c r="D5" s="651"/>
      <c r="E5" s="651"/>
      <c r="F5" s="651"/>
      <c r="G5" s="651"/>
      <c r="H5" s="652"/>
      <c r="I5" s="650"/>
      <c r="J5" s="651"/>
      <c r="K5" s="651"/>
      <c r="L5" s="651"/>
      <c r="M5" s="651"/>
      <c r="N5" s="652"/>
      <c r="O5" s="657"/>
      <c r="P5" s="658"/>
      <c r="Q5" s="658"/>
      <c r="R5" s="658"/>
      <c r="S5" s="658"/>
      <c r="T5" s="659"/>
      <c r="U5" s="662"/>
      <c r="V5" s="663"/>
      <c r="W5" s="663"/>
      <c r="X5" s="663"/>
      <c r="Y5" s="663"/>
      <c r="Z5" s="663"/>
      <c r="AA5" s="664"/>
      <c r="AB5" s="666"/>
      <c r="AC5" s="668"/>
      <c r="AD5" s="632"/>
      <c r="AE5" s="632"/>
      <c r="AF5" s="646"/>
      <c r="AG5" s="646"/>
      <c r="AH5" s="646"/>
      <c r="AI5" s="646"/>
      <c r="AJ5" s="632"/>
      <c r="AK5" s="632"/>
      <c r="AL5" s="632"/>
      <c r="AM5" s="632"/>
      <c r="AN5" s="632"/>
      <c r="AO5" s="632"/>
      <c r="AP5" s="632"/>
      <c r="AQ5" s="632"/>
      <c r="AR5" s="632"/>
      <c r="AS5" s="63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44317</v>
      </c>
      <c r="B8" s="49"/>
      <c r="C8" s="50">
        <v>73.160993043581598</v>
      </c>
      <c r="D8" s="50">
        <v>1076.6348004659001</v>
      </c>
      <c r="E8" s="50">
        <v>17.485040872792361</v>
      </c>
      <c r="F8" s="50">
        <v>0</v>
      </c>
      <c r="G8" s="50">
        <v>2417.5791437784796</v>
      </c>
      <c r="H8" s="51">
        <v>27.869476046164898</v>
      </c>
      <c r="I8" s="49">
        <v>163.75797824064875</v>
      </c>
      <c r="J8" s="50">
        <v>437.79430545171112</v>
      </c>
      <c r="K8" s="50">
        <v>24.688394444187519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241.71554398194519</v>
      </c>
      <c r="V8" s="54">
        <v>169.25294314302374</v>
      </c>
      <c r="W8" s="54">
        <v>40.460656991957109</v>
      </c>
      <c r="X8" s="54">
        <v>28.331174588840742</v>
      </c>
      <c r="Y8" s="54">
        <v>102.08822436880661</v>
      </c>
      <c r="Z8" s="54">
        <v>71.483745521787796</v>
      </c>
      <c r="AA8" s="55">
        <v>0</v>
      </c>
      <c r="AB8" s="57">
        <v>85.690673626792858</v>
      </c>
      <c r="AC8" s="57">
        <v>0</v>
      </c>
      <c r="AD8" s="405">
        <v>10.324043758142848</v>
      </c>
      <c r="AE8" s="405">
        <v>6.9738019807490739</v>
      </c>
      <c r="AF8" s="57">
        <v>17.179525375366207</v>
      </c>
      <c r="AG8" s="58">
        <v>9.9999806975681906</v>
      </c>
      <c r="AH8" s="58">
        <v>7.0021403528904465</v>
      </c>
      <c r="AI8" s="58">
        <v>0.58816077522859644</v>
      </c>
      <c r="AJ8" s="57">
        <v>244.73635110855105</v>
      </c>
      <c r="AK8" s="57">
        <v>762.30461600621538</v>
      </c>
      <c r="AL8" s="57">
        <v>2813.3343611399332</v>
      </c>
      <c r="AM8" s="57">
        <v>551.07710266113281</v>
      </c>
      <c r="AN8" s="57">
        <v>5162.2855224609375</v>
      </c>
      <c r="AO8" s="57">
        <v>2675.9170308430994</v>
      </c>
      <c r="AP8" s="57">
        <v>530.37565217018118</v>
      </c>
      <c r="AQ8" s="57">
        <v>2096.3379542032876</v>
      </c>
      <c r="AR8" s="57">
        <v>395.51009451548259</v>
      </c>
      <c r="AS8" s="57">
        <v>767.98946886062629</v>
      </c>
    </row>
    <row r="9" spans="1:49" x14ac:dyDescent="0.25">
      <c r="A9" s="11">
        <v>44318</v>
      </c>
      <c r="B9" s="59"/>
      <c r="C9" s="60">
        <v>72.722410345077833</v>
      </c>
      <c r="D9" s="60">
        <v>1077.0433561960881</v>
      </c>
      <c r="E9" s="60">
        <v>17.467965188125763</v>
      </c>
      <c r="F9" s="60">
        <v>0</v>
      </c>
      <c r="G9" s="60">
        <v>2375.8670818328869</v>
      </c>
      <c r="H9" s="61">
        <v>27.937696947654146</v>
      </c>
      <c r="I9" s="59">
        <v>163.69869313240051</v>
      </c>
      <c r="J9" s="60">
        <v>437.69914995829231</v>
      </c>
      <c r="K9" s="60">
        <v>24.619319255153417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242.69135483616225</v>
      </c>
      <c r="V9" s="62">
        <v>169.90103929327353</v>
      </c>
      <c r="W9" s="62">
        <v>40.448523259629575</v>
      </c>
      <c r="X9" s="62">
        <v>28.316814763873957</v>
      </c>
      <c r="Y9" s="66">
        <v>98.182301245925885</v>
      </c>
      <c r="Z9" s="66">
        <v>68.734525105557964</v>
      </c>
      <c r="AA9" s="67">
        <v>0</v>
      </c>
      <c r="AB9" s="68">
        <v>85.691587575275747</v>
      </c>
      <c r="AC9" s="69">
        <v>0</v>
      </c>
      <c r="AD9" s="406">
        <v>10.322766749715777</v>
      </c>
      <c r="AE9" s="406">
        <v>6.9769153425536006</v>
      </c>
      <c r="AF9" s="69">
        <v>16.958065002494394</v>
      </c>
      <c r="AG9" s="68">
        <v>9.8660026412613195</v>
      </c>
      <c r="AH9" s="68">
        <v>6.9068966364792468</v>
      </c>
      <c r="AI9" s="68">
        <v>0.58821092751415749</v>
      </c>
      <c r="AJ9" s="69">
        <v>233.61109925111131</v>
      </c>
      <c r="AK9" s="69">
        <v>746.25024627049754</v>
      </c>
      <c r="AL9" s="69">
        <v>2973.6693008422858</v>
      </c>
      <c r="AM9" s="69">
        <v>551.07710266113281</v>
      </c>
      <c r="AN9" s="69">
        <v>5162.2855224609375</v>
      </c>
      <c r="AO9" s="69">
        <v>2678.351198450724</v>
      </c>
      <c r="AP9" s="69">
        <v>538.06342441240952</v>
      </c>
      <c r="AQ9" s="69">
        <v>2056.5742827733357</v>
      </c>
      <c r="AR9" s="69">
        <v>223.57047289212548</v>
      </c>
      <c r="AS9" s="69">
        <v>582.6944411595664</v>
      </c>
    </row>
    <row r="10" spans="1:49" ht="14.25" customHeight="1" x14ac:dyDescent="0.25">
      <c r="A10" s="11">
        <v>44319</v>
      </c>
      <c r="B10" s="59"/>
      <c r="C10" s="60">
        <v>73.044629041353488</v>
      </c>
      <c r="D10" s="60">
        <v>1076.1762087504069</v>
      </c>
      <c r="E10" s="60">
        <v>17.340367999672864</v>
      </c>
      <c r="F10" s="60">
        <v>0</v>
      </c>
      <c r="G10" s="60">
        <v>2472.3041385650686</v>
      </c>
      <c r="H10" s="61">
        <v>28.091260941823371</v>
      </c>
      <c r="I10" s="59">
        <v>163.56830886999748</v>
      </c>
      <c r="J10" s="60">
        <v>437.45948368708264</v>
      </c>
      <c r="K10" s="60">
        <v>24.528830630580632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245.36362192128215</v>
      </c>
      <c r="V10" s="62">
        <v>171.74006409352623</v>
      </c>
      <c r="W10" s="62">
        <v>40.355852608020406</v>
      </c>
      <c r="X10" s="62">
        <v>28.246716685955356</v>
      </c>
      <c r="Y10" s="66">
        <v>97.911141816679702</v>
      </c>
      <c r="Z10" s="66">
        <v>68.532024590269543</v>
      </c>
      <c r="AA10" s="67">
        <v>0</v>
      </c>
      <c r="AB10" s="68">
        <v>85.690688011380516</v>
      </c>
      <c r="AC10" s="69">
        <v>0</v>
      </c>
      <c r="AD10" s="406">
        <v>10.315786541792345</v>
      </c>
      <c r="AE10" s="406">
        <v>6.9716182543873213</v>
      </c>
      <c r="AF10" s="69">
        <v>17.186049478583858</v>
      </c>
      <c r="AG10" s="68">
        <v>10.000243980857789</v>
      </c>
      <c r="AH10" s="68">
        <v>6.9995809842357497</v>
      </c>
      <c r="AI10" s="68">
        <v>0.58825570271409933</v>
      </c>
      <c r="AJ10" s="69">
        <v>245.96880540847778</v>
      </c>
      <c r="AK10" s="69">
        <v>743.99627316792805</v>
      </c>
      <c r="AL10" s="69">
        <v>2840.4663907368977</v>
      </c>
      <c r="AM10" s="69">
        <v>551.07710266113281</v>
      </c>
      <c r="AN10" s="69">
        <v>5162.2855224609375</v>
      </c>
      <c r="AO10" s="69">
        <v>2698.4225332895921</v>
      </c>
      <c r="AP10" s="69">
        <v>540.91149368286131</v>
      </c>
      <c r="AQ10" s="69">
        <v>2117.0256746927898</v>
      </c>
      <c r="AR10" s="69">
        <v>262.34575185775759</v>
      </c>
      <c r="AS10" s="69">
        <v>560.92537317276003</v>
      </c>
    </row>
    <row r="11" spans="1:49" x14ac:dyDescent="0.25">
      <c r="A11" s="11">
        <v>44320</v>
      </c>
      <c r="B11" s="59"/>
      <c r="C11" s="60">
        <v>73.400591969490023</v>
      </c>
      <c r="D11" s="60">
        <v>1076.39328945478</v>
      </c>
      <c r="E11" s="60">
        <v>17.32436954677101</v>
      </c>
      <c r="F11" s="60">
        <v>0</v>
      </c>
      <c r="G11" s="60">
        <v>2422.1314324696859</v>
      </c>
      <c r="H11" s="61">
        <v>27.941442143917151</v>
      </c>
      <c r="I11" s="59">
        <v>163.68473976453123</v>
      </c>
      <c r="J11" s="60">
        <v>437.74062786102286</v>
      </c>
      <c r="K11" s="60">
        <v>24.675679578383804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244.18651518086048</v>
      </c>
      <c r="V11" s="62">
        <v>165.99208125214639</v>
      </c>
      <c r="W11" s="62">
        <v>39.804789754281607</v>
      </c>
      <c r="X11" s="62">
        <v>27.058332399000552</v>
      </c>
      <c r="Y11" s="66">
        <v>93.542203945770183</v>
      </c>
      <c r="Z11" s="66">
        <v>63.587725580876679</v>
      </c>
      <c r="AA11" s="67">
        <v>0</v>
      </c>
      <c r="AB11" s="68">
        <v>85.763027535543657</v>
      </c>
      <c r="AC11" s="69">
        <v>0</v>
      </c>
      <c r="AD11" s="406">
        <v>10.323020894016153</v>
      </c>
      <c r="AE11" s="406">
        <v>6.990653103694731</v>
      </c>
      <c r="AF11" s="69">
        <v>16.68865645196701</v>
      </c>
      <c r="AG11" s="68">
        <v>9.8309355215158565</v>
      </c>
      <c r="AH11" s="68">
        <v>6.6828319600835089</v>
      </c>
      <c r="AI11" s="68">
        <v>0.59531754534330672</v>
      </c>
      <c r="AJ11" s="69">
        <v>244.92205206553143</v>
      </c>
      <c r="AK11" s="69">
        <v>750.12931000391643</v>
      </c>
      <c r="AL11" s="69">
        <v>2775.3934052785239</v>
      </c>
      <c r="AM11" s="69">
        <v>551.07710266113281</v>
      </c>
      <c r="AN11" s="69">
        <v>5162.2855224609375</v>
      </c>
      <c r="AO11" s="69">
        <v>2666.7875297546389</v>
      </c>
      <c r="AP11" s="69">
        <v>545.96766972541809</v>
      </c>
      <c r="AQ11" s="69">
        <v>2117.2234539031983</v>
      </c>
      <c r="AR11" s="69">
        <v>257.79967199961345</v>
      </c>
      <c r="AS11" s="69">
        <v>599.12696628570575</v>
      </c>
    </row>
    <row r="12" spans="1:49" x14ac:dyDescent="0.25">
      <c r="A12" s="11">
        <v>44321</v>
      </c>
      <c r="B12" s="59"/>
      <c r="C12" s="60">
        <v>74.652254219850164</v>
      </c>
      <c r="D12" s="60">
        <v>1093.5007802327491</v>
      </c>
      <c r="E12" s="60">
        <v>17.440671427051214</v>
      </c>
      <c r="F12" s="60">
        <v>0</v>
      </c>
      <c r="G12" s="60">
        <v>3004.7167414983173</v>
      </c>
      <c r="H12" s="61">
        <v>27.935931185881351</v>
      </c>
      <c r="I12" s="59">
        <v>165.24627443949353</v>
      </c>
      <c r="J12" s="60">
        <v>437.96240345637023</v>
      </c>
      <c r="K12" s="60">
        <v>24.680600349108431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242.86755199099008</v>
      </c>
      <c r="V12" s="62">
        <v>170.02018462620833</v>
      </c>
      <c r="W12" s="62">
        <v>40.257774327912784</v>
      </c>
      <c r="X12" s="62">
        <v>28.182580043158193</v>
      </c>
      <c r="Y12" s="66">
        <v>95.055766178596102</v>
      </c>
      <c r="Z12" s="66">
        <v>66.544084555478847</v>
      </c>
      <c r="AA12" s="67">
        <v>0</v>
      </c>
      <c r="AB12" s="68">
        <v>85.62960380978032</v>
      </c>
      <c r="AC12" s="69">
        <v>0</v>
      </c>
      <c r="AD12" s="406">
        <v>10.328289192329871</v>
      </c>
      <c r="AE12" s="406">
        <v>6.9770075175666122</v>
      </c>
      <c r="AF12" s="69">
        <v>16.746928554773326</v>
      </c>
      <c r="AG12" s="68">
        <v>9.7474487385973045</v>
      </c>
      <c r="AH12" s="68">
        <v>6.8237317854313311</v>
      </c>
      <c r="AI12" s="68">
        <v>0.58821691818897603</v>
      </c>
      <c r="AJ12" s="69">
        <v>231.16236048539474</v>
      </c>
      <c r="AK12" s="69">
        <v>722.42385301589968</v>
      </c>
      <c r="AL12" s="69">
        <v>2787.0492849985758</v>
      </c>
      <c r="AM12" s="69">
        <v>551.07710266113281</v>
      </c>
      <c r="AN12" s="69">
        <v>5162.2855224609375</v>
      </c>
      <c r="AO12" s="69">
        <v>2688.6165688832593</v>
      </c>
      <c r="AP12" s="69">
        <v>511.74619930585226</v>
      </c>
      <c r="AQ12" s="69">
        <v>2116.2257272084553</v>
      </c>
      <c r="AR12" s="69">
        <v>232.57887496948243</v>
      </c>
      <c r="AS12" s="69">
        <v>580.5735480308532</v>
      </c>
    </row>
    <row r="13" spans="1:49" x14ac:dyDescent="0.25">
      <c r="A13" s="11">
        <v>44322</v>
      </c>
      <c r="B13" s="59"/>
      <c r="C13" s="60">
        <v>74.208007784684511</v>
      </c>
      <c r="D13" s="60">
        <v>1095.6744998931895</v>
      </c>
      <c r="E13" s="60">
        <v>17.477699881295351</v>
      </c>
      <c r="F13" s="60">
        <v>0</v>
      </c>
      <c r="G13" s="60">
        <v>2449.13152809143</v>
      </c>
      <c r="H13" s="61">
        <v>27.946899559100515</v>
      </c>
      <c r="I13" s="59">
        <v>167.87323520978282</v>
      </c>
      <c r="J13" s="60">
        <v>440.01611693700164</v>
      </c>
      <c r="K13" s="60">
        <v>23.878620176513952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246.69818697706998</v>
      </c>
      <c r="V13" s="62">
        <v>172.62121217844245</v>
      </c>
      <c r="W13" s="62">
        <v>41.664077675060177</v>
      </c>
      <c r="X13" s="62">
        <v>29.153451351607053</v>
      </c>
      <c r="Y13" s="66">
        <v>102.7909221372535</v>
      </c>
      <c r="Z13" s="66">
        <v>71.925512699134046</v>
      </c>
      <c r="AA13" s="67">
        <v>0</v>
      </c>
      <c r="AB13" s="68">
        <v>85.946884420183324</v>
      </c>
      <c r="AC13" s="69">
        <v>0</v>
      </c>
      <c r="AD13" s="406">
        <v>10.375365767333799</v>
      </c>
      <c r="AE13" s="406">
        <v>6.9797660548605602</v>
      </c>
      <c r="AF13" s="69">
        <v>17.06195884346959</v>
      </c>
      <c r="AG13" s="68">
        <v>9.938558600131481</v>
      </c>
      <c r="AH13" s="68">
        <v>6.954270940874979</v>
      </c>
      <c r="AI13" s="68">
        <v>0.5883300116186071</v>
      </c>
      <c r="AJ13" s="69">
        <v>228.23672661781313</v>
      </c>
      <c r="AK13" s="69">
        <v>716.3638286272685</v>
      </c>
      <c r="AL13" s="69">
        <v>3061.3896747589106</v>
      </c>
      <c r="AM13" s="69">
        <v>551.07710266113281</v>
      </c>
      <c r="AN13" s="69">
        <v>5162.2855224609375</v>
      </c>
      <c r="AO13" s="69">
        <v>2726.8501712799075</v>
      </c>
      <c r="AP13" s="69">
        <v>488.94771561622622</v>
      </c>
      <c r="AQ13" s="69">
        <v>2096.0940555572511</v>
      </c>
      <c r="AR13" s="69">
        <v>228.75389474232989</v>
      </c>
      <c r="AS13" s="69">
        <v>677.29417915344243</v>
      </c>
    </row>
    <row r="14" spans="1:49" x14ac:dyDescent="0.25">
      <c r="A14" s="11">
        <v>44323</v>
      </c>
      <c r="B14" s="59"/>
      <c r="C14" s="60">
        <v>74.009534708658151</v>
      </c>
      <c r="D14" s="60">
        <v>1095.7317290623985</v>
      </c>
      <c r="E14" s="60">
        <v>17.509322248895973</v>
      </c>
      <c r="F14" s="60">
        <v>0</v>
      </c>
      <c r="G14" s="60">
        <v>2454.1750489552769</v>
      </c>
      <c r="H14" s="61">
        <v>27.920610346396828</v>
      </c>
      <c r="I14" s="59">
        <v>167.01169303258246</v>
      </c>
      <c r="J14" s="60">
        <v>437.57124773661315</v>
      </c>
      <c r="K14" s="60">
        <v>23.361867602666244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248.2569538920192</v>
      </c>
      <c r="V14" s="62">
        <v>173.79232994095125</v>
      </c>
      <c r="W14" s="62">
        <v>42.091945223378922</v>
      </c>
      <c r="X14" s="62">
        <v>29.466474624109544</v>
      </c>
      <c r="Y14" s="66">
        <v>103.02913335576916</v>
      </c>
      <c r="Z14" s="66">
        <v>72.125565294272789</v>
      </c>
      <c r="AA14" s="67">
        <v>0</v>
      </c>
      <c r="AB14" s="68">
        <v>85.84152975082327</v>
      </c>
      <c r="AC14" s="69">
        <v>0</v>
      </c>
      <c r="AD14" s="406">
        <v>10.316109665444365</v>
      </c>
      <c r="AE14" s="406">
        <v>6.9798017127799401</v>
      </c>
      <c r="AF14" s="69">
        <v>17.165522219075104</v>
      </c>
      <c r="AG14" s="68">
        <v>9.9998174779158226</v>
      </c>
      <c r="AH14" s="68">
        <v>7.0003742139974197</v>
      </c>
      <c r="AI14" s="68">
        <v>0.58821792478214219</v>
      </c>
      <c r="AJ14" s="69">
        <v>215.34940102895101</v>
      </c>
      <c r="AK14" s="69">
        <v>728.91851069132508</v>
      </c>
      <c r="AL14" s="69">
        <v>2771.1065441131591</v>
      </c>
      <c r="AM14" s="69">
        <v>551.07710266113281</v>
      </c>
      <c r="AN14" s="69">
        <v>5162.2855224609375</v>
      </c>
      <c r="AO14" s="69">
        <v>2760.0694925944013</v>
      </c>
      <c r="AP14" s="69">
        <v>480.13067936897278</v>
      </c>
      <c r="AQ14" s="69">
        <v>2075.1801741282152</v>
      </c>
      <c r="AR14" s="69">
        <v>217.90618945757546</v>
      </c>
      <c r="AS14" s="69">
        <v>740.00936676661183</v>
      </c>
    </row>
    <row r="15" spans="1:49" x14ac:dyDescent="0.25">
      <c r="A15" s="11">
        <v>44324</v>
      </c>
      <c r="B15" s="59"/>
      <c r="C15" s="60">
        <v>73.67743404308932</v>
      </c>
      <c r="D15" s="60">
        <v>1095.6261038462346</v>
      </c>
      <c r="E15" s="60">
        <v>17.51595351348319</v>
      </c>
      <c r="F15" s="60">
        <v>0</v>
      </c>
      <c r="G15" s="60">
        <v>2491.6011983235653</v>
      </c>
      <c r="H15" s="61">
        <v>27.999443453550448</v>
      </c>
      <c r="I15" s="59">
        <v>166.88884163697543</v>
      </c>
      <c r="J15" s="60">
        <v>437.36672366460198</v>
      </c>
      <c r="K15" s="60">
        <v>23.342994115749963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244.38239612406713</v>
      </c>
      <c r="V15" s="62">
        <v>171.29496519473204</v>
      </c>
      <c r="W15" s="62">
        <v>41.978034984994579</v>
      </c>
      <c r="X15" s="62">
        <v>29.42366617130385</v>
      </c>
      <c r="Y15" s="66">
        <v>98.958465901626838</v>
      </c>
      <c r="Z15" s="66">
        <v>69.362962476796341</v>
      </c>
      <c r="AA15" s="67">
        <v>0</v>
      </c>
      <c r="AB15" s="68">
        <v>85.681809875699031</v>
      </c>
      <c r="AC15" s="69">
        <v>0</v>
      </c>
      <c r="AD15" s="406">
        <v>10.314606456188976</v>
      </c>
      <c r="AE15" s="406">
        <v>6.9784588638279628</v>
      </c>
      <c r="AF15" s="69">
        <v>16.921863785717203</v>
      </c>
      <c r="AG15" s="68">
        <v>9.8484375396969135</v>
      </c>
      <c r="AH15" s="68">
        <v>6.9030658195544969</v>
      </c>
      <c r="AI15" s="68">
        <v>0.58791365338907819</v>
      </c>
      <c r="AJ15" s="69">
        <v>241.80268735885622</v>
      </c>
      <c r="AK15" s="69">
        <v>753.62119003931662</v>
      </c>
      <c r="AL15" s="69">
        <v>2782.2102404276529</v>
      </c>
      <c r="AM15" s="69">
        <v>551.07710266113281</v>
      </c>
      <c r="AN15" s="69">
        <v>5162.2855224609375</v>
      </c>
      <c r="AO15" s="69">
        <v>2715.146103922526</v>
      </c>
      <c r="AP15" s="69">
        <v>486.62911330858873</v>
      </c>
      <c r="AQ15" s="69">
        <v>2058.3335682551069</v>
      </c>
      <c r="AR15" s="69">
        <v>235.54976526896155</v>
      </c>
      <c r="AS15" s="69">
        <v>669.8702283859252</v>
      </c>
    </row>
    <row r="16" spans="1:49" x14ac:dyDescent="0.25">
      <c r="A16" s="11">
        <v>44325</v>
      </c>
      <c r="B16" s="49"/>
      <c r="C16" s="50">
        <v>73.195905951659299</v>
      </c>
      <c r="D16" s="50">
        <v>1095.37005634308</v>
      </c>
      <c r="E16" s="50">
        <v>17.488178159793225</v>
      </c>
      <c r="F16" s="50">
        <v>0</v>
      </c>
      <c r="G16" s="50">
        <v>2583.1463250478132</v>
      </c>
      <c r="H16" s="51">
        <v>27.963701220353499</v>
      </c>
      <c r="I16" s="49">
        <v>168.23510973453517</v>
      </c>
      <c r="J16" s="50">
        <v>440.68580280939761</v>
      </c>
      <c r="K16" s="50">
        <v>23.778530657291356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243.63450547853427</v>
      </c>
      <c r="V16" s="66">
        <v>170.43333933618936</v>
      </c>
      <c r="W16" s="62">
        <v>42.481180368978393</v>
      </c>
      <c r="X16" s="62">
        <v>29.717504156511477</v>
      </c>
      <c r="Y16" s="66">
        <v>98.458726322732772</v>
      </c>
      <c r="Z16" s="66">
        <v>68.876325547613348</v>
      </c>
      <c r="AA16" s="67">
        <v>0</v>
      </c>
      <c r="AB16" s="68">
        <v>86.042273934683294</v>
      </c>
      <c r="AC16" s="69">
        <v>0</v>
      </c>
      <c r="AD16" s="406">
        <v>10.392981826559595</v>
      </c>
      <c r="AE16" s="406">
        <v>6.977565234327229</v>
      </c>
      <c r="AF16" s="69">
        <v>16.851239089171113</v>
      </c>
      <c r="AG16" s="68">
        <v>9.8078239874019779</v>
      </c>
      <c r="AH16" s="68">
        <v>6.8610158093627511</v>
      </c>
      <c r="AI16" s="68">
        <v>0.58839272000835885</v>
      </c>
      <c r="AJ16" s="69">
        <v>242.72963232994084</v>
      </c>
      <c r="AK16" s="69">
        <v>737.81834751764939</v>
      </c>
      <c r="AL16" s="69">
        <v>2995.1590885162354</v>
      </c>
      <c r="AM16" s="69">
        <v>551.07710266113281</v>
      </c>
      <c r="AN16" s="69">
        <v>5162.2855224609375</v>
      </c>
      <c r="AO16" s="69">
        <v>2649.3857055664062</v>
      </c>
      <c r="AP16" s="69">
        <v>486.76925341288251</v>
      </c>
      <c r="AQ16" s="69">
        <v>2099.3356151580811</v>
      </c>
      <c r="AR16" s="69">
        <v>240.19412352244055</v>
      </c>
      <c r="AS16" s="69">
        <v>594.89247312545774</v>
      </c>
    </row>
    <row r="17" spans="1:45" x14ac:dyDescent="0.25">
      <c r="A17" s="11">
        <v>44326</v>
      </c>
      <c r="B17" s="59"/>
      <c r="C17" s="60">
        <v>73.692845821381212</v>
      </c>
      <c r="D17" s="60">
        <v>1078.175385475158</v>
      </c>
      <c r="E17" s="60">
        <v>17.450313366949533</v>
      </c>
      <c r="F17" s="60">
        <v>0</v>
      </c>
      <c r="G17" s="60">
        <v>2608.3909423828163</v>
      </c>
      <c r="H17" s="61">
        <v>27.855154130856249</v>
      </c>
      <c r="I17" s="59">
        <v>173.8009969711303</v>
      </c>
      <c r="J17" s="60">
        <v>436.77220052083396</v>
      </c>
      <c r="K17" s="60">
        <v>24.128770750760957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245.92451669955389</v>
      </c>
      <c r="V17" s="62">
        <v>172.147917874147</v>
      </c>
      <c r="W17" s="62">
        <v>43.198149860206513</v>
      </c>
      <c r="X17" s="62">
        <v>30.238837730583271</v>
      </c>
      <c r="Y17" s="66">
        <v>99.492451932524432</v>
      </c>
      <c r="Z17" s="66">
        <v>69.645022278532366</v>
      </c>
      <c r="AA17" s="67">
        <v>0</v>
      </c>
      <c r="AB17" s="68">
        <v>85.515456512240476</v>
      </c>
      <c r="AC17" s="69">
        <v>0</v>
      </c>
      <c r="AD17" s="406">
        <v>10.300309562023724</v>
      </c>
      <c r="AE17" s="406">
        <v>6.9780389878866629</v>
      </c>
      <c r="AF17" s="69">
        <v>17.041773192087827</v>
      </c>
      <c r="AG17" s="68">
        <v>9.9316156680374501</v>
      </c>
      <c r="AH17" s="68">
        <v>6.9521615059943489</v>
      </c>
      <c r="AI17" s="68">
        <v>0.58823423015276677</v>
      </c>
      <c r="AJ17" s="69">
        <v>260.3236805915833</v>
      </c>
      <c r="AK17" s="69">
        <v>775.40079978307097</v>
      </c>
      <c r="AL17" s="69">
        <v>2798.4791033426918</v>
      </c>
      <c r="AM17" s="69">
        <v>551.07710266113281</v>
      </c>
      <c r="AN17" s="69">
        <v>5162.2855224609375</v>
      </c>
      <c r="AO17" s="69">
        <v>2616.7671957651778</v>
      </c>
      <c r="AP17" s="69">
        <v>538.67729002634678</v>
      </c>
      <c r="AQ17" s="69">
        <v>2129.5497678120928</v>
      </c>
      <c r="AR17" s="69">
        <v>411.12491855621334</v>
      </c>
      <c r="AS17" s="69">
        <v>618.37148145039862</v>
      </c>
    </row>
    <row r="18" spans="1:45" x14ac:dyDescent="0.25">
      <c r="A18" s="11">
        <v>44327</v>
      </c>
      <c r="B18" s="59"/>
      <c r="C18" s="60">
        <v>73.277107810974655</v>
      </c>
      <c r="D18" s="60">
        <v>1031.47006409963</v>
      </c>
      <c r="E18" s="60">
        <v>17.420376440882674</v>
      </c>
      <c r="F18" s="60">
        <v>0</v>
      </c>
      <c r="G18" s="60">
        <v>2514.4649837493916</v>
      </c>
      <c r="H18" s="61">
        <v>27.713877973953945</v>
      </c>
      <c r="I18" s="59">
        <v>186.8290011088053</v>
      </c>
      <c r="J18" s="60">
        <v>437.21951665878328</v>
      </c>
      <c r="K18" s="60">
        <v>24.136033372084285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247.56823333182857</v>
      </c>
      <c r="V18" s="62">
        <v>173.2853526531421</v>
      </c>
      <c r="W18" s="62">
        <v>42.769101074362041</v>
      </c>
      <c r="X18" s="62">
        <v>29.936226722573934</v>
      </c>
      <c r="Y18" s="66">
        <v>97.9747848925022</v>
      </c>
      <c r="Z18" s="66">
        <v>68.577437915699917</v>
      </c>
      <c r="AA18" s="67">
        <v>0</v>
      </c>
      <c r="AB18" s="68">
        <v>85.709407334857204</v>
      </c>
      <c r="AC18" s="69">
        <v>0</v>
      </c>
      <c r="AD18" s="406">
        <v>10.310556618359017</v>
      </c>
      <c r="AE18" s="406">
        <v>6.9772267443649874</v>
      </c>
      <c r="AF18" s="69">
        <v>17.156117298867979</v>
      </c>
      <c r="AG18" s="68">
        <v>10.000652651859847</v>
      </c>
      <c r="AH18" s="68">
        <v>6.9999555202073473</v>
      </c>
      <c r="AI18" s="68">
        <v>0.58825264076678108</v>
      </c>
      <c r="AJ18" s="69">
        <v>265.40352466901135</v>
      </c>
      <c r="AK18" s="69">
        <v>801.49393358230589</v>
      </c>
      <c r="AL18" s="69">
        <v>3035.4427112579347</v>
      </c>
      <c r="AM18" s="69">
        <v>551.07710266113281</v>
      </c>
      <c r="AN18" s="69">
        <v>5162.2855224609375</v>
      </c>
      <c r="AO18" s="69">
        <v>2667.7112748463946</v>
      </c>
      <c r="AP18" s="69">
        <v>587.96688365936268</v>
      </c>
      <c r="AQ18" s="69">
        <v>2155.2822725931806</v>
      </c>
      <c r="AR18" s="69">
        <v>441.43775431315106</v>
      </c>
      <c r="AS18" s="69">
        <v>602.0386896451314</v>
      </c>
    </row>
    <row r="19" spans="1:45" x14ac:dyDescent="0.25">
      <c r="A19" s="11">
        <v>44328</v>
      </c>
      <c r="B19" s="59"/>
      <c r="C19" s="60">
        <v>73.251305007934533</v>
      </c>
      <c r="D19" s="60">
        <v>1031.9241649627688</v>
      </c>
      <c r="E19" s="60">
        <v>17.524874864021932</v>
      </c>
      <c r="F19" s="60">
        <v>0</v>
      </c>
      <c r="G19" s="60">
        <v>2499.4608736673986</v>
      </c>
      <c r="H19" s="61">
        <v>27.697701780001374</v>
      </c>
      <c r="I19" s="59">
        <v>186.87077762285853</v>
      </c>
      <c r="J19" s="60">
        <v>437.2129250208535</v>
      </c>
      <c r="K19" s="60">
        <v>24.164077909787498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257.74730124041974</v>
      </c>
      <c r="V19" s="62">
        <v>180.45548245013799</v>
      </c>
      <c r="W19" s="62">
        <v>41.989393099526012</v>
      </c>
      <c r="X19" s="62">
        <v>29.39784879646766</v>
      </c>
      <c r="Y19" s="66">
        <v>97.13355476757944</v>
      </c>
      <c r="Z19" s="66">
        <v>68.005687754342532</v>
      </c>
      <c r="AA19" s="67">
        <v>0</v>
      </c>
      <c r="AB19" s="68">
        <v>85.684146912891592</v>
      </c>
      <c r="AC19" s="69">
        <v>0</v>
      </c>
      <c r="AD19" s="406">
        <v>10.310445439188934</v>
      </c>
      <c r="AE19" s="406">
        <v>6.9805478389480102</v>
      </c>
      <c r="AF19" s="69">
        <v>17.032992009984131</v>
      </c>
      <c r="AG19" s="68">
        <v>9.921739640671781</v>
      </c>
      <c r="AH19" s="68">
        <v>6.9464638620290264</v>
      </c>
      <c r="AI19" s="68">
        <v>0.58819183910623252</v>
      </c>
      <c r="AJ19" s="69">
        <v>244.35581081708278</v>
      </c>
      <c r="AK19" s="69">
        <v>757.81205828984582</v>
      </c>
      <c r="AL19" s="69">
        <v>2849.232124964396</v>
      </c>
      <c r="AM19" s="69">
        <v>551.07710266113281</v>
      </c>
      <c r="AN19" s="69">
        <v>5162.2855224609375</v>
      </c>
      <c r="AO19" s="69">
        <v>2593.7992190043128</v>
      </c>
      <c r="AP19" s="69">
        <v>513.82489646275849</v>
      </c>
      <c r="AQ19" s="69">
        <v>2165.4910504659015</v>
      </c>
      <c r="AR19" s="69">
        <v>408.25477531751</v>
      </c>
      <c r="AS19" s="69">
        <v>597.7664420127868</v>
      </c>
    </row>
    <row r="20" spans="1:45" x14ac:dyDescent="0.25">
      <c r="A20" s="11">
        <v>44329</v>
      </c>
      <c r="B20" s="59"/>
      <c r="C20" s="60">
        <v>74.003081476686972</v>
      </c>
      <c r="D20" s="60">
        <v>1031.677118364971</v>
      </c>
      <c r="E20" s="60">
        <v>17.589885408182909</v>
      </c>
      <c r="F20" s="60">
        <v>0</v>
      </c>
      <c r="G20" s="60">
        <v>2470.1923264821394</v>
      </c>
      <c r="H20" s="61">
        <v>27.820695406198521</v>
      </c>
      <c r="I20" s="59">
        <v>186.63911558787026</v>
      </c>
      <c r="J20" s="60">
        <v>436.88520644505826</v>
      </c>
      <c r="K20" s="60">
        <v>24.216089838743244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255.93557750274425</v>
      </c>
      <c r="V20" s="62">
        <v>179.15492930522271</v>
      </c>
      <c r="W20" s="62">
        <v>42.776781442612382</v>
      </c>
      <c r="X20" s="62">
        <v>29.943751197209036</v>
      </c>
      <c r="Y20" s="66">
        <v>100.11429658993715</v>
      </c>
      <c r="Z20" s="66">
        <v>70.080017413053767</v>
      </c>
      <c r="AA20" s="67">
        <v>0</v>
      </c>
      <c r="AB20" s="68">
        <v>85.690033748413683</v>
      </c>
      <c r="AC20" s="69">
        <v>0</v>
      </c>
      <c r="AD20" s="406">
        <v>10.30347177018432</v>
      </c>
      <c r="AE20" s="406">
        <v>6.9780995584012997</v>
      </c>
      <c r="AF20" s="69">
        <v>17.154605905877251</v>
      </c>
      <c r="AG20" s="68">
        <v>9.9987464697699675</v>
      </c>
      <c r="AH20" s="68">
        <v>6.9991235076072078</v>
      </c>
      <c r="AI20" s="68">
        <v>0.58823526024599027</v>
      </c>
      <c r="AJ20" s="69">
        <v>236.80315024058021</v>
      </c>
      <c r="AK20" s="69">
        <v>748.05933917363484</v>
      </c>
      <c r="AL20" s="69">
        <v>2824.0431691487629</v>
      </c>
      <c r="AM20" s="69">
        <v>551.07710266113281</v>
      </c>
      <c r="AN20" s="69">
        <v>5162.2855224609375</v>
      </c>
      <c r="AO20" s="69">
        <v>2643.9709354400638</v>
      </c>
      <c r="AP20" s="69">
        <v>458.49263909657793</v>
      </c>
      <c r="AQ20" s="69">
        <v>2108.023377100626</v>
      </c>
      <c r="AR20" s="69">
        <v>388.68786846796672</v>
      </c>
      <c r="AS20" s="69">
        <v>723.59487361907964</v>
      </c>
    </row>
    <row r="21" spans="1:45" x14ac:dyDescent="0.25">
      <c r="A21" s="11">
        <v>44330</v>
      </c>
      <c r="B21" s="59"/>
      <c r="C21" s="60">
        <v>74.961469701925722</v>
      </c>
      <c r="D21" s="60">
        <v>1033.7365213394162</v>
      </c>
      <c r="E21" s="60">
        <v>17.452539302408667</v>
      </c>
      <c r="F21" s="60">
        <v>0</v>
      </c>
      <c r="G21" s="60">
        <v>2373.369377772015</v>
      </c>
      <c r="H21" s="61">
        <v>27.953070543209737</v>
      </c>
      <c r="I21" s="59">
        <v>186.59673731327072</v>
      </c>
      <c r="J21" s="60">
        <v>436.6783291816709</v>
      </c>
      <c r="K21" s="60">
        <v>24.291298733154928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250.55132364813917</v>
      </c>
      <c r="V21" s="62">
        <v>170.57080979760204</v>
      </c>
      <c r="W21" s="62">
        <v>42.916524587566514</v>
      </c>
      <c r="X21" s="62">
        <v>29.216793773080056</v>
      </c>
      <c r="Y21" s="66">
        <v>99.548336071605519</v>
      </c>
      <c r="Z21" s="66">
        <v>67.770706817671595</v>
      </c>
      <c r="AA21" s="67">
        <v>0</v>
      </c>
      <c r="AB21" s="68">
        <v>85.761549716524854</v>
      </c>
      <c r="AC21" s="69">
        <v>0</v>
      </c>
      <c r="AD21" s="406">
        <v>10.298488856752165</v>
      </c>
      <c r="AE21" s="406">
        <v>6.993199463387838</v>
      </c>
      <c r="AF21" s="69">
        <v>16.566334775752463</v>
      </c>
      <c r="AG21" s="68">
        <v>9.7467134998083882</v>
      </c>
      <c r="AH21" s="68">
        <v>6.6353862766347573</v>
      </c>
      <c r="AI21" s="68">
        <v>0.59496118524584996</v>
      </c>
      <c r="AJ21" s="69">
        <v>229.3858561674754</v>
      </c>
      <c r="AK21" s="69">
        <v>733.38228855133059</v>
      </c>
      <c r="AL21" s="69">
        <v>2743.6343627929687</v>
      </c>
      <c r="AM21" s="69">
        <v>551.07710266113281</v>
      </c>
      <c r="AN21" s="69">
        <v>5162.2855224609375</v>
      </c>
      <c r="AO21" s="69">
        <v>2638.341351445516</v>
      </c>
      <c r="AP21" s="69">
        <v>442.59432908693941</v>
      </c>
      <c r="AQ21" s="69">
        <v>2083.1378128051761</v>
      </c>
      <c r="AR21" s="69">
        <v>388.87344061533605</v>
      </c>
      <c r="AS21" s="69">
        <v>726.80795469284055</v>
      </c>
    </row>
    <row r="22" spans="1:45" x14ac:dyDescent="0.25">
      <c r="A22" s="11">
        <v>44331</v>
      </c>
      <c r="B22" s="59"/>
      <c r="C22" s="60">
        <v>74.479639565945092</v>
      </c>
      <c r="D22" s="60">
        <v>1032.8831579208388</v>
      </c>
      <c r="E22" s="60">
        <v>17.807400452593953</v>
      </c>
      <c r="F22" s="60">
        <v>0</v>
      </c>
      <c r="G22" s="60">
        <v>2373.0778848012319</v>
      </c>
      <c r="H22" s="61">
        <v>27.915081226825734</v>
      </c>
      <c r="I22" s="59">
        <v>186.63376523653665</v>
      </c>
      <c r="J22" s="60">
        <v>436.77066036860185</v>
      </c>
      <c r="K22" s="60">
        <v>24.401265618205134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247.80452538392166</v>
      </c>
      <c r="V22" s="62">
        <v>173.46064553994341</v>
      </c>
      <c r="W22" s="62">
        <v>41.972611069383007</v>
      </c>
      <c r="X22" s="62">
        <v>29.380400538740687</v>
      </c>
      <c r="Y22" s="66">
        <v>102.28888989474399</v>
      </c>
      <c r="Z22" s="66">
        <v>71.601181799312371</v>
      </c>
      <c r="AA22" s="67">
        <v>0</v>
      </c>
      <c r="AB22" s="68">
        <v>85.715942234462133</v>
      </c>
      <c r="AC22" s="69">
        <v>0</v>
      </c>
      <c r="AD22" s="406">
        <v>10.299680847644868</v>
      </c>
      <c r="AE22" s="406">
        <v>6.9865918066140313</v>
      </c>
      <c r="AF22" s="69">
        <v>17.040166104502148</v>
      </c>
      <c r="AG22" s="68">
        <v>9.9297686036123185</v>
      </c>
      <c r="AH22" s="68">
        <v>6.950736954364805</v>
      </c>
      <c r="AI22" s="68">
        <v>0.58823881604184924</v>
      </c>
      <c r="AJ22" s="69">
        <v>202.25127668380739</v>
      </c>
      <c r="AK22" s="69">
        <v>706.48282925287867</v>
      </c>
      <c r="AL22" s="69">
        <v>2767.25084139506</v>
      </c>
      <c r="AM22" s="69">
        <v>551.07710266113281</v>
      </c>
      <c r="AN22" s="69">
        <v>5162.2855224609375</v>
      </c>
      <c r="AO22" s="69">
        <v>2526.2319805145262</v>
      </c>
      <c r="AP22" s="69">
        <v>480.21380724906925</v>
      </c>
      <c r="AQ22" s="69">
        <v>2096.8902078628539</v>
      </c>
      <c r="AR22" s="69">
        <v>399.64972178141272</v>
      </c>
      <c r="AS22" s="69">
        <v>639.99981454213469</v>
      </c>
    </row>
    <row r="23" spans="1:45" x14ac:dyDescent="0.25">
      <c r="A23" s="11">
        <v>44332</v>
      </c>
      <c r="B23" s="59"/>
      <c r="C23" s="60">
        <v>74.152464667956636</v>
      </c>
      <c r="D23" s="60">
        <v>1056.9420520146696</v>
      </c>
      <c r="E23" s="60">
        <v>17.811980679134507</v>
      </c>
      <c r="F23" s="60">
        <v>0</v>
      </c>
      <c r="G23" s="60">
        <v>2399.5354354858409</v>
      </c>
      <c r="H23" s="61">
        <v>27.893197208642999</v>
      </c>
      <c r="I23" s="59">
        <v>188.88618054389934</v>
      </c>
      <c r="J23" s="60">
        <v>442.00519043604538</v>
      </c>
      <c r="K23" s="60">
        <v>24.542292993267388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248.0107619922731</v>
      </c>
      <c r="V23" s="62">
        <v>173.60980969521239</v>
      </c>
      <c r="W23" s="62">
        <v>39.753036880747942</v>
      </c>
      <c r="X23" s="62">
        <v>27.827490679168307</v>
      </c>
      <c r="Y23" s="66">
        <v>99.787167927312566</v>
      </c>
      <c r="Z23" s="66">
        <v>69.851933419021037</v>
      </c>
      <c r="AA23" s="67">
        <v>0</v>
      </c>
      <c r="AB23" s="68">
        <v>86.206345966127969</v>
      </c>
      <c r="AC23" s="69">
        <v>0</v>
      </c>
      <c r="AD23" s="406">
        <v>10.422527373779772</v>
      </c>
      <c r="AE23" s="406">
        <v>6.988007129383158</v>
      </c>
      <c r="AF23" s="69">
        <v>16.581401426262303</v>
      </c>
      <c r="AG23" s="68">
        <v>9.6631905947961183</v>
      </c>
      <c r="AH23" s="68">
        <v>6.7643221073744666</v>
      </c>
      <c r="AI23" s="68">
        <v>0.58823211827553845</v>
      </c>
      <c r="AJ23" s="69">
        <v>216.15249973932899</v>
      </c>
      <c r="AK23" s="69">
        <v>716.70905904769904</v>
      </c>
      <c r="AL23" s="69">
        <v>2812.2729919433591</v>
      </c>
      <c r="AM23" s="69">
        <v>551.07710266113281</v>
      </c>
      <c r="AN23" s="69">
        <v>5162.2855224609375</v>
      </c>
      <c r="AO23" s="69">
        <v>2497.6126079559326</v>
      </c>
      <c r="AP23" s="69">
        <v>470.57117358843482</v>
      </c>
      <c r="AQ23" s="69">
        <v>2110.7545212427776</v>
      </c>
      <c r="AR23" s="69">
        <v>397.93231404622395</v>
      </c>
      <c r="AS23" s="69">
        <v>579.17943633397419</v>
      </c>
    </row>
    <row r="24" spans="1:45" x14ac:dyDescent="0.25">
      <c r="A24" s="11">
        <v>44333</v>
      </c>
      <c r="B24" s="59"/>
      <c r="C24" s="60">
        <v>73.97197655439399</v>
      </c>
      <c r="D24" s="60">
        <v>1068.8156200408957</v>
      </c>
      <c r="E24" s="60">
        <v>17.757419953246902</v>
      </c>
      <c r="F24" s="60">
        <v>0</v>
      </c>
      <c r="G24" s="60">
        <v>2446.1143918355269</v>
      </c>
      <c r="H24" s="61">
        <v>27.948737106720646</v>
      </c>
      <c r="I24" s="59">
        <v>186.44079910914093</v>
      </c>
      <c r="J24" s="60">
        <v>436.37997744878089</v>
      </c>
      <c r="K24" s="60">
        <v>24.171583085258824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259.01393349558731</v>
      </c>
      <c r="V24" s="62">
        <v>181.28843572811226</v>
      </c>
      <c r="W24" s="62">
        <v>42.750957908677343</v>
      </c>
      <c r="X24" s="62">
        <v>29.92215198830036</v>
      </c>
      <c r="Y24" s="66">
        <v>104.82624299558326</v>
      </c>
      <c r="Z24" s="66">
        <v>73.369742544171018</v>
      </c>
      <c r="AA24" s="67">
        <v>0</v>
      </c>
      <c r="AB24" s="68">
        <v>85.556926340528008</v>
      </c>
      <c r="AC24" s="69">
        <v>0</v>
      </c>
      <c r="AD24" s="406">
        <v>10.291555039157974</v>
      </c>
      <c r="AE24" s="406">
        <v>6.9826267767101076</v>
      </c>
      <c r="AF24" s="69">
        <v>17.070211154222498</v>
      </c>
      <c r="AG24" s="68">
        <v>9.9335318148173801</v>
      </c>
      <c r="AH24" s="68">
        <v>6.9526547072586675</v>
      </c>
      <c r="AI24" s="68">
        <v>0.58826377417013842</v>
      </c>
      <c r="AJ24" s="69">
        <v>207.35768777529401</v>
      </c>
      <c r="AK24" s="69">
        <v>711.48935839335138</v>
      </c>
      <c r="AL24" s="69">
        <v>2840.3948846181233</v>
      </c>
      <c r="AM24" s="69">
        <v>551.07710266113281</v>
      </c>
      <c r="AN24" s="69">
        <v>5162.2855224609375</v>
      </c>
      <c r="AO24" s="69">
        <v>2536.3941249847408</v>
      </c>
      <c r="AP24" s="69">
        <v>495.3132958253226</v>
      </c>
      <c r="AQ24" s="69">
        <v>2118.6780947367347</v>
      </c>
      <c r="AR24" s="69">
        <v>388.52816432317098</v>
      </c>
      <c r="AS24" s="69">
        <v>746.46688849131283</v>
      </c>
    </row>
    <row r="25" spans="1:45" x14ac:dyDescent="0.25">
      <c r="A25" s="11">
        <v>44334</v>
      </c>
      <c r="B25" s="59"/>
      <c r="C25" s="60">
        <v>74.574351716041093</v>
      </c>
      <c r="D25" s="60">
        <v>1067.7649381001816</v>
      </c>
      <c r="E25" s="60">
        <v>17.367945287128276</v>
      </c>
      <c r="F25" s="60">
        <v>0</v>
      </c>
      <c r="G25" s="60">
        <v>2510.9354881286658</v>
      </c>
      <c r="H25" s="61">
        <v>27.89057522813486</v>
      </c>
      <c r="I25" s="59">
        <v>186.61771283944452</v>
      </c>
      <c r="J25" s="60">
        <v>436.75096934636429</v>
      </c>
      <c r="K25" s="60">
        <v>24.39515162209668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258.54699051727323</v>
      </c>
      <c r="V25" s="62">
        <v>180.99286065019288</v>
      </c>
      <c r="W25" s="62">
        <v>42.632979862410927</v>
      </c>
      <c r="X25" s="62">
        <v>29.844729454796362</v>
      </c>
      <c r="Y25" s="62">
        <v>107.24921755289775</v>
      </c>
      <c r="Z25" s="62">
        <v>75.078586869480475</v>
      </c>
      <c r="AA25" s="72">
        <v>0</v>
      </c>
      <c r="AB25" s="69">
        <v>85.557697391510061</v>
      </c>
      <c r="AC25" s="69">
        <v>0</v>
      </c>
      <c r="AD25" s="406">
        <v>10.300500093011816</v>
      </c>
      <c r="AE25" s="406">
        <v>6.9760796748875888</v>
      </c>
      <c r="AF25" s="69">
        <v>17.069433635473278</v>
      </c>
      <c r="AG25" s="69">
        <v>9.9310864904689531</v>
      </c>
      <c r="AH25" s="69">
        <v>6.9521433982979381</v>
      </c>
      <c r="AI25" s="69">
        <v>0.58822195491613338</v>
      </c>
      <c r="AJ25" s="69">
        <v>216.45792645613355</v>
      </c>
      <c r="AK25" s="69">
        <v>710.48454154332489</v>
      </c>
      <c r="AL25" s="69">
        <v>2828.1873247782391</v>
      </c>
      <c r="AM25" s="69">
        <v>551.07710266113281</v>
      </c>
      <c r="AN25" s="69">
        <v>5162.2855224609375</v>
      </c>
      <c r="AO25" s="69">
        <v>2529.2338067372634</v>
      </c>
      <c r="AP25" s="69">
        <v>475.48214222590127</v>
      </c>
      <c r="AQ25" s="69">
        <v>2105.4015974044801</v>
      </c>
      <c r="AR25" s="69">
        <v>406.33301526705424</v>
      </c>
      <c r="AS25" s="69">
        <v>613.89548387527464</v>
      </c>
    </row>
    <row r="26" spans="1:45" x14ac:dyDescent="0.25">
      <c r="A26" s="11">
        <v>44335</v>
      </c>
      <c r="B26" s="59"/>
      <c r="C26" s="60">
        <v>73.605666565895106</v>
      </c>
      <c r="D26" s="60">
        <v>1066.7535137812313</v>
      </c>
      <c r="E26" s="60">
        <v>17.323402822017641</v>
      </c>
      <c r="F26" s="60">
        <v>0</v>
      </c>
      <c r="G26" s="60">
        <v>2517.70876452128</v>
      </c>
      <c r="H26" s="61">
        <v>27.853762497504551</v>
      </c>
      <c r="I26" s="59">
        <v>186.91306961377461</v>
      </c>
      <c r="J26" s="60">
        <v>437.31775519053127</v>
      </c>
      <c r="K26" s="60">
        <v>24.475832282503514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257.26191530366617</v>
      </c>
      <c r="V26" s="62">
        <v>180.07886126697122</v>
      </c>
      <c r="W26" s="62">
        <v>41.857848788792182</v>
      </c>
      <c r="X26" s="62">
        <v>29.299765323108243</v>
      </c>
      <c r="Y26" s="66">
        <v>107.74737788058792</v>
      </c>
      <c r="Z26" s="66">
        <v>75.421288418596362</v>
      </c>
      <c r="AA26" s="67">
        <v>0</v>
      </c>
      <c r="AB26" s="68">
        <v>85.644748216205997</v>
      </c>
      <c r="AC26" s="69">
        <v>0</v>
      </c>
      <c r="AD26" s="406">
        <v>10.312661195226115</v>
      </c>
      <c r="AE26" s="406">
        <v>6.9695307312933492</v>
      </c>
      <c r="AF26" s="69">
        <v>16.988860527012061</v>
      </c>
      <c r="AG26" s="68">
        <v>9.8844278702847728</v>
      </c>
      <c r="AH26" s="68">
        <v>6.9189274014980064</v>
      </c>
      <c r="AI26" s="68">
        <v>0.58824131909436606</v>
      </c>
      <c r="AJ26" s="69">
        <v>223.79856573740639</v>
      </c>
      <c r="AK26" s="69">
        <v>733.15251038869224</v>
      </c>
      <c r="AL26" s="69">
        <v>2770.6890079498294</v>
      </c>
      <c r="AM26" s="69">
        <v>551.07710266113281</v>
      </c>
      <c r="AN26" s="69">
        <v>5162.2855224609375</v>
      </c>
      <c r="AO26" s="69">
        <v>2566.8536345163984</v>
      </c>
      <c r="AP26" s="69">
        <v>459.15127333005262</v>
      </c>
      <c r="AQ26" s="69">
        <v>2104.6037040710448</v>
      </c>
      <c r="AR26" s="69">
        <v>413.97101621627803</v>
      </c>
      <c r="AS26" s="69">
        <v>764.94658613204956</v>
      </c>
    </row>
    <row r="27" spans="1:45" x14ac:dyDescent="0.25">
      <c r="A27" s="11">
        <v>44336</v>
      </c>
      <c r="B27" s="59"/>
      <c r="C27" s="60">
        <v>73.767650647958234</v>
      </c>
      <c r="D27" s="60">
        <v>1066.9207131067935</v>
      </c>
      <c r="E27" s="60">
        <v>17.340059332052867</v>
      </c>
      <c r="F27" s="60">
        <v>0</v>
      </c>
      <c r="G27" s="60">
        <v>2502.208977635697</v>
      </c>
      <c r="H27" s="61">
        <v>28.088799057404238</v>
      </c>
      <c r="I27" s="59">
        <v>186.51849069595335</v>
      </c>
      <c r="J27" s="60">
        <v>432.12132272720368</v>
      </c>
      <c r="K27" s="60">
        <v>23.543699189027159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254.92826521100829</v>
      </c>
      <c r="V27" s="62">
        <v>180.23856400414388</v>
      </c>
      <c r="W27" s="62">
        <v>40.916680574468337</v>
      </c>
      <c r="X27" s="62">
        <v>28.928780198045949</v>
      </c>
      <c r="Y27" s="66">
        <v>106.44243478541183</v>
      </c>
      <c r="Z27" s="66">
        <v>75.25658866798311</v>
      </c>
      <c r="AA27" s="67">
        <v>0</v>
      </c>
      <c r="AB27" s="68">
        <v>85.911875470481689</v>
      </c>
      <c r="AC27" s="69">
        <v>0</v>
      </c>
      <c r="AD27" s="406">
        <v>10.297881858524388</v>
      </c>
      <c r="AE27" s="406">
        <v>7.0375067683567982</v>
      </c>
      <c r="AF27" s="69">
        <v>16.90044220123027</v>
      </c>
      <c r="AG27" s="68">
        <v>9.8027107942869698</v>
      </c>
      <c r="AH27" s="68">
        <v>6.9306811288570662</v>
      </c>
      <c r="AI27" s="68">
        <v>0.58581731900564604</v>
      </c>
      <c r="AJ27" s="69">
        <v>225.54704537391663</v>
      </c>
      <c r="AK27" s="69">
        <v>743.42055406570432</v>
      </c>
      <c r="AL27" s="69">
        <v>2828.8294208526613</v>
      </c>
      <c r="AM27" s="69">
        <v>551.07710266113281</v>
      </c>
      <c r="AN27" s="69">
        <v>5162.2855224609375</v>
      </c>
      <c r="AO27" s="69">
        <v>2602.9322669982912</v>
      </c>
      <c r="AP27" s="69">
        <v>474.00077444712321</v>
      </c>
      <c r="AQ27" s="69">
        <v>2076.624226315816</v>
      </c>
      <c r="AR27" s="69">
        <v>432.46525751749675</v>
      </c>
      <c r="AS27" s="69">
        <v>797.64335858027152</v>
      </c>
    </row>
    <row r="28" spans="1:45" x14ac:dyDescent="0.25">
      <c r="A28" s="11">
        <v>44337</v>
      </c>
      <c r="B28" s="59"/>
      <c r="C28" s="60">
        <v>74.62603997389499</v>
      </c>
      <c r="D28" s="60">
        <v>1076.5293255488093</v>
      </c>
      <c r="E28" s="60">
        <v>17.290489101409886</v>
      </c>
      <c r="F28" s="60">
        <v>0</v>
      </c>
      <c r="G28" s="60">
        <v>2520.8369867960632</v>
      </c>
      <c r="H28" s="61">
        <v>28.547690608104173</v>
      </c>
      <c r="I28" s="59">
        <v>186.55911335945115</v>
      </c>
      <c r="J28" s="60">
        <v>435.48444754282662</v>
      </c>
      <c r="K28" s="60">
        <v>23.302881942192688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257.92594827138674</v>
      </c>
      <c r="V28" s="62">
        <v>172.89298157039383</v>
      </c>
      <c r="W28" s="62">
        <v>40.958097413052123</v>
      </c>
      <c r="X28" s="62">
        <v>27.455041373899622</v>
      </c>
      <c r="Y28" s="66">
        <v>107.06836374533074</v>
      </c>
      <c r="Z28" s="66">
        <v>71.770090461453862</v>
      </c>
      <c r="AA28" s="67">
        <v>0</v>
      </c>
      <c r="AB28" s="68">
        <v>86.334713951748043</v>
      </c>
      <c r="AC28" s="69">
        <v>0</v>
      </c>
      <c r="AD28" s="406">
        <v>10.295375407528036</v>
      </c>
      <c r="AE28" s="406">
        <v>7.1553799727100555</v>
      </c>
      <c r="AF28" s="69">
        <v>16.737609442737345</v>
      </c>
      <c r="AG28" s="68">
        <v>9.9266276771751034</v>
      </c>
      <c r="AH28" s="68">
        <v>6.6540193708629269</v>
      </c>
      <c r="AI28" s="68">
        <v>0.59868759333790356</v>
      </c>
      <c r="AJ28" s="69">
        <v>240.41244594256085</v>
      </c>
      <c r="AK28" s="69">
        <v>760.58791097005189</v>
      </c>
      <c r="AL28" s="69">
        <v>3030.8672346750895</v>
      </c>
      <c r="AM28" s="69">
        <v>551.07710266113281</v>
      </c>
      <c r="AN28" s="69">
        <v>5162.2855224609375</v>
      </c>
      <c r="AO28" s="69">
        <v>2582.3474510192868</v>
      </c>
      <c r="AP28" s="69">
        <v>490.106492582957</v>
      </c>
      <c r="AQ28" s="69">
        <v>2036.318473879496</v>
      </c>
      <c r="AR28" s="69">
        <v>432.99320799509678</v>
      </c>
      <c r="AS28" s="69">
        <v>915.18676182428999</v>
      </c>
    </row>
    <row r="29" spans="1:45" x14ac:dyDescent="0.25">
      <c r="A29" s="11">
        <v>44338</v>
      </c>
      <c r="B29" s="59"/>
      <c r="C29" s="60">
        <v>75.62700908581435</v>
      </c>
      <c r="D29" s="60">
        <v>1076.5204926172908</v>
      </c>
      <c r="E29" s="60">
        <v>17.33323556830485</v>
      </c>
      <c r="F29" s="60">
        <v>0</v>
      </c>
      <c r="G29" s="60">
        <v>2507.2570180257176</v>
      </c>
      <c r="H29" s="61">
        <v>28.511537905534219</v>
      </c>
      <c r="I29" s="59">
        <v>186.4579641898473</v>
      </c>
      <c r="J29" s="60">
        <v>436.23756341934234</v>
      </c>
      <c r="K29" s="60">
        <v>23.384163813789701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258.33281218392045</v>
      </c>
      <c r="V29" s="62">
        <v>173.11289517963164</v>
      </c>
      <c r="W29" s="62">
        <v>41.178777019097893</v>
      </c>
      <c r="X29" s="62">
        <v>27.594548479800991</v>
      </c>
      <c r="Y29" s="66">
        <v>106.88425521162395</v>
      </c>
      <c r="Z29" s="66">
        <v>71.624826565312901</v>
      </c>
      <c r="AA29" s="67">
        <v>0</v>
      </c>
      <c r="AB29" s="68">
        <v>86.336126004325919</v>
      </c>
      <c r="AC29" s="69">
        <v>0</v>
      </c>
      <c r="AD29" s="406">
        <v>10.285990387453705</v>
      </c>
      <c r="AE29" s="406">
        <v>7.1549396640961564</v>
      </c>
      <c r="AF29" s="69">
        <v>16.734899593061861</v>
      </c>
      <c r="AG29" s="68">
        <v>9.9269051328305604</v>
      </c>
      <c r="AH29" s="68">
        <v>6.6521758238530406</v>
      </c>
      <c r="AI29" s="68">
        <v>0.59876088178631404</v>
      </c>
      <c r="AJ29" s="69">
        <v>213.30055920282999</v>
      </c>
      <c r="AK29" s="69">
        <v>734.40289033253998</v>
      </c>
      <c r="AL29" s="69">
        <v>3059.9782068888344</v>
      </c>
      <c r="AM29" s="69">
        <v>551.07710266113281</v>
      </c>
      <c r="AN29" s="69">
        <v>5162.2855224609375</v>
      </c>
      <c r="AO29" s="69">
        <v>2554.2337402343751</v>
      </c>
      <c r="AP29" s="69">
        <v>523.60541720390313</v>
      </c>
      <c r="AQ29" s="69">
        <v>2065.7901770273843</v>
      </c>
      <c r="AR29" s="69">
        <v>425.67489935557046</v>
      </c>
      <c r="AS29" s="69">
        <v>660.34364792505892</v>
      </c>
    </row>
    <row r="30" spans="1:45" x14ac:dyDescent="0.25">
      <c r="A30" s="11">
        <v>44339</v>
      </c>
      <c r="B30" s="59"/>
      <c r="C30" s="60">
        <v>75.649055329959069</v>
      </c>
      <c r="D30" s="60">
        <v>1078.1674488703422</v>
      </c>
      <c r="E30" s="60">
        <v>17.317420765757547</v>
      </c>
      <c r="F30" s="60">
        <v>0</v>
      </c>
      <c r="G30" s="60">
        <v>2588.6206712086982</v>
      </c>
      <c r="H30" s="61">
        <v>28.682080956300112</v>
      </c>
      <c r="I30" s="59">
        <v>178.89195847511289</v>
      </c>
      <c r="J30" s="60">
        <v>441.47902908325239</v>
      </c>
      <c r="K30" s="60">
        <v>23.989269996682761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250.49226271602359</v>
      </c>
      <c r="V30" s="62">
        <v>175.39954806142666</v>
      </c>
      <c r="W30" s="62">
        <v>39.744984098059533</v>
      </c>
      <c r="X30" s="62">
        <v>27.830209895190876</v>
      </c>
      <c r="Y30" s="66">
        <v>103.68146988174122</v>
      </c>
      <c r="Z30" s="66">
        <v>72.599779180478933</v>
      </c>
      <c r="AA30" s="67">
        <v>0</v>
      </c>
      <c r="AB30" s="68">
        <v>86.910418770047698</v>
      </c>
      <c r="AC30" s="69">
        <v>0</v>
      </c>
      <c r="AD30" s="406">
        <v>10.410550607683755</v>
      </c>
      <c r="AE30" s="406">
        <v>7.1666140335915749</v>
      </c>
      <c r="AF30" s="69">
        <v>16.524816766050137</v>
      </c>
      <c r="AG30" s="68">
        <v>9.595521712850017</v>
      </c>
      <c r="AH30" s="68">
        <v>6.7189706923424151</v>
      </c>
      <c r="AI30" s="68">
        <v>0.58815937845519717</v>
      </c>
      <c r="AJ30" s="69">
        <v>202.3148977279663</v>
      </c>
      <c r="AK30" s="69">
        <v>714.29983666737871</v>
      </c>
      <c r="AL30" s="69">
        <v>2836.933309046427</v>
      </c>
      <c r="AM30" s="69">
        <v>551.07710266113281</v>
      </c>
      <c r="AN30" s="69">
        <v>5162.2855224609375</v>
      </c>
      <c r="AO30" s="69">
        <v>2569.5588038126625</v>
      </c>
      <c r="AP30" s="69">
        <v>507.72435760498041</v>
      </c>
      <c r="AQ30" s="69">
        <v>2164.698731040954</v>
      </c>
      <c r="AR30" s="69">
        <v>424.5516279856364</v>
      </c>
      <c r="AS30" s="69">
        <v>790.32916224797566</v>
      </c>
    </row>
    <row r="31" spans="1:45" ht="17.25" customHeight="1" x14ac:dyDescent="0.25">
      <c r="A31" s="11">
        <v>44340</v>
      </c>
      <c r="B31" s="59"/>
      <c r="C31" s="60">
        <v>75.586090604464587</v>
      </c>
      <c r="D31" s="60">
        <v>1073.5759572982793</v>
      </c>
      <c r="E31" s="60">
        <v>17.922480648259345</v>
      </c>
      <c r="F31" s="60">
        <v>0</v>
      </c>
      <c r="G31" s="60">
        <v>2600.7784763336181</v>
      </c>
      <c r="H31" s="61">
        <v>28.636600355307319</v>
      </c>
      <c r="I31" s="59">
        <v>185.52219758828494</v>
      </c>
      <c r="J31" s="60">
        <v>550.4293164253238</v>
      </c>
      <c r="K31" s="60">
        <v>29.982593520482357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316.05146465683896</v>
      </c>
      <c r="V31" s="62">
        <v>168.68793516836013</v>
      </c>
      <c r="W31" s="62">
        <v>51.14410975484514</v>
      </c>
      <c r="X31" s="62">
        <v>27.297434865350898</v>
      </c>
      <c r="Y31" s="66">
        <v>135.3657118072305</v>
      </c>
      <c r="Z31" s="66">
        <v>72.249506712934362</v>
      </c>
      <c r="AA31" s="67">
        <v>0</v>
      </c>
      <c r="AB31" s="68">
        <v>99.653692144818251</v>
      </c>
      <c r="AC31" s="69">
        <v>0</v>
      </c>
      <c r="AD31" s="406">
        <v>12.984005608471346</v>
      </c>
      <c r="AE31" s="406">
        <v>7.1359935572584563</v>
      </c>
      <c r="AF31" s="69">
        <v>19.000002043777048</v>
      </c>
      <c r="AG31" s="68">
        <v>12.212457599097963</v>
      </c>
      <c r="AH31" s="68">
        <v>6.518224042909547</v>
      </c>
      <c r="AI31" s="68">
        <v>0.65200283857843955</v>
      </c>
      <c r="AJ31" s="69">
        <v>202.63690454959871</v>
      </c>
      <c r="AK31" s="69">
        <v>715.51389392217004</v>
      </c>
      <c r="AL31" s="69">
        <v>2839.014054616292</v>
      </c>
      <c r="AM31" s="69">
        <v>551.07710266113281</v>
      </c>
      <c r="AN31" s="69">
        <v>5162.2855224609375</v>
      </c>
      <c r="AO31" s="69">
        <v>2592.6149950663253</v>
      </c>
      <c r="AP31" s="69">
        <v>493.52637926737464</v>
      </c>
      <c r="AQ31" s="69">
        <v>2366.9023549397789</v>
      </c>
      <c r="AR31" s="69">
        <v>426.77145293553662</v>
      </c>
      <c r="AS31" s="69">
        <v>789.16953840255735</v>
      </c>
    </row>
    <row r="32" spans="1:45" x14ac:dyDescent="0.25">
      <c r="A32" s="11">
        <v>44341</v>
      </c>
      <c r="B32" s="59"/>
      <c r="C32" s="60">
        <v>75.733302927017917</v>
      </c>
      <c r="D32" s="60">
        <v>1072.5507485071826</v>
      </c>
      <c r="E32" s="60">
        <v>18.19370741397141</v>
      </c>
      <c r="F32" s="60">
        <v>0</v>
      </c>
      <c r="G32" s="60">
        <v>2649.4500130971278</v>
      </c>
      <c r="H32" s="61">
        <v>28.510092910130897</v>
      </c>
      <c r="I32" s="59">
        <v>229.67842160860658</v>
      </c>
      <c r="J32" s="60">
        <v>699.98141047159822</v>
      </c>
      <c r="K32" s="60">
        <v>38.40584501624113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398.63651249765098</v>
      </c>
      <c r="V32" s="62">
        <v>173.93382632376048</v>
      </c>
      <c r="W32" s="62">
        <v>67.717527582354322</v>
      </c>
      <c r="X32" s="62">
        <v>29.54663788268287</v>
      </c>
      <c r="Y32" s="66">
        <v>190.81910319162745</v>
      </c>
      <c r="Z32" s="66">
        <v>83.258546854721033</v>
      </c>
      <c r="AA32" s="67">
        <v>0</v>
      </c>
      <c r="AB32" s="68">
        <v>117.32406014866392</v>
      </c>
      <c r="AC32" s="69">
        <v>0</v>
      </c>
      <c r="AD32" s="406">
        <v>16.504039047682504</v>
      </c>
      <c r="AE32" s="406">
        <v>7.129601801365137</v>
      </c>
      <c r="AF32" s="69">
        <v>23.267397871282341</v>
      </c>
      <c r="AG32" s="68">
        <v>15.961958408563232</v>
      </c>
      <c r="AH32" s="68">
        <v>6.9645514512133024</v>
      </c>
      <c r="AI32" s="68">
        <v>0.69622277905315733</v>
      </c>
      <c r="AJ32" s="69">
        <v>213.25243572394049</v>
      </c>
      <c r="AK32" s="69">
        <v>733.44841585159304</v>
      </c>
      <c r="AL32" s="69">
        <v>2811.3797326405847</v>
      </c>
      <c r="AM32" s="69">
        <v>551.07710266113281</v>
      </c>
      <c r="AN32" s="69">
        <v>5162.2855224609375</v>
      </c>
      <c r="AO32" s="69">
        <v>2616.5576442718507</v>
      </c>
      <c r="AP32" s="69">
        <v>513.58142863909393</v>
      </c>
      <c r="AQ32" s="69">
        <v>2912.607311884562</v>
      </c>
      <c r="AR32" s="69">
        <v>440.24462359746303</v>
      </c>
      <c r="AS32" s="69">
        <v>802.69242992401121</v>
      </c>
    </row>
    <row r="33" spans="1:45" x14ac:dyDescent="0.25">
      <c r="A33" s="11">
        <v>44342</v>
      </c>
      <c r="B33" s="59"/>
      <c r="C33" s="60">
        <v>75.119157505035858</v>
      </c>
      <c r="D33" s="60">
        <v>1032.6828453063954</v>
      </c>
      <c r="E33" s="60">
        <v>18.186953092118141</v>
      </c>
      <c r="F33" s="60">
        <v>0</v>
      </c>
      <c r="G33" s="60">
        <v>2670.3650847117124</v>
      </c>
      <c r="H33" s="61">
        <v>28.788363142808322</v>
      </c>
      <c r="I33" s="59">
        <v>267.0291186173759</v>
      </c>
      <c r="J33" s="60">
        <v>840.63654778798366</v>
      </c>
      <c r="K33" s="60">
        <v>45.890806444485932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469.67659169896268</v>
      </c>
      <c r="V33" s="62">
        <v>172.06606856919035</v>
      </c>
      <c r="W33" s="62">
        <v>80.654315394366179</v>
      </c>
      <c r="X33" s="62">
        <v>29.547716893549339</v>
      </c>
      <c r="Y33" s="66">
        <v>251.78653869054008</v>
      </c>
      <c r="Z33" s="66">
        <v>92.2420248248051</v>
      </c>
      <c r="AA33" s="67">
        <v>0</v>
      </c>
      <c r="AB33" s="68">
        <v>134.04204245143404</v>
      </c>
      <c r="AC33" s="69">
        <v>0</v>
      </c>
      <c r="AD33" s="406">
        <v>19.826573207104108</v>
      </c>
      <c r="AE33" s="406">
        <v>7.1739358027524949</v>
      </c>
      <c r="AF33" s="69">
        <v>26.345346155431599</v>
      </c>
      <c r="AG33" s="68">
        <v>19.024686876963703</v>
      </c>
      <c r="AH33" s="68">
        <v>6.969696030278536</v>
      </c>
      <c r="AI33" s="68">
        <v>0.73187684219513738</v>
      </c>
      <c r="AJ33" s="69">
        <v>246.03465280532839</v>
      </c>
      <c r="AK33" s="69">
        <v>759.21154047648099</v>
      </c>
      <c r="AL33" s="69">
        <v>2764.7100346883135</v>
      </c>
      <c r="AM33" s="69">
        <v>551.07710266113281</v>
      </c>
      <c r="AN33" s="69">
        <v>5162.2855224609375</v>
      </c>
      <c r="AO33" s="69">
        <v>2644.8141225179033</v>
      </c>
      <c r="AP33" s="69">
        <v>501.30161930720021</v>
      </c>
      <c r="AQ33" s="69">
        <v>3435.3628103892001</v>
      </c>
      <c r="AR33" s="69">
        <v>432.06706078847247</v>
      </c>
      <c r="AS33" s="69">
        <v>829.93682753245037</v>
      </c>
    </row>
    <row r="34" spans="1:45" x14ac:dyDescent="0.25">
      <c r="A34" s="11">
        <v>44343</v>
      </c>
      <c r="B34" s="59"/>
      <c r="C34" s="60">
        <v>74.773862059911238</v>
      </c>
      <c r="D34" s="60">
        <v>944.97189521789664</v>
      </c>
      <c r="E34" s="60">
        <v>18.180507325629417</v>
      </c>
      <c r="F34" s="60">
        <v>0</v>
      </c>
      <c r="G34" s="60">
        <v>2541.124144999184</v>
      </c>
      <c r="H34" s="61">
        <v>28.530977551142406</v>
      </c>
      <c r="I34" s="59">
        <v>284.73783518473266</v>
      </c>
      <c r="J34" s="60">
        <v>914.4258829752597</v>
      </c>
      <c r="K34" s="60">
        <v>50.034379484256114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493.4000582198712</v>
      </c>
      <c r="V34" s="62">
        <v>164.01870447459305</v>
      </c>
      <c r="W34" s="62">
        <v>86.604135828941011</v>
      </c>
      <c r="X34" s="62">
        <v>28.789413223933249</v>
      </c>
      <c r="Y34" s="66">
        <v>323.10872273201386</v>
      </c>
      <c r="Z34" s="66">
        <v>107.40954165702418</v>
      </c>
      <c r="AA34" s="67">
        <v>0</v>
      </c>
      <c r="AB34" s="68">
        <v>142.76169297430292</v>
      </c>
      <c r="AC34" s="69">
        <v>0</v>
      </c>
      <c r="AD34" s="406">
        <v>21.558977081171804</v>
      </c>
      <c r="AE34" s="406">
        <v>7.1224891968095303</v>
      </c>
      <c r="AF34" s="69">
        <v>28.168693837854562</v>
      </c>
      <c r="AG34" s="68">
        <v>20.860431596132308</v>
      </c>
      <c r="AH34" s="68">
        <v>6.9345370114524441</v>
      </c>
      <c r="AI34" s="68">
        <v>0.75051106877090934</v>
      </c>
      <c r="AJ34" s="69">
        <v>225.30347148577371</v>
      </c>
      <c r="AK34" s="69">
        <v>741.72136106491109</v>
      </c>
      <c r="AL34" s="69">
        <v>2653.9149550120032</v>
      </c>
      <c r="AM34" s="69">
        <v>551.07710266113281</v>
      </c>
      <c r="AN34" s="69">
        <v>5162.2855224609375</v>
      </c>
      <c r="AO34" s="69">
        <v>2629.0548158009851</v>
      </c>
      <c r="AP34" s="69">
        <v>511.82827827135714</v>
      </c>
      <c r="AQ34" s="69">
        <v>3566.5764352162669</v>
      </c>
      <c r="AR34" s="69">
        <v>424.12233012517288</v>
      </c>
      <c r="AS34" s="69">
        <v>757.61911888122552</v>
      </c>
    </row>
    <row r="35" spans="1:45" s="413" customFormat="1" x14ac:dyDescent="0.25">
      <c r="A35" s="11">
        <v>44344</v>
      </c>
      <c r="B35" s="408"/>
      <c r="C35" s="409">
        <v>74.855724898974131</v>
      </c>
      <c r="D35" s="409">
        <v>947.39670976002981</v>
      </c>
      <c r="E35" s="409">
        <v>18.193120575944604</v>
      </c>
      <c r="F35" s="409">
        <v>0</v>
      </c>
      <c r="G35" s="409">
        <v>3048.8618550618526</v>
      </c>
      <c r="H35" s="410">
        <v>28.339085288842568</v>
      </c>
      <c r="I35" s="408">
        <v>200.9874925533932</v>
      </c>
      <c r="J35" s="409">
        <v>640.82269916534278</v>
      </c>
      <c r="K35" s="409">
        <v>35.374891515572791</v>
      </c>
      <c r="L35" s="50">
        <v>0</v>
      </c>
      <c r="M35" s="409">
        <v>0</v>
      </c>
      <c r="N35" s="410">
        <v>0</v>
      </c>
      <c r="O35" s="408">
        <v>0</v>
      </c>
      <c r="P35" s="409">
        <v>0</v>
      </c>
      <c r="Q35" s="409">
        <v>0</v>
      </c>
      <c r="R35" s="409">
        <v>0</v>
      </c>
      <c r="S35" s="409">
        <v>0</v>
      </c>
      <c r="T35" s="410">
        <v>0</v>
      </c>
      <c r="U35" s="408">
        <v>352.46910417543052</v>
      </c>
      <c r="V35" s="409">
        <v>167.91514532102914</v>
      </c>
      <c r="W35" s="409">
        <v>58.376742972212845</v>
      </c>
      <c r="X35" s="409">
        <v>27.810492220244861</v>
      </c>
      <c r="Y35" s="409">
        <v>212.29846625482878</v>
      </c>
      <c r="Z35" s="409">
        <v>101.13830514594105</v>
      </c>
      <c r="AA35" s="410">
        <v>0</v>
      </c>
      <c r="AB35" s="411">
        <v>110.14516692161767</v>
      </c>
      <c r="AC35" s="56">
        <v>0</v>
      </c>
      <c r="AD35" s="412">
        <v>15.107900913357664</v>
      </c>
      <c r="AE35" s="411">
        <v>7.1145509334682719</v>
      </c>
      <c r="AF35" s="56">
        <v>21.985885288980235</v>
      </c>
      <c r="AG35" s="56">
        <v>14.690471424744656</v>
      </c>
      <c r="AH35" s="56">
        <v>6.9984932435175224</v>
      </c>
      <c r="AI35" s="56">
        <v>0.67732469711850585</v>
      </c>
      <c r="AJ35" s="56">
        <v>226.07301948865253</v>
      </c>
      <c r="AK35" s="56">
        <v>747.23535629908258</v>
      </c>
      <c r="AL35" s="56">
        <v>2770.4269504547119</v>
      </c>
      <c r="AM35" s="56">
        <v>551.07710266113281</v>
      </c>
      <c r="AN35" s="56">
        <v>5162.2855224609375</v>
      </c>
      <c r="AO35" s="56">
        <v>2646.6446052551269</v>
      </c>
      <c r="AP35" s="56">
        <v>511.59318647384646</v>
      </c>
      <c r="AQ35" s="56">
        <v>2898.1895769755042</v>
      </c>
      <c r="AR35" s="56">
        <v>433.30230013529473</v>
      </c>
      <c r="AS35" s="56">
        <v>763.35617348353071</v>
      </c>
    </row>
    <row r="36" spans="1:45" x14ac:dyDescent="0.25">
      <c r="A36" s="11">
        <v>44345</v>
      </c>
      <c r="B36" s="65"/>
      <c r="C36" s="66">
        <v>75.410374399025727</v>
      </c>
      <c r="D36" s="66">
        <v>962.03997128804224</v>
      </c>
      <c r="E36" s="66">
        <v>18.145667393008893</v>
      </c>
      <c r="F36" s="66">
        <v>0</v>
      </c>
      <c r="G36" s="66">
        <v>3224.1873741149861</v>
      </c>
      <c r="H36" s="67">
        <v>28.546441805362726</v>
      </c>
      <c r="I36" s="71">
        <v>163.55576696395858</v>
      </c>
      <c r="J36" s="66">
        <v>525.74098234176711</v>
      </c>
      <c r="K36" s="66">
        <v>29.225371404488797</v>
      </c>
      <c r="L36" s="50">
        <v>0</v>
      </c>
      <c r="M36" s="66">
        <v>0</v>
      </c>
      <c r="N36" s="67">
        <v>0</v>
      </c>
      <c r="O36" s="71">
        <v>0</v>
      </c>
      <c r="P36" s="66">
        <v>0</v>
      </c>
      <c r="Q36" s="66">
        <v>0</v>
      </c>
      <c r="R36" s="387">
        <v>0</v>
      </c>
      <c r="S36" s="66">
        <v>0</v>
      </c>
      <c r="T36" s="67">
        <v>0</v>
      </c>
      <c r="U36" s="71">
        <v>296.07091979258649</v>
      </c>
      <c r="V36" s="66">
        <v>172.68862862779525</v>
      </c>
      <c r="W36" s="62">
        <v>49.426548407750936</v>
      </c>
      <c r="X36" s="62">
        <v>28.828913249296324</v>
      </c>
      <c r="Y36" s="66">
        <v>198.01839365585366</v>
      </c>
      <c r="Z36" s="66">
        <v>115.49774921314147</v>
      </c>
      <c r="AA36" s="67">
        <v>0</v>
      </c>
      <c r="AB36" s="68">
        <v>96.73282933765023</v>
      </c>
      <c r="AC36" s="388">
        <v>0</v>
      </c>
      <c r="AD36" s="406">
        <v>12.397712124225137</v>
      </c>
      <c r="AE36" s="406">
        <v>7.1490873784427906</v>
      </c>
      <c r="AF36" s="388">
        <v>19.21186290416453</v>
      </c>
      <c r="AG36" s="68">
        <v>11.927959193513617</v>
      </c>
      <c r="AH36" s="68">
        <v>6.9571942995927651</v>
      </c>
      <c r="AI36" s="68">
        <v>0.63160509645143537</v>
      </c>
      <c r="AJ36" s="388">
        <v>244.82276655832928</v>
      </c>
      <c r="AK36" s="388">
        <v>762.9581958134969</v>
      </c>
      <c r="AL36" s="388">
        <v>2692.8871579488118</v>
      </c>
      <c r="AM36" s="388">
        <v>551.07710266113281</v>
      </c>
      <c r="AN36" s="388">
        <v>5162.2855224609375</v>
      </c>
      <c r="AO36" s="388">
        <v>2601.7995995839437</v>
      </c>
      <c r="AP36" s="388">
        <v>532.98615226745608</v>
      </c>
      <c r="AQ36" s="388">
        <v>2598.6683312098185</v>
      </c>
      <c r="AR36" s="388">
        <v>436.6035629908244</v>
      </c>
      <c r="AS36" s="388">
        <v>703.3714119593302</v>
      </c>
    </row>
    <row r="37" spans="1:45" x14ac:dyDescent="0.25">
      <c r="A37" s="11">
        <v>44346</v>
      </c>
      <c r="B37" s="65"/>
      <c r="C37" s="66">
        <v>75.948825764655965</v>
      </c>
      <c r="D37" s="66">
        <v>965.47126820881897</v>
      </c>
      <c r="E37" s="66">
        <v>18.16006602396568</v>
      </c>
      <c r="F37" s="66">
        <v>0</v>
      </c>
      <c r="G37" s="66">
        <v>3150.5601740519228</v>
      </c>
      <c r="H37" s="67">
        <v>28.634567113717498</v>
      </c>
      <c r="I37" s="71">
        <v>150.62189080715211</v>
      </c>
      <c r="J37" s="66">
        <v>473.70507456461644</v>
      </c>
      <c r="K37" s="66">
        <v>26.592109659314218</v>
      </c>
      <c r="L37" s="448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87">
        <v>0</v>
      </c>
      <c r="S37" s="66">
        <v>0</v>
      </c>
      <c r="T37" s="67">
        <v>0</v>
      </c>
      <c r="U37" s="71">
        <v>265.67665208379123</v>
      </c>
      <c r="V37" s="66">
        <v>171.92071446114431</v>
      </c>
      <c r="W37" s="62">
        <v>43.659376173558506</v>
      </c>
      <c r="X37" s="62">
        <v>28.252204647319754</v>
      </c>
      <c r="Y37" s="66">
        <v>193.75765975547793</v>
      </c>
      <c r="Z37" s="66">
        <v>125.38156829443635</v>
      </c>
      <c r="AA37" s="67">
        <v>0</v>
      </c>
      <c r="AB37" s="68">
        <v>90.653043031693954</v>
      </c>
      <c r="AC37" s="388">
        <v>0</v>
      </c>
      <c r="AD37" s="406">
        <v>11.170291463353212</v>
      </c>
      <c r="AE37" s="406">
        <v>7.1644834619807005</v>
      </c>
      <c r="AF37" s="388">
        <v>17.789421597123166</v>
      </c>
      <c r="AG37" s="68">
        <v>10.652297204736783</v>
      </c>
      <c r="AH37" s="68">
        <v>6.8931557655778199</v>
      </c>
      <c r="AI37" s="68">
        <v>0.60712580192483789</v>
      </c>
      <c r="AJ37" s="388">
        <v>217.02767535050705</v>
      </c>
      <c r="AK37" s="388">
        <v>722.59610058466592</v>
      </c>
      <c r="AL37" s="388">
        <v>2704.0006003061931</v>
      </c>
      <c r="AM37" s="388">
        <v>551.07710266113281</v>
      </c>
      <c r="AN37" s="388">
        <v>5162.2855224609375</v>
      </c>
      <c r="AO37" s="388">
        <v>2572.2396212259932</v>
      </c>
      <c r="AP37" s="388">
        <v>497.91215538978571</v>
      </c>
      <c r="AQ37" s="388">
        <v>2149.5220868428546</v>
      </c>
      <c r="AR37" s="388">
        <v>432.78631073633835</v>
      </c>
      <c r="AS37" s="388">
        <v>522.66732775370281</v>
      </c>
    </row>
    <row r="38" spans="1:45" ht="15.75" thickBot="1" x14ac:dyDescent="0.3">
      <c r="A38" s="11">
        <v>44347</v>
      </c>
      <c r="B38" s="379"/>
      <c r="C38" s="381">
        <v>76.184013414382619</v>
      </c>
      <c r="D38" s="381">
        <v>965.0793340682967</v>
      </c>
      <c r="E38" s="381">
        <v>18.151620878279239</v>
      </c>
      <c r="F38" s="381">
        <v>0</v>
      </c>
      <c r="G38" s="381">
        <v>3009.1049302419074</v>
      </c>
      <c r="H38" s="382">
        <v>28.642718052864129</v>
      </c>
      <c r="I38" s="383">
        <v>136.99803835550964</v>
      </c>
      <c r="J38" s="381">
        <v>438.01706568400056</v>
      </c>
      <c r="K38" s="381">
        <v>24.647085589170501</v>
      </c>
      <c r="L38" s="50">
        <v>0</v>
      </c>
      <c r="M38" s="381">
        <v>0</v>
      </c>
      <c r="N38" s="382">
        <v>0</v>
      </c>
      <c r="O38" s="383">
        <v>0</v>
      </c>
      <c r="P38" s="381">
        <v>0</v>
      </c>
      <c r="Q38" s="381">
        <v>0</v>
      </c>
      <c r="R38" s="384">
        <v>0</v>
      </c>
      <c r="S38" s="381">
        <v>0</v>
      </c>
      <c r="T38" s="385">
        <v>0</v>
      </c>
      <c r="U38" s="383">
        <v>250.03998777289263</v>
      </c>
      <c r="V38" s="381">
        <v>175.10390142116893</v>
      </c>
      <c r="W38" s="380">
        <v>40.673937710133451</v>
      </c>
      <c r="X38" s="380">
        <v>28.484104653192208</v>
      </c>
      <c r="Y38" s="381">
        <v>192.13600435847644</v>
      </c>
      <c r="Z38" s="381">
        <v>134.5535338819567</v>
      </c>
      <c r="AA38" s="382">
        <v>0</v>
      </c>
      <c r="AB38" s="386">
        <v>86.410237481860236</v>
      </c>
      <c r="AC38" s="85">
        <v>0</v>
      </c>
      <c r="AD38" s="406">
        <v>10.32874549541669</v>
      </c>
      <c r="AE38" s="406">
        <v>7.1618096415507422</v>
      </c>
      <c r="AF38" s="85">
        <v>17.011591707997869</v>
      </c>
      <c r="AG38" s="386">
        <v>9.8951141837598477</v>
      </c>
      <c r="AH38" s="386">
        <v>6.9295839998122819</v>
      </c>
      <c r="AI38" s="386">
        <v>0.58813026396048973</v>
      </c>
      <c r="AJ38" s="85">
        <v>219.74053063392637</v>
      </c>
      <c r="AK38" s="85">
        <v>715.5286571184796</v>
      </c>
      <c r="AL38" s="85">
        <v>2709.4909787495926</v>
      </c>
      <c r="AM38" s="85">
        <v>551.07710266113281</v>
      </c>
      <c r="AN38" s="85">
        <v>5162.2855224609375</v>
      </c>
      <c r="AO38" s="85">
        <v>2568.156230036418</v>
      </c>
      <c r="AP38" s="85">
        <v>480.11911892890936</v>
      </c>
      <c r="AQ38" s="85">
        <v>2075.9789635976158</v>
      </c>
      <c r="AR38" s="85">
        <v>431.53313624064134</v>
      </c>
      <c r="AS38" s="85">
        <v>563.53697096506767</v>
      </c>
    </row>
    <row r="39" spans="1:45" ht="15.75" thickTop="1" x14ac:dyDescent="0.25">
      <c r="A39" s="46" t="s">
        <v>171</v>
      </c>
      <c r="B39" s="29">
        <f>SUM(B8:B35)</f>
        <v>0</v>
      </c>
      <c r="C39" s="30">
        <f t="shared" ref="C39:AC39" si="0">SUM(C8:C38)</f>
        <v>2305.3227766076739</v>
      </c>
      <c r="D39" s="30">
        <f t="shared" si="0"/>
        <v>32544.200070142768</v>
      </c>
      <c r="E39" s="30">
        <f t="shared" si="0"/>
        <v>546.97103553314992</v>
      </c>
      <c r="F39" s="30">
        <f t="shared" si="0"/>
        <v>0</v>
      </c>
      <c r="G39" s="30">
        <f t="shared" si="0"/>
        <v>80397.258813667329</v>
      </c>
      <c r="H39" s="31">
        <f t="shared" si="0"/>
        <v>872.6072696944093</v>
      </c>
      <c r="I39" s="29">
        <f t="shared" si="0"/>
        <v>5703.7513184070567</v>
      </c>
      <c r="J39" s="30">
        <f t="shared" si="0"/>
        <v>15147.369934368136</v>
      </c>
      <c r="K39" s="30">
        <f t="shared" si="0"/>
        <v>834.85033059120212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8591.8622887787024</v>
      </c>
      <c r="V39" s="261">
        <f t="shared" si="0"/>
        <v>5368.0721772018151</v>
      </c>
      <c r="W39" s="261">
        <f t="shared" si="0"/>
        <v>1433.2154526973386</v>
      </c>
      <c r="X39" s="261">
        <f t="shared" si="0"/>
        <v>893.27020857089553</v>
      </c>
      <c r="Y39" s="261">
        <f t="shared" si="0"/>
        <v>4027.546329848592</v>
      </c>
      <c r="Z39" s="261">
        <f t="shared" si="0"/>
        <v>2453.5561380618578</v>
      </c>
      <c r="AA39" s="269">
        <f t="shared" si="0"/>
        <v>0</v>
      </c>
      <c r="AB39" s="272">
        <f t="shared" si="0"/>
        <v>2852.2362316025688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7107.2754993756616</v>
      </c>
      <c r="AK39" s="272">
        <f t="shared" si="1"/>
        <v>22907.21760651271</v>
      </c>
      <c r="AL39" s="272">
        <f t="shared" si="1"/>
        <v>87771.837448883045</v>
      </c>
      <c r="AM39" s="272">
        <f t="shared" si="1"/>
        <v>17083.390182495117</v>
      </c>
      <c r="AN39" s="272">
        <f t="shared" si="1"/>
        <v>160030.85119628906</v>
      </c>
      <c r="AO39" s="272">
        <f t="shared" si="1"/>
        <v>81257.416361618045</v>
      </c>
      <c r="AP39" s="272">
        <f t="shared" si="1"/>
        <v>15570.114291938149</v>
      </c>
      <c r="AQ39" s="272">
        <f t="shared" si="1"/>
        <v>70357.382391293839</v>
      </c>
      <c r="AR39" s="272">
        <f t="shared" si="1"/>
        <v>11512.11759853363</v>
      </c>
      <c r="AS39" s="272">
        <f t="shared" si="1"/>
        <v>21282.296425215398</v>
      </c>
    </row>
    <row r="40" spans="1:45" ht="15.75" thickBot="1" x14ac:dyDescent="0.3">
      <c r="A40" s="47" t="s">
        <v>172</v>
      </c>
      <c r="B40" s="32">
        <f>Projection!$AB$30</f>
        <v>0.68740698599999983</v>
      </c>
      <c r="C40" s="33">
        <f>Projection!$AB$28</f>
        <v>1.4286753599999999</v>
      </c>
      <c r="D40" s="33">
        <f>Projection!$AB$31</f>
        <v>2.358470268</v>
      </c>
      <c r="E40" s="33">
        <f>Projection!$AB$26</f>
        <v>4.4235360000000004</v>
      </c>
      <c r="F40" s="33">
        <f>Projection!$AB$23</f>
        <v>0</v>
      </c>
      <c r="G40" s="33">
        <f>Projection!$AB$24</f>
        <v>7.2805000000000009E-2</v>
      </c>
      <c r="H40" s="34">
        <f>Projection!$AB$29</f>
        <v>3.8336895000000006</v>
      </c>
      <c r="I40" s="32">
        <f>Projection!$AB$30</f>
        <v>0.68740698599999983</v>
      </c>
      <c r="J40" s="33">
        <f>Projection!$AB$28</f>
        <v>1.4286753599999999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1.4286753599999999</v>
      </c>
      <c r="T40" s="38">
        <f>Projection!$AB$28</f>
        <v>1.4286753599999999</v>
      </c>
      <c r="U40" s="26">
        <f>Projection!$AB$27</f>
        <v>0.35249999999999998</v>
      </c>
      <c r="V40" s="27">
        <f>Projection!$AB$27</f>
        <v>0.35249999999999998</v>
      </c>
      <c r="W40" s="27">
        <f>Projection!$AB$22</f>
        <v>1.1509199999999999</v>
      </c>
      <c r="X40" s="27">
        <f>Projection!$AB$22</f>
        <v>1.1509199999999999</v>
      </c>
      <c r="Y40" s="27">
        <f>Projection!$AB$31</f>
        <v>2.358470268</v>
      </c>
      <c r="Z40" s="27">
        <f>Projection!$AB$31</f>
        <v>2.358470268</v>
      </c>
      <c r="AA40" s="28">
        <v>0</v>
      </c>
      <c r="AB40" s="41">
        <f>Projection!$AB$27</f>
        <v>0.35249999999999998</v>
      </c>
      <c r="AC40" s="41">
        <f>Projection!$AB$30</f>
        <v>0.68740698599999983</v>
      </c>
      <c r="AD40" s="397">
        <f>SUM(AD8:AD38)</f>
        <v>357.33121084882475</v>
      </c>
      <c r="AE40" s="397">
        <f>SUM(AE8:AE38)</f>
        <v>218.28192898900676</v>
      </c>
      <c r="AF40" s="276">
        <f>SUM(AF9:AF38)</f>
        <v>544.96014886498438</v>
      </c>
      <c r="AG40" s="276">
        <f>SUM(AG8:AG38)</f>
        <v>342.45786429372845</v>
      </c>
      <c r="AH40" s="276">
        <f>SUM(AH8:AH38)</f>
        <v>213.32706660444617</v>
      </c>
      <c r="AI40" s="276">
        <f>IF(SUM(AG40:AH40)&gt;0, AG40/(AG40+AH40), 0)</f>
        <v>0.61616975426141984</v>
      </c>
      <c r="AJ40" s="311">
        <v>7.0000000000000007E-2</v>
      </c>
      <c r="AK40" s="311">
        <f t="shared" ref="AK40:AS40" si="2">$AJ$40</f>
        <v>7.0000000000000007E-2</v>
      </c>
      <c r="AL40" s="311">
        <f t="shared" si="2"/>
        <v>7.0000000000000007E-2</v>
      </c>
      <c r="AM40" s="311">
        <f t="shared" si="2"/>
        <v>7.0000000000000007E-2</v>
      </c>
      <c r="AN40" s="311">
        <f t="shared" si="2"/>
        <v>7.0000000000000007E-2</v>
      </c>
      <c r="AO40" s="311">
        <f t="shared" si="2"/>
        <v>7.0000000000000007E-2</v>
      </c>
      <c r="AP40" s="311">
        <f t="shared" si="2"/>
        <v>7.0000000000000007E-2</v>
      </c>
      <c r="AQ40" s="311">
        <f t="shared" si="2"/>
        <v>7.0000000000000007E-2</v>
      </c>
      <c r="AR40" s="311">
        <f t="shared" si="2"/>
        <v>7.0000000000000007E-2</v>
      </c>
      <c r="AS40" s="311">
        <f t="shared" si="2"/>
        <v>7.0000000000000007E-2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3293.5578477861677</v>
      </c>
      <c r="D41" s="36">
        <f t="shared" si="3"/>
        <v>76754.528261275234</v>
      </c>
      <c r="E41" s="36">
        <f t="shared" si="3"/>
        <v>2419.5460666381682</v>
      </c>
      <c r="F41" s="36">
        <f t="shared" si="3"/>
        <v>0</v>
      </c>
      <c r="G41" s="36">
        <f t="shared" si="3"/>
        <v>5853.3224279290507</v>
      </c>
      <c r="H41" s="37">
        <f t="shared" si="3"/>
        <v>3345.3053274511258</v>
      </c>
      <c r="I41" s="35">
        <f t="shared" si="3"/>
        <v>3920.7985026797201</v>
      </c>
      <c r="J41" s="36">
        <f t="shared" si="3"/>
        <v>21640.674194036572</v>
      </c>
      <c r="K41" s="36">
        <f t="shared" si="3"/>
        <v>3692.9904919820842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3028.6314567944924</v>
      </c>
      <c r="V41" s="267">
        <f t="shared" si="3"/>
        <v>1892.2454424636396</v>
      </c>
      <c r="W41" s="267">
        <f t="shared" si="3"/>
        <v>1649.5163288184208</v>
      </c>
      <c r="X41" s="267">
        <f t="shared" si="3"/>
        <v>1028.0825484484151</v>
      </c>
      <c r="Y41" s="267">
        <f t="shared" si="3"/>
        <v>9498.8482719404255</v>
      </c>
      <c r="Z41" s="267">
        <f t="shared" si="3"/>
        <v>5786.639202487795</v>
      </c>
      <c r="AA41" s="271">
        <f t="shared" si="3"/>
        <v>0</v>
      </c>
      <c r="AB41" s="274">
        <f t="shared" si="3"/>
        <v>1005.4132716399055</v>
      </c>
      <c r="AC41" s="274">
        <f t="shared" si="3"/>
        <v>0</v>
      </c>
      <c r="AJ41" s="277">
        <f t="shared" ref="AJ41:AS41" si="4">AJ40*AJ39</f>
        <v>497.50928495629637</v>
      </c>
      <c r="AK41" s="277">
        <f t="shared" si="4"/>
        <v>1603.5052324558899</v>
      </c>
      <c r="AL41" s="277">
        <f t="shared" si="4"/>
        <v>6144.028621421814</v>
      </c>
      <c r="AM41" s="277">
        <f t="shared" si="4"/>
        <v>1195.8373127746584</v>
      </c>
      <c r="AN41" s="277">
        <f t="shared" si="4"/>
        <v>11202.159583740235</v>
      </c>
      <c r="AO41" s="277">
        <f t="shared" si="4"/>
        <v>5688.0191453132638</v>
      </c>
      <c r="AP41" s="277">
        <f t="shared" si="4"/>
        <v>1089.9080004356706</v>
      </c>
      <c r="AQ41" s="277">
        <f t="shared" si="4"/>
        <v>4925.0167673905689</v>
      </c>
      <c r="AR41" s="277">
        <f t="shared" si="4"/>
        <v>805.84823189735425</v>
      </c>
      <c r="AS41" s="277">
        <f t="shared" si="4"/>
        <v>1489.7607497650779</v>
      </c>
    </row>
    <row r="42" spans="1:45" ht="49.5" customHeight="1" thickTop="1" thickBot="1" x14ac:dyDescent="0.3">
      <c r="A42" s="643">
        <f>APRIL!$A$42+30</f>
        <v>44318</v>
      </c>
      <c r="B42" s="644"/>
      <c r="C42" s="644"/>
      <c r="D42" s="644"/>
      <c r="E42" s="644"/>
      <c r="F42" s="644"/>
      <c r="G42" s="644"/>
      <c r="H42" s="644"/>
      <c r="I42" s="644"/>
      <c r="J42" s="644"/>
      <c r="K42" s="64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>
        <v>1353.64</v>
      </c>
      <c r="AK42" s="277" t="s">
        <v>197</v>
      </c>
      <c r="AL42" s="277">
        <v>1624.36</v>
      </c>
      <c r="AM42" s="277">
        <v>189.04</v>
      </c>
      <c r="AN42" s="277">
        <v>736.21</v>
      </c>
      <c r="AO42" s="277">
        <v>5644.82</v>
      </c>
      <c r="AP42" s="277">
        <v>1116.5999999999999</v>
      </c>
      <c r="AQ42" s="277" t="s">
        <v>197</v>
      </c>
      <c r="AR42" s="277">
        <v>135.36000000000001</v>
      </c>
      <c r="AS42" s="277">
        <v>442.06</v>
      </c>
    </row>
    <row r="43" spans="1:45" ht="38.25" customHeight="1" thickTop="1" thickBot="1" x14ac:dyDescent="0.3">
      <c r="A43" s="640" t="s">
        <v>49</v>
      </c>
      <c r="B43" s="636"/>
      <c r="C43" s="288"/>
      <c r="D43" s="636" t="s">
        <v>47</v>
      </c>
      <c r="E43" s="636"/>
      <c r="F43" s="288"/>
      <c r="G43" s="636" t="s">
        <v>48</v>
      </c>
      <c r="H43" s="636"/>
      <c r="I43" s="289"/>
      <c r="J43" s="636" t="s">
        <v>50</v>
      </c>
      <c r="K43" s="637"/>
      <c r="L43" s="44"/>
      <c r="M43" s="44"/>
      <c r="N43" s="44"/>
      <c r="O43" s="45"/>
      <c r="P43" s="45"/>
      <c r="Q43" s="45"/>
      <c r="R43" s="625" t="s">
        <v>166</v>
      </c>
      <c r="S43" s="626"/>
      <c r="T43" s="626"/>
      <c r="U43" s="627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144810.09964237123</v>
      </c>
      <c r="C44" s="12"/>
      <c r="D44" s="281" t="s">
        <v>135</v>
      </c>
      <c r="E44" s="282">
        <f>SUM(B41:H41)+P41+R41+T41+V41+X41+Z41</f>
        <v>100373.2271244796</v>
      </c>
      <c r="F44" s="12"/>
      <c r="G44" s="281" t="s">
        <v>135</v>
      </c>
      <c r="H44" s="282">
        <f>SUM(I41:N41)+O41+Q41+S41+U41+W41+Y41</f>
        <v>43431.459246251718</v>
      </c>
      <c r="I44" s="12"/>
      <c r="J44" s="281" t="s">
        <v>198</v>
      </c>
      <c r="K44" s="282">
        <v>145855.43299999999</v>
      </c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34641.592930150829</v>
      </c>
      <c r="C45" s="12"/>
      <c r="D45" s="283" t="s">
        <v>183</v>
      </c>
      <c r="E45" s="284">
        <f>AJ41*(1-$AI$40)+AK41+AL41*0.5+AN41+AO41*(1-$AI$40)+AP41*(1-$AI$40)+AQ41*(1-$AI$40)+AR41*0.5+AS41*0.5</f>
        <v>21708.386566885405</v>
      </c>
      <c r="F45" s="24"/>
      <c r="G45" s="283" t="s">
        <v>183</v>
      </c>
      <c r="H45" s="284">
        <f>AJ41*AI40+AL41*0.5+AM41+AO41*AI40+AP41*AI40+AQ41*AI40+AR41*0.5+AS41*0.5</f>
        <v>12933.206363265424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2326.4856612682343</v>
      </c>
      <c r="U45" s="255">
        <f>(T45*8.34*0.895)/27000</f>
        <v>0.64316988597794378</v>
      </c>
    </row>
    <row r="46" spans="1:45" ht="32.25" thickBot="1" x14ac:dyDescent="0.3">
      <c r="A46" s="285" t="s">
        <v>184</v>
      </c>
      <c r="B46" s="286">
        <f>SUM(AJ42:AS42)</f>
        <v>11242.09</v>
      </c>
      <c r="C46" s="12"/>
      <c r="D46" s="285" t="s">
        <v>184</v>
      </c>
      <c r="E46" s="286">
        <f>AJ42*(1-$AI$40)+AL42*0.5+AN42+AO42*(1-$AI$40)+AP42*(1-$AI$40)+AR42*0.5+AS42*0.5</f>
        <v>4951.9054739833218</v>
      </c>
      <c r="F46" s="23"/>
      <c r="G46" s="285" t="s">
        <v>184</v>
      </c>
      <c r="H46" s="286">
        <f>AJ42*AI40+AL42*0.5+AM42+AO42*AI40+AP42*AI40+AR42*0.5+AS42*0.5</f>
        <v>6290.1845260166774</v>
      </c>
      <c r="I46" s="12"/>
      <c r="J46" s="638" t="s">
        <v>199</v>
      </c>
      <c r="K46" s="639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145855.43299999999</v>
      </c>
      <c r="C47" s="12"/>
      <c r="D47" s="285" t="s">
        <v>187</v>
      </c>
      <c r="E47" s="286">
        <f>K44*0.5</f>
        <v>72927.716499999995</v>
      </c>
      <c r="F47" s="24"/>
      <c r="G47" s="285" t="s">
        <v>185</v>
      </c>
      <c r="H47" s="286">
        <f>K44*0.5</f>
        <v>72927.716499999995</v>
      </c>
      <c r="I47" s="12"/>
      <c r="J47" s="281" t="s">
        <v>198</v>
      </c>
      <c r="K47" s="282">
        <v>95726.25999999998</v>
      </c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80397.258813667329</v>
      </c>
      <c r="U47" s="255">
        <f>T47/40000</f>
        <v>2.0099314703416833</v>
      </c>
    </row>
    <row r="48" spans="1:45" ht="24" thickBot="1" x14ac:dyDescent="0.3">
      <c r="A48" s="285" t="s">
        <v>186</v>
      </c>
      <c r="B48" s="286">
        <f>K47</f>
        <v>95726.25999999998</v>
      </c>
      <c r="C48" s="12"/>
      <c r="D48" s="285" t="s">
        <v>186</v>
      </c>
      <c r="E48" s="286">
        <f>K47*0.5</f>
        <v>47863.12999999999</v>
      </c>
      <c r="F48" s="23"/>
      <c r="G48" s="285" t="s">
        <v>186</v>
      </c>
      <c r="H48" s="286">
        <f>K47*0.5</f>
        <v>47863.12999999999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544.96014886498438</v>
      </c>
      <c r="C49" s="12"/>
      <c r="D49" s="290" t="s">
        <v>195</v>
      </c>
      <c r="E49" s="291">
        <f>AH40</f>
        <v>213.32706660444617</v>
      </c>
      <c r="F49" s="23"/>
      <c r="G49" s="290" t="s">
        <v>196</v>
      </c>
      <c r="H49" s="291">
        <f>AG40</f>
        <v>342.45786429372845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1381.8213661243522</v>
      </c>
      <c r="U49" s="255">
        <f>(T49*8.34*1.04)/45000</f>
        <v>0.26634146224924848</v>
      </c>
    </row>
    <row r="50" spans="1:25" ht="48" customHeight="1" thickTop="1" thickBot="1" x14ac:dyDescent="0.3">
      <c r="A50" s="290" t="s">
        <v>223</v>
      </c>
      <c r="B50" s="291">
        <f>SUM(E50+H50)</f>
        <v>575.61313983783157</v>
      </c>
      <c r="C50" s="12"/>
      <c r="D50" s="290" t="s">
        <v>226</v>
      </c>
      <c r="E50" s="291">
        <f>AE40</f>
        <v>218.28192898900676</v>
      </c>
      <c r="F50" s="23"/>
      <c r="G50" s="290" t="s">
        <v>227</v>
      </c>
      <c r="H50" s="291">
        <f>AD40</f>
        <v>357.33121084882475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750.98264034470742</v>
      </c>
      <c r="C51" s="12"/>
      <c r="D51" s="290" t="s">
        <v>188</v>
      </c>
      <c r="E51" s="293">
        <f>SUM(E44:E48)/E50</f>
        <v>1135.3407348614248</v>
      </c>
      <c r="F51" s="371">
        <f>E44/E49</f>
        <v>470.51332361210848</v>
      </c>
      <c r="G51" s="290" t="s">
        <v>189</v>
      </c>
      <c r="H51" s="293">
        <f>SUM(H44:H48)/H50</f>
        <v>513.37720038438999</v>
      </c>
      <c r="I51" s="361">
        <f>H44/H49</f>
        <v>126.82278252194044</v>
      </c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16812.170697583086</v>
      </c>
      <c r="U51" s="255">
        <f>T51/2000/8</f>
        <v>1.0507606685989428</v>
      </c>
    </row>
    <row r="52" spans="1:25" ht="57" customHeight="1" thickTop="1" thickBot="1" x14ac:dyDescent="0.3">
      <c r="A52" s="280" t="s">
        <v>191</v>
      </c>
      <c r="B52" s="293">
        <f>B51/1000</f>
        <v>0.75098264034470741</v>
      </c>
      <c r="C52" s="12"/>
      <c r="D52" s="280" t="s">
        <v>192</v>
      </c>
      <c r="E52" s="293">
        <f>E51/1000</f>
        <v>1.1353407348614248</v>
      </c>
      <c r="F52" s="12"/>
      <c r="G52" s="280" t="s">
        <v>193</v>
      </c>
      <c r="H52" s="293">
        <f>H51/1000</f>
        <v>0.51337720038438994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17452.692710975811</v>
      </c>
      <c r="U52" s="255">
        <f>(T52*8.34*1.4)/45000</f>
        <v>4.528392002074523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872.6072696944093</v>
      </c>
      <c r="U53" s="255">
        <f>(T53*8.34*1.135)/45000</f>
        <v>0.18355584787111798</v>
      </c>
    </row>
    <row r="54" spans="1:25" ht="48" customHeight="1" thickTop="1" thickBot="1" x14ac:dyDescent="0.3">
      <c r="A54" s="628" t="s">
        <v>51</v>
      </c>
      <c r="B54" s="629"/>
      <c r="C54" s="629"/>
      <c r="D54" s="629"/>
      <c r="E54" s="63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5703.7513184070567</v>
      </c>
      <c r="U54" s="255">
        <f>(T54*8.34*1.029*0.03)/3300</f>
        <v>0.44498904808531609</v>
      </c>
    </row>
    <row r="55" spans="1:25" ht="45.75" customHeight="1" thickBot="1" x14ac:dyDescent="0.3">
      <c r="A55" s="633" t="s">
        <v>200</v>
      </c>
      <c r="B55" s="634"/>
      <c r="C55" s="634"/>
      <c r="D55" s="634"/>
      <c r="E55" s="63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41" t="s">
        <v>158</v>
      </c>
      <c r="S55" s="642"/>
      <c r="T55" s="257">
        <f>$D$39+$Y$39+$Z$39</f>
        <v>39025.30253805322</v>
      </c>
      <c r="U55" s="258">
        <f>(T55*1.54*8.34)/45000</f>
        <v>11.138341681727562</v>
      </c>
    </row>
    <row r="56" spans="1:25" ht="24" thickTop="1" x14ac:dyDescent="0.25">
      <c r="A56" s="671"/>
      <c r="B56" s="67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3"/>
      <c r="B57" s="67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9"/>
      <c r="B58" s="67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70"/>
      <c r="B59" s="67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9"/>
      <c r="B60" s="67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70"/>
      <c r="B61" s="67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  <row r="65" spans="1:3" x14ac:dyDescent="0.25">
      <c r="A65" s="12"/>
      <c r="B65" s="12"/>
      <c r="C65" s="12"/>
    </row>
  </sheetData>
  <sheetProtection algorithmName="SHA-512" hashValue="EbF1EotTBtIGx/GGHkOukU76OUj+N3ZSg8USd8cNolg0Aw2UkLdkf6VVZvry8wVDXzI4+t27859B4ecbd08soQ==" saltValue="J+7YBE+4r96rjrpOK9y6bw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Rodriguez, Richard</cp:lastModifiedBy>
  <cp:lastPrinted>2021-09-25T06:04:21Z</cp:lastPrinted>
  <dcterms:created xsi:type="dcterms:W3CDTF">2010-10-11T23:47:50Z</dcterms:created>
  <dcterms:modified xsi:type="dcterms:W3CDTF">2022-09-12T17:04:21Z</dcterms:modified>
</cp:coreProperties>
</file>